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emf" ContentType="image/x-emf"/>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comments12.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7395" windowHeight="3105" tabRatio="709"/>
  </bookViews>
  <sheets>
    <sheet name="Summary" sheetId="1" r:id="rId1"/>
    <sheet name="PG3" sheetId="7" r:id="rId2"/>
    <sheet name="FxB" sheetId="24" r:id="rId3"/>
    <sheet name="PT1(UT)" sheetId="9" r:id="rId4"/>
    <sheet name="PT2(CT)" sheetId="22" r:id="rId5"/>
    <sheet name="Others" sheetId="11" r:id="rId6"/>
    <sheet name="CH" sheetId="12" r:id="rId7"/>
    <sheet name="Legend" sheetId="3" r:id="rId8"/>
    <sheet name="Project Size" sheetId="15" r:id="rId9"/>
    <sheet name="御見積前提条件" sheetId="21" r:id="rId10"/>
    <sheet name="RQ" sheetId="18" r:id="rId11"/>
    <sheet name="BD" sheetId="2" r:id="rId12"/>
    <sheet name="DD" sheetId="5" r:id="rId13"/>
    <sheet name="PG1" sheetId="8" r:id="rId14"/>
    <sheet name="PG2" sheetId="20" r:id="rId15"/>
    <sheet name="PT2(ST)" sheetId="23" r:id="rId16"/>
  </sheets>
  <definedNames>
    <definedName name="AvgBugCT">Legend!$F$11</definedName>
    <definedName name="AvgBugST">Legend!$F$12</definedName>
    <definedName name="AvgBugUT">Legend!$F$10</definedName>
    <definedName name="AvgCTBugKLOC">'PT2(CT)'!$J$2</definedName>
    <definedName name="AvgSTBugKLOC">'PT2(ST)'!$J$2</definedName>
    <definedName name="AvgUTBugKLOC">'PT1(UT)'!$J$2</definedName>
    <definedName name="BD_Base">Legend!$C$3</definedName>
    <definedName name="BD_Review_Complexity">BD!$H$2</definedName>
    <definedName name="BD_Unit">Legend!$C$4</definedName>
    <definedName name="BDLookupRange">BD!$C$4:$H$33</definedName>
    <definedName name="CTLatentDefect">Legend!$H$11</definedName>
    <definedName name="CTLookupRange">'PT2(CT)'!$D$4:$O$53</definedName>
    <definedName name="DD_Base">Legend!$D$3</definedName>
    <definedName name="DD_Review_Complexity">DD!$I$2</definedName>
    <definedName name="DD_Unit">Legend!$D$4</definedName>
    <definedName name="DDLookupRange">DD!$D$4:$I$53</definedName>
    <definedName name="Fix1CTBugFUP">Legend!$F$16</definedName>
    <definedName name="Fix1STBugFUP">Legend!$F$17</definedName>
    <definedName name="Fix1UTBugFUP">Legend!$F$15</definedName>
    <definedName name="FxBLookupRange">FxB!$D$4:$L$53</definedName>
    <definedName name="GUILOCConvRate">Legend!$C$17</definedName>
    <definedName name="IsEstimateBD">Summary!$P$12</definedName>
    <definedName name="IsEstimateCT">Summary!$T$12</definedName>
    <definedName name="IsEstimateDD">Summary!$Q$12</definedName>
    <definedName name="IsEstimateDP">Summary!$V$12</definedName>
    <definedName name="IsEstimatePG">Summary!$R$12</definedName>
    <definedName name="IsEstimateRQ">Summary!$O$12</definedName>
    <definedName name="IsEstimateST">Summary!$U$12</definedName>
    <definedName name="IsEstimateUT">Summary!$S$12</definedName>
    <definedName name="Language_Rate_PG2">'PG2'!$E$2</definedName>
    <definedName name="Language_Rate_PG3">'PG3'!$E$2</definedName>
    <definedName name="Management_Rate">Summary!$F$64</definedName>
    <definedName name="MM_Rate">Summary!$I$64</definedName>
    <definedName name="Module_List">Summary!$B$16:$J$47</definedName>
    <definedName name="NEW_CaseRate">'PT1(UT)'!$F$2</definedName>
    <definedName name="NEW2_CaseRate_CT">'PT2(CT)'!$F$2</definedName>
    <definedName name="NEW2_CaseRate_ST">'PT2(ST)'!$F$2</definedName>
    <definedName name="PG1_Base">Legend!$E$3</definedName>
    <definedName name="PG1_Review_Complexity">'PG1'!$I$2</definedName>
    <definedName name="PG1_Unit">Legend!$E$4</definedName>
    <definedName name="PG1LookupRange">'PG1'!$D$4:$L$53</definedName>
    <definedName name="PG2_Base">Legend!$F$3</definedName>
    <definedName name="PG2_Review_Complexity">'PG2'!$K$2</definedName>
    <definedName name="PG2_Unit">Legend!$F$4</definedName>
    <definedName name="PG2LookupRange">'PG2'!$D$4:$K$53</definedName>
    <definedName name="PG3_Base">Legend!$G$3</definedName>
    <definedName name="PG3_Review_Complexity">'PG3'!$K$2</definedName>
    <definedName name="PG3_Unit">Legend!$G$4</definedName>
    <definedName name="PG3LookupRange">'PG3'!$D$4:$K$53</definedName>
    <definedName name="_xlnm.Print_Area" localSheetId="11">BD!$A$1:$J$33</definedName>
    <definedName name="_xlnm.Print_Area" localSheetId="6">CH!$A$1:$R$33</definedName>
    <definedName name="_xlnm.Print_Area" localSheetId="12">DD!$A$1:$K$53</definedName>
    <definedName name="_xlnm.Print_Area" localSheetId="2">FxB!$A$1:$N$53</definedName>
    <definedName name="_xlnm.Print_Area" localSheetId="5">Others!$A$1:$G$33</definedName>
    <definedName name="_xlnm.Print_Area" localSheetId="13">'PG1'!$A$1:$K$53</definedName>
    <definedName name="_xlnm.Print_Area" localSheetId="14">'PG2'!$A$1:$M$53</definedName>
    <definedName name="_xlnm.Print_Area" localSheetId="1">'PG3'!$A$1:$M$53</definedName>
    <definedName name="_xlnm.Print_Area" localSheetId="8">'Project Size'!$A$1:$O$37</definedName>
    <definedName name="_xlnm.Print_Area" localSheetId="3">'PT1(UT)'!$A$1:$Q$53</definedName>
    <definedName name="_xlnm.Print_Area" localSheetId="4">'PT2(CT)'!$A$1:$Q$53</definedName>
    <definedName name="_xlnm.Print_Area" localSheetId="15">'PT2(ST)'!$A$1:$Q$53</definedName>
    <definedName name="_xlnm.Print_Area" localSheetId="10">RQ!$A$1:$J$35</definedName>
    <definedName name="_xlnm.Print_Area" localSheetId="0">Summary!$A$1:$M$68</definedName>
    <definedName name="_xlnm.Print_Area" localSheetId="9">御見積前提条件!$A$1:$J$12</definedName>
    <definedName name="_xlnm.Print_Titles" localSheetId="11">BD!$1:$3</definedName>
    <definedName name="_xlnm.Print_Titles" localSheetId="6">CH!$1:$3</definedName>
    <definedName name="_xlnm.Print_Titles" localSheetId="12">DD!$1:$3</definedName>
    <definedName name="_xlnm.Print_Titles" localSheetId="2">FxB!$1:$3</definedName>
    <definedName name="_xlnm.Print_Titles" localSheetId="5">Others!$1:$3</definedName>
    <definedName name="_xlnm.Print_Titles" localSheetId="13">'PG1'!$1:$3</definedName>
    <definedName name="_xlnm.Print_Titles" localSheetId="14">'PG2'!$1:$3</definedName>
    <definedName name="_xlnm.Print_Titles" localSheetId="1">'PG3'!$1:$3</definedName>
    <definedName name="_xlnm.Print_Titles" localSheetId="8">'Project Size'!$1:$34</definedName>
    <definedName name="_xlnm.Print_Titles" localSheetId="3">'PT1(UT)'!$1:$3</definedName>
    <definedName name="_xlnm.Print_Titles" localSheetId="4">'PT2(CT)'!$1:$3</definedName>
    <definedName name="_xlnm.Print_Titles" localSheetId="15">'PT2(ST)'!$1:$3</definedName>
    <definedName name="_xlnm.Print_Titles" localSheetId="10">RQ!$2:$35</definedName>
    <definedName name="_xlnm.Print_Titles" localSheetId="0">Summary!$1:$16</definedName>
    <definedName name="ProgrammingLanguage">Legend!$B$19:$C$20</definedName>
    <definedName name="ProgrammingLanguageList">Legend!$B$20:$B$20</definedName>
    <definedName name="ProgrammingLanguageValue">Legend!$C$20:$C$20</definedName>
    <definedName name="PT1_Base">Legend!$H$3</definedName>
    <definedName name="PT1_Unit">Legend!$H$4</definedName>
    <definedName name="PT2_CT_Base">Legend!$I$3</definedName>
    <definedName name="PT2_CT_Unit">Legend!$I$4</definedName>
    <definedName name="PT2_ST_Base">Legend!$J$3</definedName>
    <definedName name="PT2_ST_Unit">Legend!$J$4</definedName>
    <definedName name="REUSE_CaseRate">'PT1(UT)'!$G$2</definedName>
    <definedName name="REUSE2_CaseRate_CT">'PT2(CT)'!$G$2</definedName>
    <definedName name="REUSE2_CaseRate_ST">'PT2(ST)'!$G$2</definedName>
    <definedName name="Review_Rate">Legend!$C$11</definedName>
    <definedName name="Risk_Buffer">Legend!$I$24</definedName>
    <definedName name="RQ_Rate_toPG">Legend!$F$7</definedName>
    <definedName name="RQ_Review_Complexity">RQ!$I$2</definedName>
    <definedName name="RQ_Type">Legend!$B$7:$B$9</definedName>
    <definedName name="RQ_Type_Value">Legend!$C$7:$C$9</definedName>
    <definedName name="SampleLOCConvRate">Legend!$C$16</definedName>
    <definedName name="Source_Review_Rate">Legend!$C$12</definedName>
    <definedName name="STLatentDefect">Legend!$H$12</definedName>
    <definedName name="STLookupRange">'PT2(ST)'!$D$4:$O$53</definedName>
    <definedName name="Support_Rate">Summary!$F$65</definedName>
    <definedName name="Test2Data_Rate_CT">'PT2(CT)'!$L$2</definedName>
    <definedName name="Test2Data_Rate_ST">'PT2(ST)'!$L$2</definedName>
    <definedName name="Test2Doc_Rate_CT">'PT2(CT)'!$K$2</definedName>
    <definedName name="Test2Doc_Rate_ST">'PT2(ST)'!$K$2</definedName>
    <definedName name="Test2Evidence_Rate_CT">'PT2(CT)'!$N$2</definedName>
    <definedName name="Test2Evidence_Rate_ST">'PT2(ST)'!$N$2</definedName>
    <definedName name="Test2Execute_Rate_CT">'PT2(CT)'!$M$2</definedName>
    <definedName name="Test2Execute_Rate_ST">'PT2(ST)'!$M$2</definedName>
    <definedName name="TestData_Rate">'PT1(UT)'!$L$2</definedName>
    <definedName name="TestDoc_Rate">'PT1(UT)'!$K$2</definedName>
    <definedName name="TestEvidence_Rate">'PT1(UT)'!$N$2</definedName>
    <definedName name="TestExecute_Rate">'PT1(UT)'!$M$2</definedName>
    <definedName name="UnitPoint_Effort_Rate">Legend!$C$14</definedName>
    <definedName name="UTLatentDefect">Legend!$H$10</definedName>
    <definedName name="UTLookupRange">'PT1(UT)'!$D$4:$O$53</definedName>
  </definedNames>
  <calcPr calcId="125725"/>
</workbook>
</file>

<file path=xl/calcChain.xml><?xml version="1.0" encoding="utf-8"?>
<calcChain xmlns="http://schemas.openxmlformats.org/spreadsheetml/2006/main">
  <c r="E10" i="7"/>
  <c r="E18" l="1"/>
  <c r="E17"/>
  <c r="E16"/>
  <c r="E15"/>
  <c r="E14"/>
  <c r="E13"/>
  <c r="E12"/>
  <c r="E11"/>
  <c r="E9"/>
  <c r="E8"/>
  <c r="E7"/>
  <c r="E6"/>
  <c r="E5"/>
  <c r="E4"/>
  <c r="C14" i="3" l="1"/>
  <c r="G47" i="1" l="1"/>
  <c r="G46"/>
  <c r="G45"/>
  <c r="G44"/>
  <c r="G43"/>
  <c r="G42"/>
  <c r="G41"/>
  <c r="G40"/>
  <c r="G39"/>
  <c r="G38"/>
  <c r="G37"/>
  <c r="G36"/>
  <c r="G35"/>
  <c r="G34"/>
  <c r="G33"/>
  <c r="G32"/>
  <c r="F47" l="1"/>
  <c r="F46"/>
  <c r="F45"/>
  <c r="F44"/>
  <c r="F43"/>
  <c r="F42"/>
  <c r="F41"/>
  <c r="F40"/>
  <c r="F39"/>
  <c r="F38"/>
  <c r="F37"/>
  <c r="F36"/>
  <c r="F35"/>
  <c r="F34"/>
  <c r="F33"/>
  <c r="F32"/>
  <c r="J53" i="24"/>
  <c r="J52"/>
  <c r="J51"/>
  <c r="J50"/>
  <c r="J49"/>
  <c r="J48"/>
  <c r="J47"/>
  <c r="J46"/>
  <c r="J45"/>
  <c r="J44"/>
  <c r="J43"/>
  <c r="J42"/>
  <c r="J41"/>
  <c r="J40"/>
  <c r="J39"/>
  <c r="J38"/>
  <c r="J37"/>
  <c r="J36"/>
  <c r="J35"/>
  <c r="J34"/>
  <c r="J33"/>
  <c r="J32"/>
  <c r="J31"/>
  <c r="J30"/>
  <c r="J29"/>
  <c r="J28"/>
  <c r="J27"/>
  <c r="J26"/>
  <c r="J25"/>
  <c r="J24"/>
  <c r="J23"/>
  <c r="J22"/>
  <c r="J21"/>
  <c r="J20"/>
  <c r="J19"/>
  <c r="G53"/>
  <c r="G52"/>
  <c r="G51"/>
  <c r="G50"/>
  <c r="G49"/>
  <c r="G48"/>
  <c r="G47"/>
  <c r="G46"/>
  <c r="G45"/>
  <c r="G44"/>
  <c r="G43"/>
  <c r="G42"/>
  <c r="G41"/>
  <c r="G40"/>
  <c r="G39"/>
  <c r="G38"/>
  <c r="G37"/>
  <c r="G36"/>
  <c r="G35"/>
  <c r="G34"/>
  <c r="G33"/>
  <c r="G32"/>
  <c r="G31"/>
  <c r="G30"/>
  <c r="G29"/>
  <c r="G28"/>
  <c r="G27"/>
  <c r="G26"/>
  <c r="G25"/>
  <c r="G24"/>
  <c r="G23"/>
  <c r="G22"/>
  <c r="G21"/>
  <c r="G20"/>
  <c r="G19"/>
  <c r="X19" i="1" l="1"/>
  <c r="AA19"/>
  <c r="Z19"/>
  <c r="Y19"/>
  <c r="AA18"/>
  <c r="Z18"/>
  <c r="Y18"/>
  <c r="X18"/>
  <c r="AD23" l="1"/>
  <c r="H34" i="15" l="1"/>
  <c r="H33"/>
  <c r="H32"/>
  <c r="H31"/>
  <c r="H30"/>
  <c r="H29"/>
  <c r="H28"/>
  <c r="H27"/>
  <c r="H26"/>
  <c r="H25"/>
  <c r="H24"/>
  <c r="H23"/>
  <c r="H22"/>
  <c r="H21"/>
  <c r="H20"/>
  <c r="H19"/>
  <c r="H18"/>
  <c r="H17"/>
  <c r="H16"/>
  <c r="H15"/>
  <c r="H14"/>
  <c r="H13"/>
  <c r="H12"/>
  <c r="AI22" i="3" l="1"/>
  <c r="AI21"/>
  <c r="AI20"/>
  <c r="K20"/>
  <c r="M2" i="9" s="1"/>
  <c r="I2" i="18"/>
  <c r="H2" i="2"/>
  <c r="K2" i="20"/>
  <c r="K2" i="7"/>
  <c r="I2" i="8"/>
  <c r="I2" i="5"/>
  <c r="K22" i="3"/>
  <c r="M2" i="23" s="1"/>
  <c r="K21" i="3"/>
  <c r="M2" i="22" s="1"/>
  <c r="N2" i="23"/>
  <c r="L2"/>
  <c r="K2"/>
  <c r="G2"/>
  <c r="F2"/>
  <c r="N2" i="22"/>
  <c r="L2"/>
  <c r="K2"/>
  <c r="G2"/>
  <c r="F2"/>
  <c r="N2" i="9"/>
  <c r="L2"/>
  <c r="K2"/>
  <c r="G2"/>
  <c r="F2"/>
  <c r="B34" i="15" l="1"/>
  <c r="B33"/>
  <c r="B32"/>
  <c r="B31"/>
  <c r="B30"/>
  <c r="B29"/>
  <c r="B28"/>
  <c r="B27"/>
  <c r="B26"/>
  <c r="B25"/>
  <c r="B24"/>
  <c r="B23"/>
  <c r="B22"/>
  <c r="B21"/>
  <c r="B20"/>
  <c r="B19"/>
  <c r="B18"/>
  <c r="B17"/>
  <c r="B16"/>
  <c r="B15"/>
  <c r="B14"/>
  <c r="B13"/>
  <c r="B12"/>
  <c r="B11"/>
  <c r="B10"/>
  <c r="B9"/>
  <c r="B8"/>
  <c r="B7"/>
  <c r="B6"/>
  <c r="B5"/>
  <c r="O34"/>
  <c r="N34"/>
  <c r="M34"/>
  <c r="L34"/>
  <c r="K34"/>
  <c r="J34"/>
  <c r="O33"/>
  <c r="N33"/>
  <c r="M33"/>
  <c r="L33"/>
  <c r="K33"/>
  <c r="J33"/>
  <c r="O32"/>
  <c r="N32"/>
  <c r="M32"/>
  <c r="L32"/>
  <c r="K32"/>
  <c r="J32"/>
  <c r="O31"/>
  <c r="N31"/>
  <c r="M31"/>
  <c r="L31"/>
  <c r="K31"/>
  <c r="J31"/>
  <c r="O30"/>
  <c r="N30"/>
  <c r="M30"/>
  <c r="L30"/>
  <c r="K30"/>
  <c r="J30"/>
  <c r="O29"/>
  <c r="N29"/>
  <c r="M29"/>
  <c r="L29"/>
  <c r="K29"/>
  <c r="J29"/>
  <c r="O28"/>
  <c r="N28"/>
  <c r="M28"/>
  <c r="L28"/>
  <c r="K28"/>
  <c r="J28"/>
  <c r="O27"/>
  <c r="N27"/>
  <c r="M27"/>
  <c r="L27"/>
  <c r="K27"/>
  <c r="J27"/>
  <c r="O26"/>
  <c r="N26"/>
  <c r="M26"/>
  <c r="L26"/>
  <c r="K26"/>
  <c r="J26"/>
  <c r="O25"/>
  <c r="N25"/>
  <c r="M25"/>
  <c r="L25"/>
  <c r="K25"/>
  <c r="J25"/>
  <c r="O24"/>
  <c r="N24"/>
  <c r="M24"/>
  <c r="L24"/>
  <c r="K24"/>
  <c r="J24"/>
  <c r="O23"/>
  <c r="N23"/>
  <c r="M23"/>
  <c r="L23"/>
  <c r="K23"/>
  <c r="J23"/>
  <c r="O22"/>
  <c r="N22"/>
  <c r="M22"/>
  <c r="L22"/>
  <c r="K22"/>
  <c r="J22"/>
  <c r="O21"/>
  <c r="N21"/>
  <c r="M21"/>
  <c r="L21"/>
  <c r="K21"/>
  <c r="J21"/>
  <c r="O20"/>
  <c r="N20"/>
  <c r="M20"/>
  <c r="L20"/>
  <c r="K20"/>
  <c r="J20"/>
  <c r="O19"/>
  <c r="N19"/>
  <c r="M19"/>
  <c r="L19"/>
  <c r="K19"/>
  <c r="J19"/>
  <c r="O18"/>
  <c r="N18"/>
  <c r="M18"/>
  <c r="L18"/>
  <c r="K18"/>
  <c r="J18"/>
  <c r="O17"/>
  <c r="N17"/>
  <c r="M17"/>
  <c r="L17"/>
  <c r="K17"/>
  <c r="J17"/>
  <c r="O16"/>
  <c r="N16"/>
  <c r="M16"/>
  <c r="L16"/>
  <c r="K16"/>
  <c r="J16"/>
  <c r="O15"/>
  <c r="N15"/>
  <c r="M15"/>
  <c r="L15"/>
  <c r="K15"/>
  <c r="J15"/>
  <c r="O14"/>
  <c r="N14"/>
  <c r="M14"/>
  <c r="L14"/>
  <c r="K14"/>
  <c r="J14"/>
  <c r="O13"/>
  <c r="N13"/>
  <c r="M13"/>
  <c r="L13"/>
  <c r="K13"/>
  <c r="J13"/>
  <c r="O12"/>
  <c r="N12"/>
  <c r="M12"/>
  <c r="L12"/>
  <c r="K12"/>
  <c r="J12"/>
  <c r="F34"/>
  <c r="F33"/>
  <c r="F32"/>
  <c r="F31"/>
  <c r="F30"/>
  <c r="F29"/>
  <c r="F28"/>
  <c r="F27"/>
  <c r="F26"/>
  <c r="F25"/>
  <c r="F24"/>
  <c r="F23"/>
  <c r="F22"/>
  <c r="F21"/>
  <c r="F20"/>
  <c r="F19"/>
  <c r="F18"/>
  <c r="F17"/>
  <c r="F16"/>
  <c r="F15"/>
  <c r="F14"/>
  <c r="F13"/>
  <c r="F12"/>
  <c r="F11"/>
  <c r="F10"/>
  <c r="F9"/>
  <c r="F8"/>
  <c r="F7"/>
  <c r="F6"/>
  <c r="F5"/>
  <c r="D34"/>
  <c r="D33"/>
  <c r="D32"/>
  <c r="D31"/>
  <c r="D30"/>
  <c r="D29"/>
  <c r="D28"/>
  <c r="D27"/>
  <c r="D26"/>
  <c r="D25"/>
  <c r="D24"/>
  <c r="D23"/>
  <c r="D22"/>
  <c r="D21"/>
  <c r="D20"/>
  <c r="D19"/>
  <c r="D18"/>
  <c r="D17"/>
  <c r="D16"/>
  <c r="D15"/>
  <c r="D14"/>
  <c r="D13"/>
  <c r="D12"/>
  <c r="D11"/>
  <c r="D10"/>
  <c r="D9"/>
  <c r="D8"/>
  <c r="D7"/>
  <c r="D6"/>
  <c r="D5"/>
  <c r="H53" i="24" l="1"/>
  <c r="H52"/>
  <c r="H51"/>
  <c r="H50"/>
  <c r="H49"/>
  <c r="H48"/>
  <c r="H47"/>
  <c r="H46"/>
  <c r="H45"/>
  <c r="H44"/>
  <c r="H43"/>
  <c r="H42"/>
  <c r="H41"/>
  <c r="H40"/>
  <c r="H39"/>
  <c r="H38"/>
  <c r="H37"/>
  <c r="H36"/>
  <c r="H35"/>
  <c r="H34"/>
  <c r="H33"/>
  <c r="H32"/>
  <c r="H31"/>
  <c r="H30"/>
  <c r="H29"/>
  <c r="H28"/>
  <c r="H27"/>
  <c r="H26"/>
  <c r="H25"/>
  <c r="H24"/>
  <c r="H23"/>
  <c r="H22"/>
  <c r="H21"/>
  <c r="H20"/>
  <c r="H19"/>
  <c r="H47" i="1" l="1"/>
  <c r="H46"/>
  <c r="H45"/>
  <c r="H44"/>
  <c r="H43"/>
  <c r="H42"/>
  <c r="H41"/>
  <c r="H40"/>
  <c r="H39"/>
  <c r="H38"/>
  <c r="H37"/>
  <c r="H36"/>
  <c r="H35"/>
  <c r="H34"/>
  <c r="H33"/>
  <c r="H32"/>
  <c r="L53" i="8" l="1"/>
  <c r="L52"/>
  <c r="L51"/>
  <c r="L50"/>
  <c r="L49"/>
  <c r="L48"/>
  <c r="L47"/>
  <c r="L46"/>
  <c r="L45"/>
  <c r="L44"/>
  <c r="L43"/>
  <c r="L42"/>
  <c r="L41"/>
  <c r="L40"/>
  <c r="L39"/>
  <c r="L38"/>
  <c r="L37"/>
  <c r="L36"/>
  <c r="L35"/>
  <c r="L34"/>
  <c r="L33"/>
  <c r="L32"/>
  <c r="L31"/>
  <c r="L30"/>
  <c r="L29"/>
  <c r="L28"/>
  <c r="L27"/>
  <c r="L26"/>
  <c r="L25"/>
  <c r="L24"/>
  <c r="L23"/>
  <c r="L22"/>
  <c r="L21"/>
  <c r="L20"/>
  <c r="L19"/>
  <c r="L18"/>
  <c r="L17"/>
  <c r="L16"/>
  <c r="L15"/>
  <c r="L14"/>
  <c r="L13"/>
  <c r="L12"/>
  <c r="L11"/>
  <c r="L10"/>
  <c r="L9"/>
  <c r="L8"/>
  <c r="H7" i="15" s="1"/>
  <c r="L7" i="8"/>
  <c r="L6"/>
  <c r="H6" i="15" l="1"/>
  <c r="H9"/>
  <c r="H11"/>
  <c r="H8"/>
  <c r="H10"/>
  <c r="F53" i="23"/>
  <c r="F52"/>
  <c r="F51"/>
  <c r="F50"/>
  <c r="F49"/>
  <c r="F48"/>
  <c r="F47"/>
  <c r="F46"/>
  <c r="F45"/>
  <c r="F44"/>
  <c r="F43"/>
  <c r="F42"/>
  <c r="F41"/>
  <c r="F40"/>
  <c r="F39"/>
  <c r="F38"/>
  <c r="F37"/>
  <c r="F36"/>
  <c r="F35"/>
  <c r="F34"/>
  <c r="F33"/>
  <c r="F32"/>
  <c r="F31"/>
  <c r="F30"/>
  <c r="F29"/>
  <c r="F28"/>
  <c r="F27"/>
  <c r="F26"/>
  <c r="F25"/>
  <c r="F24"/>
  <c r="F23"/>
  <c r="F22"/>
  <c r="F21"/>
  <c r="F20"/>
  <c r="F19"/>
  <c r="F18"/>
  <c r="F15"/>
  <c r="F11"/>
  <c r="F7"/>
  <c r="F53" i="22"/>
  <c r="F52"/>
  <c r="F51"/>
  <c r="F50"/>
  <c r="F49"/>
  <c r="F48"/>
  <c r="F47"/>
  <c r="F46"/>
  <c r="F45"/>
  <c r="F44"/>
  <c r="F43"/>
  <c r="F42"/>
  <c r="F41"/>
  <c r="F40"/>
  <c r="F39"/>
  <c r="F38"/>
  <c r="F37"/>
  <c r="F36"/>
  <c r="F35"/>
  <c r="F34"/>
  <c r="F33"/>
  <c r="F32"/>
  <c r="F31"/>
  <c r="F30"/>
  <c r="F29"/>
  <c r="F28"/>
  <c r="F27"/>
  <c r="F26"/>
  <c r="F25"/>
  <c r="F24"/>
  <c r="F23"/>
  <c r="F22"/>
  <c r="F21"/>
  <c r="F20"/>
  <c r="F19"/>
  <c r="F18"/>
  <c r="F53" i="9"/>
  <c r="F52"/>
  <c r="F51"/>
  <c r="F50"/>
  <c r="F49"/>
  <c r="F48"/>
  <c r="F47"/>
  <c r="F46"/>
  <c r="F45"/>
  <c r="F44"/>
  <c r="F43"/>
  <c r="F42"/>
  <c r="F41"/>
  <c r="F40"/>
  <c r="F39"/>
  <c r="F38"/>
  <c r="F37"/>
  <c r="F36"/>
  <c r="F35"/>
  <c r="F34"/>
  <c r="F33"/>
  <c r="F32"/>
  <c r="F31"/>
  <c r="F30"/>
  <c r="F29"/>
  <c r="F28"/>
  <c r="F27"/>
  <c r="F26"/>
  <c r="F25"/>
  <c r="F24"/>
  <c r="F23"/>
  <c r="F22"/>
  <c r="F21"/>
  <c r="F20"/>
  <c r="F19"/>
  <c r="F18"/>
  <c r="F15"/>
  <c r="F11"/>
  <c r="F7"/>
  <c r="E53" i="24"/>
  <c r="E52"/>
  <c r="E51"/>
  <c r="E50"/>
  <c r="E49"/>
  <c r="E48"/>
  <c r="E47"/>
  <c r="E46"/>
  <c r="E45"/>
  <c r="E44"/>
  <c r="E43"/>
  <c r="E42"/>
  <c r="E41"/>
  <c r="E40"/>
  <c r="E39"/>
  <c r="E38"/>
  <c r="E37"/>
  <c r="E36"/>
  <c r="E35"/>
  <c r="E34"/>
  <c r="E33"/>
  <c r="E32"/>
  <c r="E31"/>
  <c r="E30"/>
  <c r="E29"/>
  <c r="E28"/>
  <c r="E27"/>
  <c r="E26"/>
  <c r="E25"/>
  <c r="E24"/>
  <c r="E23"/>
  <c r="E22"/>
  <c r="E21"/>
  <c r="E20"/>
  <c r="E19"/>
  <c r="E18"/>
  <c r="E16"/>
  <c r="E12"/>
  <c r="E8"/>
  <c r="F17" i="23"/>
  <c r="F16" i="22"/>
  <c r="E15" i="24"/>
  <c r="F14" i="23"/>
  <c r="F13" i="22"/>
  <c r="F12"/>
  <c r="E11" i="24"/>
  <c r="F10" i="23"/>
  <c r="F9"/>
  <c r="F8" i="22"/>
  <c r="E7" i="24"/>
  <c r="F6" i="23"/>
  <c r="F17" i="22" l="1"/>
  <c r="E9" i="24"/>
  <c r="E13"/>
  <c r="E17"/>
  <c r="F8" i="9"/>
  <c r="F12"/>
  <c r="F16"/>
  <c r="F6" i="22"/>
  <c r="F10"/>
  <c r="F14"/>
  <c r="F8" i="23"/>
  <c r="F12"/>
  <c r="F16"/>
  <c r="F9" i="22"/>
  <c r="E10" i="24"/>
  <c r="F9" i="9"/>
  <c r="F13"/>
  <c r="F17"/>
  <c r="F7" i="22"/>
  <c r="F11"/>
  <c r="F15"/>
  <c r="F13" i="23"/>
  <c r="E6" i="24"/>
  <c r="E14"/>
  <c r="F6" i="9"/>
  <c r="F10"/>
  <c r="F14"/>
  <c r="J53" i="23"/>
  <c r="J52"/>
  <c r="J51"/>
  <c r="J50"/>
  <c r="J49"/>
  <c r="J48"/>
  <c r="J47"/>
  <c r="J46"/>
  <c r="J45"/>
  <c r="J44"/>
  <c r="J43"/>
  <c r="J42"/>
  <c r="J41"/>
  <c r="J40"/>
  <c r="J39"/>
  <c r="J38"/>
  <c r="J37"/>
  <c r="J36"/>
  <c r="J35"/>
  <c r="J34"/>
  <c r="J33"/>
  <c r="J32"/>
  <c r="J31"/>
  <c r="J30"/>
  <c r="J29"/>
  <c r="J28"/>
  <c r="J27"/>
  <c r="J26"/>
  <c r="J25"/>
  <c r="J24"/>
  <c r="J23"/>
  <c r="J22"/>
  <c r="J21"/>
  <c r="J20"/>
  <c r="J19"/>
  <c r="J18"/>
  <c r="J53" i="22"/>
  <c r="J52"/>
  <c r="J51"/>
  <c r="J50"/>
  <c r="J49"/>
  <c r="J48"/>
  <c r="J47"/>
  <c r="J46"/>
  <c r="J45"/>
  <c r="J44"/>
  <c r="J43"/>
  <c r="J42"/>
  <c r="J41"/>
  <c r="J40"/>
  <c r="J39"/>
  <c r="J38"/>
  <c r="J37"/>
  <c r="J36"/>
  <c r="J35"/>
  <c r="J34"/>
  <c r="J33"/>
  <c r="J32"/>
  <c r="J31"/>
  <c r="J30"/>
  <c r="J29"/>
  <c r="J28"/>
  <c r="J27"/>
  <c r="J26"/>
  <c r="J25"/>
  <c r="J24"/>
  <c r="J23"/>
  <c r="J22"/>
  <c r="J21"/>
  <c r="J20"/>
  <c r="J19"/>
  <c r="J53" i="9"/>
  <c r="J52"/>
  <c r="J51"/>
  <c r="J50"/>
  <c r="J49"/>
  <c r="J48"/>
  <c r="J47"/>
  <c r="J46"/>
  <c r="J45"/>
  <c r="J44"/>
  <c r="J43"/>
  <c r="J42"/>
  <c r="J41"/>
  <c r="J40"/>
  <c r="J39"/>
  <c r="J38"/>
  <c r="J37"/>
  <c r="J36"/>
  <c r="J35"/>
  <c r="J34"/>
  <c r="J33"/>
  <c r="J32"/>
  <c r="J31"/>
  <c r="J30"/>
  <c r="J29"/>
  <c r="J28"/>
  <c r="J27"/>
  <c r="J26"/>
  <c r="J25"/>
  <c r="J24"/>
  <c r="J23"/>
  <c r="J22"/>
  <c r="J21"/>
  <c r="J20"/>
  <c r="I53" i="24"/>
  <c r="I52"/>
  <c r="I51"/>
  <c r="I50"/>
  <c r="I49"/>
  <c r="I48"/>
  <c r="I47"/>
  <c r="I46"/>
  <c r="I45"/>
  <c r="I44"/>
  <c r="I43"/>
  <c r="I42"/>
  <c r="I41"/>
  <c r="I40"/>
  <c r="I39"/>
  <c r="I38"/>
  <c r="I37"/>
  <c r="I36"/>
  <c r="I35"/>
  <c r="I34"/>
  <c r="I33"/>
  <c r="I32"/>
  <c r="I31"/>
  <c r="I30"/>
  <c r="I29"/>
  <c r="I28"/>
  <c r="I27"/>
  <c r="I26"/>
  <c r="I25"/>
  <c r="I24"/>
  <c r="I23"/>
  <c r="I22"/>
  <c r="I21"/>
  <c r="I20"/>
  <c r="I19"/>
  <c r="AD18" i="1" l="1"/>
  <c r="AF18"/>
  <c r="P34" i="15" l="1"/>
  <c r="P33"/>
  <c r="P32"/>
  <c r="P31"/>
  <c r="P30"/>
  <c r="P29"/>
  <c r="P28"/>
  <c r="P27"/>
  <c r="P26"/>
  <c r="P25"/>
  <c r="P24"/>
  <c r="P23"/>
  <c r="P22"/>
  <c r="P21"/>
  <c r="P20"/>
  <c r="P19"/>
  <c r="P18"/>
  <c r="P17"/>
  <c r="P16"/>
  <c r="P15"/>
  <c r="P14"/>
  <c r="P13"/>
  <c r="P12"/>
  <c r="P11"/>
  <c r="P10"/>
  <c r="P9"/>
  <c r="P8"/>
  <c r="P7"/>
  <c r="P6"/>
  <c r="P5"/>
  <c r="AH53" i="23"/>
  <c r="AH52"/>
  <c r="AH51"/>
  <c r="AH50"/>
  <c r="AH49"/>
  <c r="AH48"/>
  <c r="AH47"/>
  <c r="AH46"/>
  <c r="AH45"/>
  <c r="AH44"/>
  <c r="AH43"/>
  <c r="AH42"/>
  <c r="AH41"/>
  <c r="AH40"/>
  <c r="AH39"/>
  <c r="AH38"/>
  <c r="AH37"/>
  <c r="AH36"/>
  <c r="AH35"/>
  <c r="AH34"/>
  <c r="AH33"/>
  <c r="AH32"/>
  <c r="AH31"/>
  <c r="AH30"/>
  <c r="AH29"/>
  <c r="AH28"/>
  <c r="AH27"/>
  <c r="AH26"/>
  <c r="AH25"/>
  <c r="AH24"/>
  <c r="AH23"/>
  <c r="AH22"/>
  <c r="AH21"/>
  <c r="AH20"/>
  <c r="AH19"/>
  <c r="AH18"/>
  <c r="AH17"/>
  <c r="AH16"/>
  <c r="AH15"/>
  <c r="AH14"/>
  <c r="AH13"/>
  <c r="AH12"/>
  <c r="AH11"/>
  <c r="AH10"/>
  <c r="AH9"/>
  <c r="AH8"/>
  <c r="AH7"/>
  <c r="AH6"/>
  <c r="AH5"/>
  <c r="AH4"/>
  <c r="AH53" i="22"/>
  <c r="AH52"/>
  <c r="AH51"/>
  <c r="AH50"/>
  <c r="AH49"/>
  <c r="AH48"/>
  <c r="AH47"/>
  <c r="AH46"/>
  <c r="AH45"/>
  <c r="AH44"/>
  <c r="AH43"/>
  <c r="AH42"/>
  <c r="AH41"/>
  <c r="AH40"/>
  <c r="AH39"/>
  <c r="AH38"/>
  <c r="AH37"/>
  <c r="AH36"/>
  <c r="AH35"/>
  <c r="AH34"/>
  <c r="AH33"/>
  <c r="AH32"/>
  <c r="AH31"/>
  <c r="AH30"/>
  <c r="AH29"/>
  <c r="AH28"/>
  <c r="AH27"/>
  <c r="AH26"/>
  <c r="AH25"/>
  <c r="AH24"/>
  <c r="AH23"/>
  <c r="AH22"/>
  <c r="AH21"/>
  <c r="AH20"/>
  <c r="AH19"/>
  <c r="AH18"/>
  <c r="AH17"/>
  <c r="AH16"/>
  <c r="AH15"/>
  <c r="AH14"/>
  <c r="AH13"/>
  <c r="AH12"/>
  <c r="AH11"/>
  <c r="AH10"/>
  <c r="AH9"/>
  <c r="AH8"/>
  <c r="AH7"/>
  <c r="AH6"/>
  <c r="AH5"/>
  <c r="AH4"/>
  <c r="AH53" i="9"/>
  <c r="AH52"/>
  <c r="AH51"/>
  <c r="AH50"/>
  <c r="AH49"/>
  <c r="AH48"/>
  <c r="AH47"/>
  <c r="AH46"/>
  <c r="AH45"/>
  <c r="AH44"/>
  <c r="AH43"/>
  <c r="AH42"/>
  <c r="AH41"/>
  <c r="AH40"/>
  <c r="AH39"/>
  <c r="AH38"/>
  <c r="AH37"/>
  <c r="AH36"/>
  <c r="AH35"/>
  <c r="AH34"/>
  <c r="AH33"/>
  <c r="AH32"/>
  <c r="AH31"/>
  <c r="AH30"/>
  <c r="AH29"/>
  <c r="AH28"/>
  <c r="AH27"/>
  <c r="AH26"/>
  <c r="AH25"/>
  <c r="AH24"/>
  <c r="AH23"/>
  <c r="AH22"/>
  <c r="AH21"/>
  <c r="AH20"/>
  <c r="AH19"/>
  <c r="AH18"/>
  <c r="AH17"/>
  <c r="AH16"/>
  <c r="AH15"/>
  <c r="AH14"/>
  <c r="AH13"/>
  <c r="AH12"/>
  <c r="AH11"/>
  <c r="AH10"/>
  <c r="AH9"/>
  <c r="AH8"/>
  <c r="AH7"/>
  <c r="AH6"/>
  <c r="AH5"/>
  <c r="AH4"/>
  <c r="S53" i="24"/>
  <c r="S52"/>
  <c r="S51"/>
  <c r="S50"/>
  <c r="S49"/>
  <c r="S48"/>
  <c r="S47"/>
  <c r="S46"/>
  <c r="S45"/>
  <c r="S44"/>
  <c r="S43"/>
  <c r="S42"/>
  <c r="S41"/>
  <c r="S40"/>
  <c r="S39"/>
  <c r="S38"/>
  <c r="S37"/>
  <c r="S36"/>
  <c r="S35"/>
  <c r="S34"/>
  <c r="S33"/>
  <c r="S32"/>
  <c r="S31"/>
  <c r="S30"/>
  <c r="S29"/>
  <c r="S28"/>
  <c r="S27"/>
  <c r="S26"/>
  <c r="S25"/>
  <c r="S24"/>
  <c r="S23"/>
  <c r="S22"/>
  <c r="S21"/>
  <c r="S20"/>
  <c r="S19"/>
  <c r="S18"/>
  <c r="S17"/>
  <c r="S16"/>
  <c r="S15"/>
  <c r="S14"/>
  <c r="S13"/>
  <c r="S12"/>
  <c r="S11"/>
  <c r="S10"/>
  <c r="S9"/>
  <c r="S8"/>
  <c r="S7"/>
  <c r="S6"/>
  <c r="S5"/>
  <c r="S4"/>
  <c r="Q53" i="7"/>
  <c r="Q52"/>
  <c r="Q51"/>
  <c r="Q50"/>
  <c r="Q49"/>
  <c r="Q48"/>
  <c r="Q47"/>
  <c r="Q46"/>
  <c r="Q45"/>
  <c r="Q44"/>
  <c r="Q43"/>
  <c r="Q42"/>
  <c r="Q41"/>
  <c r="Q40"/>
  <c r="Q39"/>
  <c r="Q38"/>
  <c r="Q37"/>
  <c r="Q36"/>
  <c r="Q35"/>
  <c r="Q34"/>
  <c r="Q33"/>
  <c r="Q32"/>
  <c r="Q31"/>
  <c r="Q30"/>
  <c r="Q29"/>
  <c r="Q28"/>
  <c r="Q27"/>
  <c r="Q26"/>
  <c r="Q25"/>
  <c r="Q24"/>
  <c r="Q23"/>
  <c r="Q22"/>
  <c r="Q21"/>
  <c r="Q20"/>
  <c r="Q19"/>
  <c r="Q18"/>
  <c r="Q17"/>
  <c r="Q16"/>
  <c r="Q15"/>
  <c r="Q14"/>
  <c r="Q13"/>
  <c r="Q12"/>
  <c r="Q11"/>
  <c r="Q10"/>
  <c r="Q9"/>
  <c r="Q8"/>
  <c r="Q7"/>
  <c r="Q6"/>
  <c r="Q5"/>
  <c r="Q4"/>
  <c r="Q53" i="20"/>
  <c r="Q52"/>
  <c r="Q51"/>
  <c r="Q50"/>
  <c r="Q49"/>
  <c r="Q48"/>
  <c r="Q47"/>
  <c r="Q46"/>
  <c r="Q45"/>
  <c r="Q44"/>
  <c r="Q43"/>
  <c r="Q42"/>
  <c r="Q41"/>
  <c r="Q40"/>
  <c r="Q39"/>
  <c r="Q38"/>
  <c r="Q37"/>
  <c r="Q36"/>
  <c r="Q35"/>
  <c r="Q34"/>
  <c r="Q33"/>
  <c r="Q32"/>
  <c r="Q31"/>
  <c r="Q30"/>
  <c r="Q29"/>
  <c r="Q28"/>
  <c r="Q27"/>
  <c r="Q26"/>
  <c r="Q25"/>
  <c r="Q24"/>
  <c r="Q23"/>
  <c r="Q22"/>
  <c r="Q21"/>
  <c r="Q20"/>
  <c r="Q19"/>
  <c r="Q18"/>
  <c r="Q17"/>
  <c r="Q16"/>
  <c r="Q15"/>
  <c r="Q14"/>
  <c r="Q13"/>
  <c r="Q12"/>
  <c r="Q11"/>
  <c r="Q10"/>
  <c r="Q9"/>
  <c r="Q8"/>
  <c r="Q7"/>
  <c r="Q6"/>
  <c r="Q5"/>
  <c r="Q4"/>
  <c r="Q53" i="8"/>
  <c r="Q52"/>
  <c r="Q51"/>
  <c r="Q50"/>
  <c r="Q49"/>
  <c r="Q48"/>
  <c r="Q47"/>
  <c r="Q46"/>
  <c r="Q45"/>
  <c r="Q44"/>
  <c r="Q43"/>
  <c r="Q42"/>
  <c r="Q41"/>
  <c r="Q40"/>
  <c r="Q39"/>
  <c r="Q38"/>
  <c r="Q37"/>
  <c r="Q36"/>
  <c r="Q35"/>
  <c r="Q34"/>
  <c r="Q33"/>
  <c r="Q32"/>
  <c r="Q31"/>
  <c r="Q30"/>
  <c r="Q29"/>
  <c r="Q28"/>
  <c r="Q27"/>
  <c r="Q26"/>
  <c r="Q25"/>
  <c r="Q24"/>
  <c r="Q23"/>
  <c r="Q22"/>
  <c r="Q21"/>
  <c r="Q20"/>
  <c r="Q19"/>
  <c r="Q18"/>
  <c r="Q17"/>
  <c r="Q16"/>
  <c r="Q15"/>
  <c r="Q14"/>
  <c r="Q13"/>
  <c r="Q12"/>
  <c r="Q11"/>
  <c r="Q10"/>
  <c r="Q9"/>
  <c r="Q8"/>
  <c r="Q7"/>
  <c r="Q6"/>
  <c r="Q5"/>
  <c r="Q4"/>
  <c r="Q53" i="5"/>
  <c r="Q52"/>
  <c r="Q51"/>
  <c r="Q50"/>
  <c r="Q49"/>
  <c r="Q48"/>
  <c r="Q47"/>
  <c r="Q46"/>
  <c r="Q45"/>
  <c r="Q44"/>
  <c r="Q43"/>
  <c r="Q42"/>
  <c r="Q41"/>
  <c r="Q40"/>
  <c r="Q39"/>
  <c r="Q38"/>
  <c r="Q37"/>
  <c r="Q36"/>
  <c r="Q35"/>
  <c r="Q34"/>
  <c r="Q33"/>
  <c r="Q32"/>
  <c r="Q31"/>
  <c r="Q30"/>
  <c r="Q29"/>
  <c r="Q28"/>
  <c r="Q27"/>
  <c r="Q26"/>
  <c r="Q25"/>
  <c r="Q24"/>
  <c r="Q23"/>
  <c r="Q22"/>
  <c r="Q21"/>
  <c r="Q20"/>
  <c r="Q19"/>
  <c r="Q18"/>
  <c r="Q17"/>
  <c r="Q16"/>
  <c r="Q15"/>
  <c r="Q14"/>
  <c r="Q13"/>
  <c r="Q12"/>
  <c r="Q11"/>
  <c r="Q10"/>
  <c r="Q9"/>
  <c r="Q8"/>
  <c r="Q7"/>
  <c r="Q6"/>
  <c r="Q5"/>
  <c r="Q4"/>
  <c r="Q33" i="2"/>
  <c r="Q32"/>
  <c r="Q31"/>
  <c r="Q30"/>
  <c r="Q29"/>
  <c r="Q28"/>
  <c r="Q27"/>
  <c r="Q26"/>
  <c r="Q25"/>
  <c r="Q24"/>
  <c r="Q23"/>
  <c r="Q22"/>
  <c r="Q21"/>
  <c r="Q20"/>
  <c r="Q19"/>
  <c r="Q18"/>
  <c r="Q17"/>
  <c r="Q16"/>
  <c r="Q15"/>
  <c r="Q14"/>
  <c r="Q13"/>
  <c r="Q12"/>
  <c r="Q11"/>
  <c r="Q10"/>
  <c r="Q9"/>
  <c r="Q8"/>
  <c r="Q7"/>
  <c r="Q6"/>
  <c r="Q5"/>
  <c r="Q4"/>
  <c r="Q33" i="18"/>
  <c r="Q32"/>
  <c r="Q31"/>
  <c r="Q30"/>
  <c r="Q29"/>
  <c r="Q28"/>
  <c r="Q27"/>
  <c r="Q26"/>
  <c r="Q25"/>
  <c r="Q24"/>
  <c r="Q23"/>
  <c r="Q22"/>
  <c r="Q21"/>
  <c r="Q20"/>
  <c r="Q19"/>
  <c r="Q18"/>
  <c r="Q17"/>
  <c r="Q16"/>
  <c r="Q15"/>
  <c r="Q14"/>
  <c r="Q13"/>
  <c r="Q12"/>
  <c r="Q11"/>
  <c r="Q10"/>
  <c r="Q9"/>
  <c r="Q8"/>
  <c r="Q7"/>
  <c r="Q6"/>
  <c r="Q5"/>
  <c r="Q4"/>
  <c r="S47" i="1"/>
  <c r="S46"/>
  <c r="S45"/>
  <c r="S44"/>
  <c r="S43"/>
  <c r="S42"/>
  <c r="S41"/>
  <c r="S40"/>
  <c r="S39"/>
  <c r="S38"/>
  <c r="S37"/>
  <c r="S36"/>
  <c r="S35"/>
  <c r="S34"/>
  <c r="S33"/>
  <c r="S32"/>
  <c r="S31"/>
  <c r="S30"/>
  <c r="S29"/>
  <c r="S28"/>
  <c r="S27"/>
  <c r="S26"/>
  <c r="S25"/>
  <c r="S24"/>
  <c r="S23"/>
  <c r="S22"/>
  <c r="S21"/>
  <c r="S20"/>
  <c r="S19"/>
  <c r="S18"/>
  <c r="S17"/>
  <c r="J2" i="23"/>
  <c r="J2" i="22"/>
  <c r="J2" i="9"/>
  <c r="O24" i="23"/>
  <c r="O21"/>
  <c r="F53" i="24"/>
  <c r="F52"/>
  <c r="F51"/>
  <c r="F50"/>
  <c r="F49"/>
  <c r="F48"/>
  <c r="F47"/>
  <c r="F46"/>
  <c r="F45"/>
  <c r="F44"/>
  <c r="F43"/>
  <c r="F42"/>
  <c r="F41"/>
  <c r="F40"/>
  <c r="F39"/>
  <c r="F38"/>
  <c r="F37"/>
  <c r="F36"/>
  <c r="F35"/>
  <c r="F34"/>
  <c r="F33"/>
  <c r="F32"/>
  <c r="F31"/>
  <c r="F30"/>
  <c r="F29"/>
  <c r="F28"/>
  <c r="F27"/>
  <c r="F26"/>
  <c r="F25"/>
  <c r="F24"/>
  <c r="F23"/>
  <c r="F22"/>
  <c r="F21"/>
  <c r="F20"/>
  <c r="F19"/>
  <c r="F18"/>
  <c r="F17"/>
  <c r="F16"/>
  <c r="F15"/>
  <c r="F14"/>
  <c r="F13"/>
  <c r="F12"/>
  <c r="F11"/>
  <c r="F10"/>
  <c r="F9"/>
  <c r="F8"/>
  <c r="F7"/>
  <c r="F6"/>
  <c r="F5"/>
  <c r="F4"/>
  <c r="O53" i="23"/>
  <c r="O52"/>
  <c r="O51"/>
  <c r="O50"/>
  <c r="O49"/>
  <c r="O48"/>
  <c r="O47"/>
  <c r="O46"/>
  <c r="O45"/>
  <c r="O44"/>
  <c r="O43"/>
  <c r="O42"/>
  <c r="O41"/>
  <c r="O40"/>
  <c r="O39"/>
  <c r="O38"/>
  <c r="O37"/>
  <c r="O36"/>
  <c r="O35"/>
  <c r="O34"/>
  <c r="O33"/>
  <c r="O32"/>
  <c r="O31"/>
  <c r="O30"/>
  <c r="O29"/>
  <c r="O28"/>
  <c r="O27"/>
  <c r="O26"/>
  <c r="O25"/>
  <c r="O23"/>
  <c r="O22"/>
  <c r="O20"/>
  <c r="O19"/>
  <c r="O18"/>
  <c r="S17"/>
  <c r="S16"/>
  <c r="S15"/>
  <c r="S14"/>
  <c r="S13"/>
  <c r="S12"/>
  <c r="S11"/>
  <c r="S10"/>
  <c r="S9"/>
  <c r="S8"/>
  <c r="S7"/>
  <c r="S6"/>
  <c r="S5"/>
  <c r="S4"/>
  <c r="O53" i="22"/>
  <c r="O52"/>
  <c r="O51"/>
  <c r="O50"/>
  <c r="O49"/>
  <c r="O48"/>
  <c r="O47"/>
  <c r="O46"/>
  <c r="O45"/>
  <c r="O44"/>
  <c r="O43"/>
  <c r="O42"/>
  <c r="O41"/>
  <c r="O40"/>
  <c r="O39"/>
  <c r="O38"/>
  <c r="O37"/>
  <c r="O36"/>
  <c r="O35"/>
  <c r="O34"/>
  <c r="O33"/>
  <c r="O32"/>
  <c r="O31"/>
  <c r="O30"/>
  <c r="O29"/>
  <c r="O28"/>
  <c r="O27"/>
  <c r="O25"/>
  <c r="O23"/>
  <c r="O22"/>
  <c r="O21"/>
  <c r="O20"/>
  <c r="O19"/>
  <c r="S17"/>
  <c r="S16"/>
  <c r="S15"/>
  <c r="S14"/>
  <c r="S13"/>
  <c r="S12"/>
  <c r="S11"/>
  <c r="S10"/>
  <c r="S9"/>
  <c r="S8"/>
  <c r="S7"/>
  <c r="S6"/>
  <c r="S5"/>
  <c r="S4"/>
  <c r="L53" i="24"/>
  <c r="L52"/>
  <c r="L51"/>
  <c r="L50"/>
  <c r="L49"/>
  <c r="L48"/>
  <c r="L47"/>
  <c r="L46"/>
  <c r="L45"/>
  <c r="L44"/>
  <c r="L43"/>
  <c r="L42"/>
  <c r="L41"/>
  <c r="L40"/>
  <c r="L39"/>
  <c r="L38"/>
  <c r="L37"/>
  <c r="L36"/>
  <c r="L35"/>
  <c r="L34"/>
  <c r="L33"/>
  <c r="L32"/>
  <c r="L31"/>
  <c r="L30"/>
  <c r="L29"/>
  <c r="L28"/>
  <c r="L27"/>
  <c r="L26"/>
  <c r="L25"/>
  <c r="L24"/>
  <c r="L23"/>
  <c r="L22"/>
  <c r="L20"/>
  <c r="L19"/>
  <c r="K53"/>
  <c r="K52"/>
  <c r="K51"/>
  <c r="K50"/>
  <c r="K49"/>
  <c r="K48"/>
  <c r="K47"/>
  <c r="K46"/>
  <c r="K45"/>
  <c r="K44"/>
  <c r="K43"/>
  <c r="K42"/>
  <c r="K41"/>
  <c r="K40"/>
  <c r="K39"/>
  <c r="K38"/>
  <c r="K37"/>
  <c r="K36"/>
  <c r="K35"/>
  <c r="K34"/>
  <c r="K33"/>
  <c r="K32"/>
  <c r="K31"/>
  <c r="K30"/>
  <c r="K29"/>
  <c r="K28"/>
  <c r="K27"/>
  <c r="K26"/>
  <c r="K25"/>
  <c r="K24"/>
  <c r="K23"/>
  <c r="K22"/>
  <c r="K20"/>
  <c r="K19"/>
  <c r="O53" i="9"/>
  <c r="O52"/>
  <c r="O51"/>
  <c r="O50"/>
  <c r="O49"/>
  <c r="O48"/>
  <c r="O47"/>
  <c r="O46"/>
  <c r="O45"/>
  <c r="O44"/>
  <c r="O43"/>
  <c r="O42"/>
  <c r="O41"/>
  <c r="O40"/>
  <c r="O39"/>
  <c r="O38"/>
  <c r="O37"/>
  <c r="O36"/>
  <c r="O35"/>
  <c r="O34"/>
  <c r="O33"/>
  <c r="O32"/>
  <c r="O31"/>
  <c r="O30"/>
  <c r="O29"/>
  <c r="O28"/>
  <c r="O27"/>
  <c r="O26"/>
  <c r="O25"/>
  <c r="O23"/>
  <c r="O22"/>
  <c r="O21"/>
  <c r="O20"/>
  <c r="S17"/>
  <c r="S16"/>
  <c r="S15"/>
  <c r="S14"/>
  <c r="S13"/>
  <c r="S12"/>
  <c r="S11"/>
  <c r="S10"/>
  <c r="S9"/>
  <c r="S8"/>
  <c r="S7"/>
  <c r="S6"/>
  <c r="S5"/>
  <c r="S4"/>
  <c r="B53" i="24"/>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T12" i="1"/>
  <c r="U12"/>
  <c r="G17" i="9"/>
  <c r="J17" s="1"/>
  <c r="G16"/>
  <c r="G15"/>
  <c r="J15" s="1"/>
  <c r="G14"/>
  <c r="G13"/>
  <c r="J13" s="1"/>
  <c r="G12"/>
  <c r="G11"/>
  <c r="J11" s="1"/>
  <c r="G10"/>
  <c r="G9"/>
  <c r="J9" s="1"/>
  <c r="G8"/>
  <c r="U7"/>
  <c r="V7" s="1"/>
  <c r="G7"/>
  <c r="J7" s="1"/>
  <c r="G6"/>
  <c r="G5"/>
  <c r="G4"/>
  <c r="G16" i="22"/>
  <c r="J16" s="1"/>
  <c r="O16" s="1"/>
  <c r="G17"/>
  <c r="J17" s="1"/>
  <c r="U14"/>
  <c r="V14" s="1"/>
  <c r="G14"/>
  <c r="G15"/>
  <c r="J15" s="1"/>
  <c r="O15" s="1"/>
  <c r="G12"/>
  <c r="G13"/>
  <c r="J13" s="1"/>
  <c r="G10"/>
  <c r="G11"/>
  <c r="J11" s="1"/>
  <c r="O11" s="1"/>
  <c r="G8"/>
  <c r="G9"/>
  <c r="J9" s="1"/>
  <c r="G6"/>
  <c r="G7"/>
  <c r="G4"/>
  <c r="G5"/>
  <c r="V12" i="1"/>
  <c r="S12"/>
  <c r="R12"/>
  <c r="Q12"/>
  <c r="P12"/>
  <c r="O12"/>
  <c r="P33" i="12"/>
  <c r="P32"/>
  <c r="P31"/>
  <c r="P30"/>
  <c r="P29"/>
  <c r="P28"/>
  <c r="P27"/>
  <c r="P26"/>
  <c r="P25"/>
  <c r="P24"/>
  <c r="P23"/>
  <c r="P22"/>
  <c r="P21"/>
  <c r="P20"/>
  <c r="P19"/>
  <c r="P18"/>
  <c r="P17"/>
  <c r="P16"/>
  <c r="P15"/>
  <c r="P14"/>
  <c r="P13"/>
  <c r="P12"/>
  <c r="P11"/>
  <c r="P10"/>
  <c r="P9"/>
  <c r="P8"/>
  <c r="P7"/>
  <c r="P6"/>
  <c r="P5"/>
  <c r="P4"/>
  <c r="N33"/>
  <c r="N32"/>
  <c r="N31"/>
  <c r="N30"/>
  <c r="N29"/>
  <c r="N28"/>
  <c r="N27"/>
  <c r="N26"/>
  <c r="N25"/>
  <c r="N24"/>
  <c r="N23"/>
  <c r="N22"/>
  <c r="N21"/>
  <c r="N20"/>
  <c r="N19"/>
  <c r="N18"/>
  <c r="N17"/>
  <c r="N16"/>
  <c r="N15"/>
  <c r="N14"/>
  <c r="N13"/>
  <c r="N12"/>
  <c r="N11"/>
  <c r="N10"/>
  <c r="N9"/>
  <c r="N8"/>
  <c r="N7"/>
  <c r="N6"/>
  <c r="N5"/>
  <c r="N4"/>
  <c r="L33"/>
  <c r="L32"/>
  <c r="L31"/>
  <c r="L30"/>
  <c r="L29"/>
  <c r="L28"/>
  <c r="L27"/>
  <c r="L26"/>
  <c r="L25"/>
  <c r="L24"/>
  <c r="L23"/>
  <c r="L22"/>
  <c r="L21"/>
  <c r="L20"/>
  <c r="L19"/>
  <c r="L18"/>
  <c r="L17"/>
  <c r="L16"/>
  <c r="L15"/>
  <c r="L14"/>
  <c r="L13"/>
  <c r="L12"/>
  <c r="L11"/>
  <c r="L10"/>
  <c r="L9"/>
  <c r="L8"/>
  <c r="L7"/>
  <c r="L6"/>
  <c r="L5"/>
  <c r="L4"/>
  <c r="J33"/>
  <c r="J32"/>
  <c r="J31"/>
  <c r="J30"/>
  <c r="J29"/>
  <c r="J28"/>
  <c r="J27"/>
  <c r="J26"/>
  <c r="J25"/>
  <c r="J24"/>
  <c r="J23"/>
  <c r="J22"/>
  <c r="J21"/>
  <c r="J20"/>
  <c r="J19"/>
  <c r="J18"/>
  <c r="J17"/>
  <c r="J16"/>
  <c r="J15"/>
  <c r="J14"/>
  <c r="J13"/>
  <c r="J12"/>
  <c r="J11"/>
  <c r="J10"/>
  <c r="J9"/>
  <c r="J8"/>
  <c r="J7"/>
  <c r="J6"/>
  <c r="J5"/>
  <c r="J4"/>
  <c r="H33"/>
  <c r="H32"/>
  <c r="H31"/>
  <c r="H30"/>
  <c r="H29"/>
  <c r="H28"/>
  <c r="H27"/>
  <c r="H26"/>
  <c r="H25"/>
  <c r="H24"/>
  <c r="H23"/>
  <c r="H22"/>
  <c r="H21"/>
  <c r="H20"/>
  <c r="H19"/>
  <c r="H18"/>
  <c r="H17"/>
  <c r="H16"/>
  <c r="H15"/>
  <c r="H14"/>
  <c r="H13"/>
  <c r="H12"/>
  <c r="H11"/>
  <c r="H10"/>
  <c r="H9"/>
  <c r="H8"/>
  <c r="H7"/>
  <c r="H6"/>
  <c r="H5"/>
  <c r="H4"/>
  <c r="F33"/>
  <c r="F32"/>
  <c r="F31"/>
  <c r="F30"/>
  <c r="F29"/>
  <c r="F28"/>
  <c r="F27"/>
  <c r="F26"/>
  <c r="F25"/>
  <c r="F24"/>
  <c r="F23"/>
  <c r="F22"/>
  <c r="F21"/>
  <c r="F20"/>
  <c r="F19"/>
  <c r="F18"/>
  <c r="F17"/>
  <c r="F16"/>
  <c r="F15"/>
  <c r="F14"/>
  <c r="F13"/>
  <c r="F12"/>
  <c r="F11"/>
  <c r="F10"/>
  <c r="F9"/>
  <c r="F8"/>
  <c r="F7"/>
  <c r="F6"/>
  <c r="F5"/>
  <c r="F4"/>
  <c r="E33" i="11"/>
  <c r="E32"/>
  <c r="E31"/>
  <c r="E30"/>
  <c r="E29"/>
  <c r="E28"/>
  <c r="E27"/>
  <c r="E26"/>
  <c r="E25"/>
  <c r="E24"/>
  <c r="E23"/>
  <c r="E22"/>
  <c r="E21"/>
  <c r="E20"/>
  <c r="E19"/>
  <c r="E18"/>
  <c r="E17"/>
  <c r="E16"/>
  <c r="E15"/>
  <c r="E14"/>
  <c r="E13"/>
  <c r="E12"/>
  <c r="E11"/>
  <c r="E10"/>
  <c r="E9"/>
  <c r="E8"/>
  <c r="E7"/>
  <c r="E6"/>
  <c r="E5"/>
  <c r="E4"/>
  <c r="H51" i="1"/>
  <c r="F51"/>
  <c r="F4" i="2"/>
  <c r="G4" s="1"/>
  <c r="G4" i="8"/>
  <c r="H4" s="1"/>
  <c r="G5"/>
  <c r="H5" s="1"/>
  <c r="I4" i="20"/>
  <c r="J4" s="1"/>
  <c r="I5"/>
  <c r="J5" s="1"/>
  <c r="I4" i="7"/>
  <c r="J4" s="1"/>
  <c r="K4" s="1"/>
  <c r="I5"/>
  <c r="F5" i="2"/>
  <c r="G5" s="1"/>
  <c r="G6" i="8"/>
  <c r="H6" s="1"/>
  <c r="G7"/>
  <c r="H7" s="1"/>
  <c r="I6" i="20"/>
  <c r="J6" s="1"/>
  <c r="I7"/>
  <c r="J7" s="1"/>
  <c r="I6" i="7"/>
  <c r="J6" s="1"/>
  <c r="K6" s="1"/>
  <c r="I7"/>
  <c r="J7" s="1"/>
  <c r="K7" s="1"/>
  <c r="F6" i="2"/>
  <c r="G8" i="8"/>
  <c r="H8" s="1"/>
  <c r="G9"/>
  <c r="H9" s="1"/>
  <c r="I8" i="20"/>
  <c r="J8" s="1"/>
  <c r="I9"/>
  <c r="J9" s="1"/>
  <c r="I8" i="7"/>
  <c r="J8" s="1"/>
  <c r="K8" s="1"/>
  <c r="I9"/>
  <c r="J9" s="1"/>
  <c r="K9" s="1"/>
  <c r="F7" i="2"/>
  <c r="G7" s="1"/>
  <c r="G10" i="8"/>
  <c r="H10" s="1"/>
  <c r="G11"/>
  <c r="H11" s="1"/>
  <c r="I10" i="20"/>
  <c r="J10" s="1"/>
  <c r="I11"/>
  <c r="I10" i="7"/>
  <c r="J10" s="1"/>
  <c r="K10" s="1"/>
  <c r="I11"/>
  <c r="J11" s="1"/>
  <c r="F8" i="2"/>
  <c r="G8" s="1"/>
  <c r="G12" i="8"/>
  <c r="H12" s="1"/>
  <c r="G13"/>
  <c r="H13" s="1"/>
  <c r="I12" i="20"/>
  <c r="J12" s="1"/>
  <c r="I13"/>
  <c r="J13" s="1"/>
  <c r="I12" i="7"/>
  <c r="J12" s="1"/>
  <c r="I13"/>
  <c r="J13" s="1"/>
  <c r="F9" i="2"/>
  <c r="G9" s="1"/>
  <c r="G14" i="8"/>
  <c r="H14" s="1"/>
  <c r="G15"/>
  <c r="H15" s="1"/>
  <c r="I14" i="20"/>
  <c r="I15"/>
  <c r="J15" s="1"/>
  <c r="I14" i="7"/>
  <c r="J14" s="1"/>
  <c r="I15"/>
  <c r="J15" s="1"/>
  <c r="F10" i="2"/>
  <c r="G10" s="1"/>
  <c r="I16" i="20"/>
  <c r="J16" s="1"/>
  <c r="I17"/>
  <c r="J17" s="1"/>
  <c r="I16" i="7"/>
  <c r="J16" s="1"/>
  <c r="I17"/>
  <c r="J17" s="1"/>
  <c r="D24" i="1"/>
  <c r="D25"/>
  <c r="D26"/>
  <c r="D27"/>
  <c r="D28"/>
  <c r="D29"/>
  <c r="D30"/>
  <c r="D31"/>
  <c r="D32"/>
  <c r="D33"/>
  <c r="D34"/>
  <c r="D35"/>
  <c r="D36"/>
  <c r="D37"/>
  <c r="D38"/>
  <c r="D39"/>
  <c r="D40"/>
  <c r="D41"/>
  <c r="D42"/>
  <c r="D43"/>
  <c r="D44"/>
  <c r="D45"/>
  <c r="D46"/>
  <c r="D47"/>
  <c r="G4" i="5"/>
  <c r="H4" s="1"/>
  <c r="G5"/>
  <c r="H5" s="1"/>
  <c r="G6"/>
  <c r="G7"/>
  <c r="H7" s="1"/>
  <c r="G8"/>
  <c r="H8" s="1"/>
  <c r="G9"/>
  <c r="H9" s="1"/>
  <c r="G10"/>
  <c r="H10" s="1"/>
  <c r="G11"/>
  <c r="H11" s="1"/>
  <c r="G12"/>
  <c r="H12" s="1"/>
  <c r="G13"/>
  <c r="H13" s="1"/>
  <c r="G14"/>
  <c r="G15"/>
  <c r="G16"/>
  <c r="H16" s="1"/>
  <c r="G17"/>
  <c r="H17" s="1"/>
  <c r="E24" i="1"/>
  <c r="E25"/>
  <c r="E26"/>
  <c r="E27"/>
  <c r="E28"/>
  <c r="E29"/>
  <c r="E30"/>
  <c r="E31"/>
  <c r="E32"/>
  <c r="E33"/>
  <c r="E34"/>
  <c r="E35"/>
  <c r="E36"/>
  <c r="E37"/>
  <c r="E38"/>
  <c r="E39"/>
  <c r="E40"/>
  <c r="E41"/>
  <c r="E42"/>
  <c r="E43"/>
  <c r="E44"/>
  <c r="E45"/>
  <c r="E46"/>
  <c r="E47"/>
  <c r="G4" i="23"/>
  <c r="G5"/>
  <c r="G6"/>
  <c r="J6" s="1"/>
  <c r="O6" s="1"/>
  <c r="U7"/>
  <c r="V7" s="1"/>
  <c r="G7"/>
  <c r="G8"/>
  <c r="H8" s="1"/>
  <c r="U9"/>
  <c r="V9" s="1"/>
  <c r="G9"/>
  <c r="G10"/>
  <c r="U11"/>
  <c r="V11" s="1"/>
  <c r="G11"/>
  <c r="G12"/>
  <c r="U13"/>
  <c r="V13" s="1"/>
  <c r="G13"/>
  <c r="H13" s="1"/>
  <c r="I13" s="1"/>
  <c r="N13" s="1"/>
  <c r="G14"/>
  <c r="H14" s="1"/>
  <c r="U15"/>
  <c r="V15" s="1"/>
  <c r="G15"/>
  <c r="G16"/>
  <c r="J16" s="1"/>
  <c r="O16" s="1"/>
  <c r="G17"/>
  <c r="J17" s="1"/>
  <c r="I24" i="1"/>
  <c r="I25"/>
  <c r="I26"/>
  <c r="I27"/>
  <c r="I28"/>
  <c r="I29"/>
  <c r="I30"/>
  <c r="I31"/>
  <c r="I32"/>
  <c r="I33"/>
  <c r="I34"/>
  <c r="I35"/>
  <c r="I36"/>
  <c r="I37"/>
  <c r="I38"/>
  <c r="I39"/>
  <c r="I40"/>
  <c r="I41"/>
  <c r="I42"/>
  <c r="I43"/>
  <c r="I44"/>
  <c r="I45"/>
  <c r="I46"/>
  <c r="I47"/>
  <c r="N53" i="23"/>
  <c r="M53"/>
  <c r="L53"/>
  <c r="K53"/>
  <c r="I53"/>
  <c r="H53"/>
  <c r="N52"/>
  <c r="M52"/>
  <c r="L52"/>
  <c r="K52"/>
  <c r="I52"/>
  <c r="H52"/>
  <c r="N51"/>
  <c r="M51"/>
  <c r="L51"/>
  <c r="K51"/>
  <c r="I51"/>
  <c r="H51"/>
  <c r="N50"/>
  <c r="M50"/>
  <c r="L50"/>
  <c r="K50"/>
  <c r="I50"/>
  <c r="H50"/>
  <c r="N49"/>
  <c r="M49"/>
  <c r="L49"/>
  <c r="K49"/>
  <c r="I49"/>
  <c r="H49"/>
  <c r="N48"/>
  <c r="M48"/>
  <c r="L48"/>
  <c r="K48"/>
  <c r="I48"/>
  <c r="H48"/>
  <c r="N47"/>
  <c r="M47"/>
  <c r="L47"/>
  <c r="K47"/>
  <c r="I47"/>
  <c r="H47"/>
  <c r="N46"/>
  <c r="M46"/>
  <c r="L46"/>
  <c r="K46"/>
  <c r="I46"/>
  <c r="H46"/>
  <c r="N45"/>
  <c r="M45"/>
  <c r="L45"/>
  <c r="K45"/>
  <c r="I45"/>
  <c r="H45"/>
  <c r="N44"/>
  <c r="M44"/>
  <c r="L44"/>
  <c r="K44"/>
  <c r="I44"/>
  <c r="H44"/>
  <c r="N43"/>
  <c r="M43"/>
  <c r="L43"/>
  <c r="K43"/>
  <c r="I43"/>
  <c r="H43"/>
  <c r="N42"/>
  <c r="M42"/>
  <c r="L42"/>
  <c r="K42"/>
  <c r="I42"/>
  <c r="H42"/>
  <c r="N41"/>
  <c r="M41"/>
  <c r="L41"/>
  <c r="K41"/>
  <c r="I41"/>
  <c r="H41"/>
  <c r="N40"/>
  <c r="M40"/>
  <c r="L40"/>
  <c r="K40"/>
  <c r="I40"/>
  <c r="H40"/>
  <c r="N39"/>
  <c r="M39"/>
  <c r="L39"/>
  <c r="K39"/>
  <c r="I39"/>
  <c r="H39"/>
  <c r="N38"/>
  <c r="M38"/>
  <c r="L38"/>
  <c r="K38"/>
  <c r="I38"/>
  <c r="H38"/>
  <c r="N37"/>
  <c r="M37"/>
  <c r="L37"/>
  <c r="K37"/>
  <c r="I37"/>
  <c r="H37"/>
  <c r="N36"/>
  <c r="M36"/>
  <c r="L36"/>
  <c r="K36"/>
  <c r="I36"/>
  <c r="H36"/>
  <c r="N35"/>
  <c r="M35"/>
  <c r="L35"/>
  <c r="K35"/>
  <c r="I35"/>
  <c r="H35"/>
  <c r="N34"/>
  <c r="M34"/>
  <c r="L34"/>
  <c r="K34"/>
  <c r="I34"/>
  <c r="H34"/>
  <c r="N33"/>
  <c r="M33"/>
  <c r="L33"/>
  <c r="K33"/>
  <c r="I33"/>
  <c r="H33"/>
  <c r="N32"/>
  <c r="M32"/>
  <c r="L32"/>
  <c r="K32"/>
  <c r="I32"/>
  <c r="H32"/>
  <c r="N31"/>
  <c r="M31"/>
  <c r="L31"/>
  <c r="K31"/>
  <c r="I31"/>
  <c r="H31"/>
  <c r="N30"/>
  <c r="M30"/>
  <c r="L30"/>
  <c r="K30"/>
  <c r="I30"/>
  <c r="H30"/>
  <c r="N29"/>
  <c r="M29"/>
  <c r="L29"/>
  <c r="K29"/>
  <c r="I29"/>
  <c r="H29"/>
  <c r="N28"/>
  <c r="M28"/>
  <c r="L28"/>
  <c r="K28"/>
  <c r="I28"/>
  <c r="H28"/>
  <c r="N27"/>
  <c r="M27"/>
  <c r="L27"/>
  <c r="K27"/>
  <c r="I27"/>
  <c r="H27"/>
  <c r="N26"/>
  <c r="M26"/>
  <c r="L26"/>
  <c r="K26"/>
  <c r="I26"/>
  <c r="H26"/>
  <c r="N25"/>
  <c r="M25"/>
  <c r="L25"/>
  <c r="K25"/>
  <c r="I25"/>
  <c r="H25"/>
  <c r="M24"/>
  <c r="L24"/>
  <c r="K24"/>
  <c r="N23"/>
  <c r="M23"/>
  <c r="L23"/>
  <c r="K23"/>
  <c r="I23"/>
  <c r="H23"/>
  <c r="N22"/>
  <c r="M22"/>
  <c r="L22"/>
  <c r="K22"/>
  <c r="I22"/>
  <c r="H22"/>
  <c r="M21"/>
  <c r="L21"/>
  <c r="K21"/>
  <c r="N20"/>
  <c r="M20"/>
  <c r="L20"/>
  <c r="K20"/>
  <c r="I20"/>
  <c r="H20"/>
  <c r="N19"/>
  <c r="M19"/>
  <c r="L19"/>
  <c r="K19"/>
  <c r="I19"/>
  <c r="H19"/>
  <c r="N18"/>
  <c r="M18"/>
  <c r="L18"/>
  <c r="K18"/>
  <c r="I18"/>
  <c r="H18"/>
  <c r="N53" i="22"/>
  <c r="N52"/>
  <c r="N51"/>
  <c r="N50"/>
  <c r="N49"/>
  <c r="N48"/>
  <c r="N47"/>
  <c r="N46"/>
  <c r="N45"/>
  <c r="N44"/>
  <c r="N43"/>
  <c r="N42"/>
  <c r="N41"/>
  <c r="N40"/>
  <c r="N39"/>
  <c r="N38"/>
  <c r="N37"/>
  <c r="N36"/>
  <c r="N35"/>
  <c r="N34"/>
  <c r="N33"/>
  <c r="N32"/>
  <c r="N31"/>
  <c r="N30"/>
  <c r="N29"/>
  <c r="N28"/>
  <c r="N27"/>
  <c r="N25"/>
  <c r="N23"/>
  <c r="N22"/>
  <c r="N21"/>
  <c r="N20"/>
  <c r="N19"/>
  <c r="M53"/>
  <c r="M52"/>
  <c r="M51"/>
  <c r="M50"/>
  <c r="M49"/>
  <c r="M48"/>
  <c r="M47"/>
  <c r="M46"/>
  <c r="M45"/>
  <c r="M44"/>
  <c r="M43"/>
  <c r="M42"/>
  <c r="M41"/>
  <c r="M40"/>
  <c r="M39"/>
  <c r="M38"/>
  <c r="M37"/>
  <c r="M36"/>
  <c r="M35"/>
  <c r="M34"/>
  <c r="M33"/>
  <c r="M32"/>
  <c r="M31"/>
  <c r="M30"/>
  <c r="M29"/>
  <c r="M28"/>
  <c r="M27"/>
  <c r="M26"/>
  <c r="M25"/>
  <c r="M24"/>
  <c r="M23"/>
  <c r="M22"/>
  <c r="M21"/>
  <c r="M20"/>
  <c r="M19"/>
  <c r="L53"/>
  <c r="L52"/>
  <c r="L51"/>
  <c r="L50"/>
  <c r="L49"/>
  <c r="L48"/>
  <c r="L47"/>
  <c r="L46"/>
  <c r="L45"/>
  <c r="L44"/>
  <c r="L43"/>
  <c r="L42"/>
  <c r="L41"/>
  <c r="L40"/>
  <c r="L39"/>
  <c r="L38"/>
  <c r="L37"/>
  <c r="L36"/>
  <c r="L35"/>
  <c r="L34"/>
  <c r="L33"/>
  <c r="L32"/>
  <c r="L31"/>
  <c r="L30"/>
  <c r="L29"/>
  <c r="L28"/>
  <c r="L27"/>
  <c r="L26"/>
  <c r="L25"/>
  <c r="L24"/>
  <c r="L23"/>
  <c r="L22"/>
  <c r="L21"/>
  <c r="L20"/>
  <c r="L19"/>
  <c r="K53"/>
  <c r="K52"/>
  <c r="K51"/>
  <c r="K50"/>
  <c r="K49"/>
  <c r="K48"/>
  <c r="K47"/>
  <c r="K46"/>
  <c r="K45"/>
  <c r="K44"/>
  <c r="K43"/>
  <c r="K42"/>
  <c r="K41"/>
  <c r="K40"/>
  <c r="K39"/>
  <c r="K38"/>
  <c r="K37"/>
  <c r="K36"/>
  <c r="K35"/>
  <c r="K34"/>
  <c r="K33"/>
  <c r="K32"/>
  <c r="K31"/>
  <c r="K30"/>
  <c r="K29"/>
  <c r="K28"/>
  <c r="K27"/>
  <c r="K26"/>
  <c r="K25"/>
  <c r="K24"/>
  <c r="K23"/>
  <c r="K22"/>
  <c r="K21"/>
  <c r="K20"/>
  <c r="K19"/>
  <c r="H53"/>
  <c r="H52"/>
  <c r="H51"/>
  <c r="H50"/>
  <c r="H49"/>
  <c r="H48"/>
  <c r="H47"/>
  <c r="H46"/>
  <c r="H45"/>
  <c r="H44"/>
  <c r="H43"/>
  <c r="H42"/>
  <c r="H41"/>
  <c r="H40"/>
  <c r="H39"/>
  <c r="H38"/>
  <c r="H37"/>
  <c r="H36"/>
  <c r="H35"/>
  <c r="H34"/>
  <c r="H33"/>
  <c r="H32"/>
  <c r="H31"/>
  <c r="H30"/>
  <c r="H29"/>
  <c r="H28"/>
  <c r="H27"/>
  <c r="H25"/>
  <c r="H23"/>
  <c r="H22"/>
  <c r="H21"/>
  <c r="H20"/>
  <c r="H19"/>
  <c r="I53"/>
  <c r="I52"/>
  <c r="I51"/>
  <c r="I50"/>
  <c r="I49"/>
  <c r="I48"/>
  <c r="I47"/>
  <c r="I46"/>
  <c r="I45"/>
  <c r="I44"/>
  <c r="I43"/>
  <c r="I42"/>
  <c r="I41"/>
  <c r="I40"/>
  <c r="I39"/>
  <c r="I38"/>
  <c r="I37"/>
  <c r="I36"/>
  <c r="I35"/>
  <c r="I34"/>
  <c r="I33"/>
  <c r="I32"/>
  <c r="I31"/>
  <c r="I30"/>
  <c r="I29"/>
  <c r="I28"/>
  <c r="I27"/>
  <c r="I25"/>
  <c r="I23"/>
  <c r="I22"/>
  <c r="I21"/>
  <c r="I20"/>
  <c r="I19"/>
  <c r="B4" i="23"/>
  <c r="B5"/>
  <c r="B6"/>
  <c r="B7"/>
  <c r="B8"/>
  <c r="B9"/>
  <c r="B10"/>
  <c r="B11"/>
  <c r="B12"/>
  <c r="B13"/>
  <c r="B14"/>
  <c r="B15"/>
  <c r="B16"/>
  <c r="B17"/>
  <c r="B18"/>
  <c r="G18"/>
  <c r="B19"/>
  <c r="G19"/>
  <c r="B20"/>
  <c r="G20"/>
  <c r="B21"/>
  <c r="H21"/>
  <c r="I21"/>
  <c r="N21"/>
  <c r="G21"/>
  <c r="B22"/>
  <c r="G22"/>
  <c r="B23"/>
  <c r="G23"/>
  <c r="B24"/>
  <c r="H24"/>
  <c r="I24"/>
  <c r="N24"/>
  <c r="G24"/>
  <c r="B25"/>
  <c r="G25"/>
  <c r="B26"/>
  <c r="G26"/>
  <c r="B27"/>
  <c r="G27"/>
  <c r="B28"/>
  <c r="G28"/>
  <c r="B29"/>
  <c r="G29"/>
  <c r="B30"/>
  <c r="G30"/>
  <c r="B31"/>
  <c r="G31"/>
  <c r="B32"/>
  <c r="G32"/>
  <c r="B33"/>
  <c r="G33"/>
  <c r="B34"/>
  <c r="G34"/>
  <c r="B35"/>
  <c r="G35"/>
  <c r="B36"/>
  <c r="G36"/>
  <c r="B37"/>
  <c r="G37"/>
  <c r="B38"/>
  <c r="G38"/>
  <c r="B39"/>
  <c r="G39"/>
  <c r="B40"/>
  <c r="G40"/>
  <c r="B41"/>
  <c r="G41"/>
  <c r="B42"/>
  <c r="G42"/>
  <c r="B43"/>
  <c r="G43"/>
  <c r="B44"/>
  <c r="G44"/>
  <c r="B45"/>
  <c r="G45"/>
  <c r="B46"/>
  <c r="G46"/>
  <c r="B47"/>
  <c r="G47"/>
  <c r="B48"/>
  <c r="G48"/>
  <c r="B49"/>
  <c r="G49"/>
  <c r="B50"/>
  <c r="G50"/>
  <c r="B51"/>
  <c r="G51"/>
  <c r="B52"/>
  <c r="G52"/>
  <c r="B53"/>
  <c r="G53"/>
  <c r="G53" i="5"/>
  <c r="G52"/>
  <c r="G51"/>
  <c r="G50"/>
  <c r="G49"/>
  <c r="G48"/>
  <c r="G47"/>
  <c r="G46"/>
  <c r="G45"/>
  <c r="G44"/>
  <c r="G43"/>
  <c r="G42"/>
  <c r="G41"/>
  <c r="G40"/>
  <c r="G39"/>
  <c r="G38"/>
  <c r="G37"/>
  <c r="G36"/>
  <c r="G35"/>
  <c r="G34"/>
  <c r="G33"/>
  <c r="G32"/>
  <c r="G31"/>
  <c r="G30"/>
  <c r="G29"/>
  <c r="G28"/>
  <c r="G27"/>
  <c r="G26"/>
  <c r="G25"/>
  <c r="G24"/>
  <c r="G23"/>
  <c r="G22"/>
  <c r="G21"/>
  <c r="G20"/>
  <c r="G19"/>
  <c r="G18"/>
  <c r="I53" i="7"/>
  <c r="I52"/>
  <c r="I51"/>
  <c r="I50"/>
  <c r="I49"/>
  <c r="I48"/>
  <c r="I47"/>
  <c r="I46"/>
  <c r="I45"/>
  <c r="I44"/>
  <c r="I43"/>
  <c r="I42"/>
  <c r="I41"/>
  <c r="I40"/>
  <c r="I39"/>
  <c r="I38"/>
  <c r="I37"/>
  <c r="I36"/>
  <c r="I35"/>
  <c r="I34"/>
  <c r="I33"/>
  <c r="I32"/>
  <c r="I31"/>
  <c r="I30"/>
  <c r="I29"/>
  <c r="I28"/>
  <c r="I27"/>
  <c r="I26"/>
  <c r="I25"/>
  <c r="I24"/>
  <c r="I23"/>
  <c r="I22"/>
  <c r="I21"/>
  <c r="I20"/>
  <c r="I19"/>
  <c r="I18"/>
  <c r="J18" s="1"/>
  <c r="I53" i="20"/>
  <c r="I52"/>
  <c r="I51"/>
  <c r="I50"/>
  <c r="I49"/>
  <c r="I48"/>
  <c r="I47"/>
  <c r="I46"/>
  <c r="I45"/>
  <c r="I44"/>
  <c r="I43"/>
  <c r="I42"/>
  <c r="I41"/>
  <c r="I40"/>
  <c r="I39"/>
  <c r="I38"/>
  <c r="I37"/>
  <c r="I36"/>
  <c r="I35"/>
  <c r="I34"/>
  <c r="I33"/>
  <c r="I32"/>
  <c r="I31"/>
  <c r="I30"/>
  <c r="I29"/>
  <c r="I28"/>
  <c r="I27"/>
  <c r="I26"/>
  <c r="I25"/>
  <c r="I24"/>
  <c r="I23"/>
  <c r="I22"/>
  <c r="I21"/>
  <c r="I20"/>
  <c r="I19"/>
  <c r="I18"/>
  <c r="F33" i="2"/>
  <c r="F32"/>
  <c r="F31"/>
  <c r="F30"/>
  <c r="F29"/>
  <c r="F28"/>
  <c r="F27"/>
  <c r="F26"/>
  <c r="F25"/>
  <c r="F24"/>
  <c r="F23"/>
  <c r="F22"/>
  <c r="F21"/>
  <c r="F20"/>
  <c r="F19"/>
  <c r="F18"/>
  <c r="F17"/>
  <c r="F16"/>
  <c r="F15"/>
  <c r="F14"/>
  <c r="F13"/>
  <c r="F12"/>
  <c r="F11"/>
  <c r="H26" i="22"/>
  <c r="I26"/>
  <c r="N26"/>
  <c r="H24"/>
  <c r="I24"/>
  <c r="N24"/>
  <c r="I53" i="9"/>
  <c r="I52"/>
  <c r="I51"/>
  <c r="I50"/>
  <c r="I49"/>
  <c r="I48"/>
  <c r="I47"/>
  <c r="I46"/>
  <c r="I45"/>
  <c r="I44"/>
  <c r="I43"/>
  <c r="I42"/>
  <c r="I41"/>
  <c r="I40"/>
  <c r="I39"/>
  <c r="I38"/>
  <c r="I37"/>
  <c r="I36"/>
  <c r="I35"/>
  <c r="I34"/>
  <c r="I33"/>
  <c r="I32"/>
  <c r="I31"/>
  <c r="I30"/>
  <c r="I29"/>
  <c r="I28"/>
  <c r="I27"/>
  <c r="I26"/>
  <c r="I25"/>
  <c r="I23"/>
  <c r="I22"/>
  <c r="I21"/>
  <c r="I20"/>
  <c r="G53" i="8"/>
  <c r="G52"/>
  <c r="G51"/>
  <c r="G50"/>
  <c r="G49"/>
  <c r="G48"/>
  <c r="G47"/>
  <c r="G46"/>
  <c r="G45"/>
  <c r="G44"/>
  <c r="G43"/>
  <c r="G42"/>
  <c r="G41"/>
  <c r="G40"/>
  <c r="G39"/>
  <c r="G38"/>
  <c r="G37"/>
  <c r="G36"/>
  <c r="G35"/>
  <c r="G34"/>
  <c r="G33"/>
  <c r="G32"/>
  <c r="G31"/>
  <c r="G30"/>
  <c r="G29"/>
  <c r="G28"/>
  <c r="G27"/>
  <c r="G26"/>
  <c r="G25"/>
  <c r="G24"/>
  <c r="G23"/>
  <c r="G22"/>
  <c r="G21"/>
  <c r="G20"/>
  <c r="G19"/>
  <c r="G18"/>
  <c r="G17"/>
  <c r="H17" s="1"/>
  <c r="I17" s="1"/>
  <c r="G16"/>
  <c r="H16" s="1"/>
  <c r="N53" i="9"/>
  <c r="N52"/>
  <c r="N51"/>
  <c r="N50"/>
  <c r="N49"/>
  <c r="N48"/>
  <c r="N47"/>
  <c r="N46"/>
  <c r="N45"/>
  <c r="N44"/>
  <c r="N43"/>
  <c r="N42"/>
  <c r="N41"/>
  <c r="N40"/>
  <c r="N39"/>
  <c r="N38"/>
  <c r="N37"/>
  <c r="N36"/>
  <c r="N35"/>
  <c r="N34"/>
  <c r="N33"/>
  <c r="N32"/>
  <c r="N31"/>
  <c r="N30"/>
  <c r="N29"/>
  <c r="N28"/>
  <c r="N27"/>
  <c r="N26"/>
  <c r="N25"/>
  <c r="N23"/>
  <c r="N22"/>
  <c r="N21"/>
  <c r="N20"/>
  <c r="G53" i="22"/>
  <c r="G52"/>
  <c r="G51"/>
  <c r="G50"/>
  <c r="G49"/>
  <c r="G48"/>
  <c r="G47"/>
  <c r="G46"/>
  <c r="G45"/>
  <c r="G44"/>
  <c r="G43"/>
  <c r="G42"/>
  <c r="G41"/>
  <c r="G40"/>
  <c r="G39"/>
  <c r="G38"/>
  <c r="G37"/>
  <c r="G36"/>
  <c r="G35"/>
  <c r="G34"/>
  <c r="G33"/>
  <c r="G32"/>
  <c r="G31"/>
  <c r="G30"/>
  <c r="G29"/>
  <c r="G28"/>
  <c r="G27"/>
  <c r="G26"/>
  <c r="G25"/>
  <c r="G24"/>
  <c r="G23"/>
  <c r="G22"/>
  <c r="G21"/>
  <c r="G20"/>
  <c r="G19"/>
  <c r="G18"/>
  <c r="J18" s="1"/>
  <c r="O18" s="1"/>
  <c r="F33" i="18"/>
  <c r="G33"/>
  <c r="F32"/>
  <c r="F31"/>
  <c r="F30"/>
  <c r="F29"/>
  <c r="F28"/>
  <c r="F27"/>
  <c r="F26"/>
  <c r="F25"/>
  <c r="F24"/>
  <c r="F23"/>
  <c r="F22"/>
  <c r="F21"/>
  <c r="F20"/>
  <c r="F19"/>
  <c r="F18"/>
  <c r="F17"/>
  <c r="F16"/>
  <c r="F15"/>
  <c r="F14"/>
  <c r="F13"/>
  <c r="F12"/>
  <c r="F11"/>
  <c r="G53" i="9"/>
  <c r="G52"/>
  <c r="G51"/>
  <c r="G50"/>
  <c r="G49"/>
  <c r="G48"/>
  <c r="G47"/>
  <c r="G46"/>
  <c r="G45"/>
  <c r="G44"/>
  <c r="G43"/>
  <c r="G42"/>
  <c r="G41"/>
  <c r="G40"/>
  <c r="G39"/>
  <c r="G38"/>
  <c r="G37"/>
  <c r="G36"/>
  <c r="G35"/>
  <c r="G34"/>
  <c r="G33"/>
  <c r="G32"/>
  <c r="G31"/>
  <c r="G30"/>
  <c r="G29"/>
  <c r="G28"/>
  <c r="G27"/>
  <c r="G26"/>
  <c r="G25"/>
  <c r="G24"/>
  <c r="O24"/>
  <c r="G23"/>
  <c r="G22"/>
  <c r="G21"/>
  <c r="G20"/>
  <c r="G19"/>
  <c r="J19" s="1"/>
  <c r="O19" s="1"/>
  <c r="G18"/>
  <c r="J18" s="1"/>
  <c r="O18" s="1"/>
  <c r="B4" i="22"/>
  <c r="B5"/>
  <c r="B6"/>
  <c r="B7"/>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H53" i="9"/>
  <c r="H52"/>
  <c r="H51"/>
  <c r="H50"/>
  <c r="H49"/>
  <c r="H48"/>
  <c r="H47"/>
  <c r="H46"/>
  <c r="H45"/>
  <c r="H44"/>
  <c r="H43"/>
  <c r="H42"/>
  <c r="H41"/>
  <c r="H40"/>
  <c r="H39"/>
  <c r="H38"/>
  <c r="H37"/>
  <c r="H36"/>
  <c r="H35"/>
  <c r="H34"/>
  <c r="H33"/>
  <c r="H32"/>
  <c r="H31"/>
  <c r="H30"/>
  <c r="H29"/>
  <c r="H28"/>
  <c r="H27"/>
  <c r="H26"/>
  <c r="H25"/>
  <c r="H23"/>
  <c r="H22"/>
  <c r="H21"/>
  <c r="H20"/>
  <c r="H19"/>
  <c r="I19" s="1"/>
  <c r="J53" i="20"/>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J18"/>
  <c r="K18" s="1"/>
  <c r="J53" i="7"/>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H53" i="8"/>
  <c r="I53" s="1"/>
  <c r="H52"/>
  <c r="I52" s="1"/>
  <c r="H51"/>
  <c r="I51" s="1"/>
  <c r="H50"/>
  <c r="I50" s="1"/>
  <c r="H49"/>
  <c r="I49" s="1"/>
  <c r="H48"/>
  <c r="I48" s="1"/>
  <c r="H47"/>
  <c r="I47" s="1"/>
  <c r="H46"/>
  <c r="I46" s="1"/>
  <c r="H45"/>
  <c r="I45" s="1"/>
  <c r="H44"/>
  <c r="I44" s="1"/>
  <c r="H43"/>
  <c r="I43" s="1"/>
  <c r="H42"/>
  <c r="I42" s="1"/>
  <c r="H41"/>
  <c r="I41" s="1"/>
  <c r="H40"/>
  <c r="I40" s="1"/>
  <c r="H39"/>
  <c r="I39" s="1"/>
  <c r="H38"/>
  <c r="I38" s="1"/>
  <c r="H37"/>
  <c r="I37" s="1"/>
  <c r="H36"/>
  <c r="I36" s="1"/>
  <c r="H35"/>
  <c r="I35" s="1"/>
  <c r="H34"/>
  <c r="I34" s="1"/>
  <c r="H33"/>
  <c r="I33" s="1"/>
  <c r="H32"/>
  <c r="I32" s="1"/>
  <c r="H31"/>
  <c r="I31" s="1"/>
  <c r="H30"/>
  <c r="I30" s="1"/>
  <c r="H29"/>
  <c r="I29" s="1"/>
  <c r="H28"/>
  <c r="I28" s="1"/>
  <c r="H27"/>
  <c r="I27" s="1"/>
  <c r="H26"/>
  <c r="I26" s="1"/>
  <c r="H25"/>
  <c r="I25" s="1"/>
  <c r="H24"/>
  <c r="I24" s="1"/>
  <c r="H23"/>
  <c r="I23" s="1"/>
  <c r="H22"/>
  <c r="I22" s="1"/>
  <c r="H21"/>
  <c r="I21" s="1"/>
  <c r="H20"/>
  <c r="I20" s="1"/>
  <c r="H19"/>
  <c r="I19" s="1"/>
  <c r="H18"/>
  <c r="I18" s="1"/>
  <c r="H53" i="5"/>
  <c r="I53" s="1"/>
  <c r="H52"/>
  <c r="I52" s="1"/>
  <c r="H51"/>
  <c r="I51" s="1"/>
  <c r="H50"/>
  <c r="I50" s="1"/>
  <c r="H49"/>
  <c r="I49" s="1"/>
  <c r="H48"/>
  <c r="I48" s="1"/>
  <c r="H47"/>
  <c r="I47" s="1"/>
  <c r="H46"/>
  <c r="I46" s="1"/>
  <c r="H45"/>
  <c r="I45" s="1"/>
  <c r="H44"/>
  <c r="I44" s="1"/>
  <c r="H43"/>
  <c r="I43" s="1"/>
  <c r="H42"/>
  <c r="I42" s="1"/>
  <c r="H41"/>
  <c r="I41" s="1"/>
  <c r="H40"/>
  <c r="I40" s="1"/>
  <c r="H39"/>
  <c r="I39" s="1"/>
  <c r="H38"/>
  <c r="I38" s="1"/>
  <c r="H37"/>
  <c r="I37" s="1"/>
  <c r="H36"/>
  <c r="I36" s="1"/>
  <c r="H35"/>
  <c r="I35" s="1"/>
  <c r="H34"/>
  <c r="I34" s="1"/>
  <c r="H33"/>
  <c r="I33" s="1"/>
  <c r="H32"/>
  <c r="I32" s="1"/>
  <c r="H31"/>
  <c r="I31" s="1"/>
  <c r="H30"/>
  <c r="I30" s="1"/>
  <c r="H29"/>
  <c r="I29" s="1"/>
  <c r="H28"/>
  <c r="I28" s="1"/>
  <c r="H27"/>
  <c r="I27" s="1"/>
  <c r="H26"/>
  <c r="I26" s="1"/>
  <c r="H25"/>
  <c r="I25" s="1"/>
  <c r="H24"/>
  <c r="I24" s="1"/>
  <c r="H23"/>
  <c r="I23" s="1"/>
  <c r="H22"/>
  <c r="I22" s="1"/>
  <c r="H21"/>
  <c r="I21" s="1"/>
  <c r="H20"/>
  <c r="I20" s="1"/>
  <c r="H19"/>
  <c r="I19" s="1"/>
  <c r="H18"/>
  <c r="I18" s="1"/>
  <c r="G33" i="2"/>
  <c r="H33" s="1"/>
  <c r="G32"/>
  <c r="H32" s="1"/>
  <c r="G31"/>
  <c r="H31" s="1"/>
  <c r="G30"/>
  <c r="H30" s="1"/>
  <c r="G29"/>
  <c r="H29" s="1"/>
  <c r="G28"/>
  <c r="H28" s="1"/>
  <c r="G27"/>
  <c r="H27" s="1"/>
  <c r="G26"/>
  <c r="H26" s="1"/>
  <c r="G25"/>
  <c r="H25" s="1"/>
  <c r="G24"/>
  <c r="H24" s="1"/>
  <c r="G23"/>
  <c r="H23" s="1"/>
  <c r="G22"/>
  <c r="H22" s="1"/>
  <c r="G21"/>
  <c r="H21" s="1"/>
  <c r="G20"/>
  <c r="H20" s="1"/>
  <c r="G19"/>
  <c r="H19" s="1"/>
  <c r="G18"/>
  <c r="H18" s="1"/>
  <c r="G17"/>
  <c r="H17" s="1"/>
  <c r="G16"/>
  <c r="H16" s="1"/>
  <c r="G15"/>
  <c r="H15" s="1"/>
  <c r="G14"/>
  <c r="H14" s="1"/>
  <c r="G13"/>
  <c r="H13" s="1"/>
  <c r="G12"/>
  <c r="H12" s="1"/>
  <c r="G11"/>
  <c r="H11" s="1"/>
  <c r="M53" i="9"/>
  <c r="L53"/>
  <c r="K53"/>
  <c r="M52"/>
  <c r="L52"/>
  <c r="K52"/>
  <c r="M51"/>
  <c r="L51"/>
  <c r="K51"/>
  <c r="M50"/>
  <c r="L50"/>
  <c r="K50"/>
  <c r="M49"/>
  <c r="L49"/>
  <c r="K49"/>
  <c r="M48"/>
  <c r="L48"/>
  <c r="K48"/>
  <c r="M47"/>
  <c r="L47"/>
  <c r="K47"/>
  <c r="M46"/>
  <c r="L46"/>
  <c r="K46"/>
  <c r="M45"/>
  <c r="L45"/>
  <c r="K45"/>
  <c r="M44"/>
  <c r="L44"/>
  <c r="K44"/>
  <c r="M43"/>
  <c r="L43"/>
  <c r="K43"/>
  <c r="M42"/>
  <c r="L42"/>
  <c r="K42"/>
  <c r="M41"/>
  <c r="L41"/>
  <c r="K41"/>
  <c r="M40"/>
  <c r="L40"/>
  <c r="K40"/>
  <c r="M39"/>
  <c r="L39"/>
  <c r="K39"/>
  <c r="M38"/>
  <c r="L38"/>
  <c r="K38"/>
  <c r="M37"/>
  <c r="L37"/>
  <c r="K37"/>
  <c r="M36"/>
  <c r="L36"/>
  <c r="K36"/>
  <c r="M35"/>
  <c r="L35"/>
  <c r="K35"/>
  <c r="M34"/>
  <c r="L34"/>
  <c r="K34"/>
  <c r="M33"/>
  <c r="L33"/>
  <c r="K33"/>
  <c r="M32"/>
  <c r="L32"/>
  <c r="K32"/>
  <c r="M31"/>
  <c r="L31"/>
  <c r="K31"/>
  <c r="M30"/>
  <c r="L30"/>
  <c r="K30"/>
  <c r="M29"/>
  <c r="L29"/>
  <c r="K29"/>
  <c r="M28"/>
  <c r="L28"/>
  <c r="K28"/>
  <c r="M27"/>
  <c r="L27"/>
  <c r="K27"/>
  <c r="M26"/>
  <c r="L26"/>
  <c r="K26"/>
  <c r="M25"/>
  <c r="L25"/>
  <c r="K25"/>
  <c r="M24"/>
  <c r="L24"/>
  <c r="K24"/>
  <c r="M23"/>
  <c r="L23"/>
  <c r="K23"/>
  <c r="M22"/>
  <c r="L22"/>
  <c r="K22"/>
  <c r="M21"/>
  <c r="L21"/>
  <c r="K21"/>
  <c r="M20"/>
  <c r="L20"/>
  <c r="K20"/>
  <c r="H32" i="18"/>
  <c r="I32" s="1"/>
  <c r="H31"/>
  <c r="I31" s="1"/>
  <c r="H30"/>
  <c r="I30" s="1"/>
  <c r="H29"/>
  <c r="I29" s="1"/>
  <c r="H28"/>
  <c r="I28" s="1"/>
  <c r="H27"/>
  <c r="I27" s="1"/>
  <c r="H26"/>
  <c r="I26" s="1"/>
  <c r="H25"/>
  <c r="I25" s="1"/>
  <c r="H24"/>
  <c r="I24" s="1"/>
  <c r="H23"/>
  <c r="I23" s="1"/>
  <c r="H21"/>
  <c r="I21" s="1"/>
  <c r="H19"/>
  <c r="I19" s="1"/>
  <c r="H17"/>
  <c r="I17" s="1"/>
  <c r="H16"/>
  <c r="I16" s="1"/>
  <c r="H15"/>
  <c r="I15" s="1"/>
  <c r="H11"/>
  <c r="I11" s="1"/>
  <c r="B36" i="1"/>
  <c r="B35"/>
  <c r="B34"/>
  <c r="B33"/>
  <c r="B32"/>
  <c r="B31"/>
  <c r="B30"/>
  <c r="B29"/>
  <c r="B28"/>
  <c r="B27"/>
  <c r="B26"/>
  <c r="B25"/>
  <c r="B24"/>
  <c r="B23"/>
  <c r="B22"/>
  <c r="B21"/>
  <c r="B20"/>
  <c r="B19"/>
  <c r="B18"/>
  <c r="B17"/>
  <c r="B4" i="20"/>
  <c r="B5"/>
  <c r="B6"/>
  <c r="B7"/>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B38" i="1"/>
  <c r="B37"/>
  <c r="B42"/>
  <c r="B41"/>
  <c r="B45"/>
  <c r="B44"/>
  <c r="B43"/>
  <c r="B40"/>
  <c r="B47"/>
  <c r="B46"/>
  <c r="B39"/>
  <c r="B33" i="12"/>
  <c r="B32"/>
  <c r="B31"/>
  <c r="B30"/>
  <c r="B29"/>
  <c r="B28"/>
  <c r="B27"/>
  <c r="B26"/>
  <c r="B25"/>
  <c r="B24"/>
  <c r="B23"/>
  <c r="B22"/>
  <c r="B21"/>
  <c r="B20"/>
  <c r="B19"/>
  <c r="B18"/>
  <c r="B17"/>
  <c r="B16"/>
  <c r="B15"/>
  <c r="B14"/>
  <c r="B13"/>
  <c r="B12"/>
  <c r="B11"/>
  <c r="B10"/>
  <c r="B9"/>
  <c r="B8"/>
  <c r="B7"/>
  <c r="B6"/>
  <c r="B5"/>
  <c r="B4"/>
  <c r="B33" i="11"/>
  <c r="B32"/>
  <c r="B31"/>
  <c r="B30"/>
  <c r="B29"/>
  <c r="B28"/>
  <c r="B27"/>
  <c r="B26"/>
  <c r="B25"/>
  <c r="B24"/>
  <c r="B23"/>
  <c r="B22"/>
  <c r="B21"/>
  <c r="B20"/>
  <c r="B19"/>
  <c r="B18"/>
  <c r="B17"/>
  <c r="B16"/>
  <c r="B15"/>
  <c r="B14"/>
  <c r="B13"/>
  <c r="B12"/>
  <c r="B11"/>
  <c r="B10"/>
  <c r="B9"/>
  <c r="B8"/>
  <c r="B7"/>
  <c r="B6"/>
  <c r="B5"/>
  <c r="B4"/>
  <c r="B53" i="9"/>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53" i="7"/>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53" i="8"/>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53" i="5"/>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33" i="2"/>
  <c r="B32"/>
  <c r="B31"/>
  <c r="B30"/>
  <c r="B29"/>
  <c r="B28"/>
  <c r="B27"/>
  <c r="B26"/>
  <c r="B25"/>
  <c r="B24"/>
  <c r="B23"/>
  <c r="B22"/>
  <c r="B21"/>
  <c r="B20"/>
  <c r="B19"/>
  <c r="B18"/>
  <c r="B17"/>
  <c r="B16"/>
  <c r="B15"/>
  <c r="B14"/>
  <c r="B13"/>
  <c r="B12"/>
  <c r="B11"/>
  <c r="B10"/>
  <c r="B9"/>
  <c r="B8"/>
  <c r="B7"/>
  <c r="B6"/>
  <c r="B5"/>
  <c r="B4"/>
  <c r="B33" i="18"/>
  <c r="B32"/>
  <c r="B31"/>
  <c r="B30"/>
  <c r="B29"/>
  <c r="B28"/>
  <c r="B27"/>
  <c r="B26"/>
  <c r="B25"/>
  <c r="B24"/>
  <c r="B23"/>
  <c r="B22"/>
  <c r="B21"/>
  <c r="B20"/>
  <c r="B19"/>
  <c r="B18"/>
  <c r="B17"/>
  <c r="B16"/>
  <c r="B15"/>
  <c r="B14"/>
  <c r="B13"/>
  <c r="B12"/>
  <c r="B11"/>
  <c r="B10"/>
  <c r="B9"/>
  <c r="B8"/>
  <c r="B7"/>
  <c r="B6"/>
  <c r="B5"/>
  <c r="B4"/>
  <c r="G32"/>
  <c r="G31"/>
  <c r="G30"/>
  <c r="G29"/>
  <c r="G28"/>
  <c r="G27"/>
  <c r="G26"/>
  <c r="G25"/>
  <c r="G24"/>
  <c r="G23"/>
  <c r="G22"/>
  <c r="H22"/>
  <c r="I22" s="1"/>
  <c r="G21"/>
  <c r="G20"/>
  <c r="H20"/>
  <c r="I20" s="1"/>
  <c r="G19"/>
  <c r="G18"/>
  <c r="H18"/>
  <c r="I18" s="1"/>
  <c r="G17"/>
  <c r="G16"/>
  <c r="G15"/>
  <c r="G14"/>
  <c r="H14"/>
  <c r="I14" s="1"/>
  <c r="G13"/>
  <c r="H13"/>
  <c r="I13" s="1"/>
  <c r="G12"/>
  <c r="H12"/>
  <c r="I12" s="1"/>
  <c r="G11"/>
  <c r="H14" i="5"/>
  <c r="U6" i="23"/>
  <c r="V6" s="1"/>
  <c r="X13" i="22"/>
  <c r="Y13" s="1"/>
  <c r="L21" i="24"/>
  <c r="H24" i="9"/>
  <c r="I24"/>
  <c r="N24"/>
  <c r="O26" i="22"/>
  <c r="O24"/>
  <c r="K21" i="24"/>
  <c r="H10" i="23"/>
  <c r="U16" i="22"/>
  <c r="V16" s="1"/>
  <c r="U14" i="23"/>
  <c r="V14" s="1"/>
  <c r="H12"/>
  <c r="U12"/>
  <c r="V12" s="1"/>
  <c r="H33" i="18"/>
  <c r="I33" s="1"/>
  <c r="U17" i="23"/>
  <c r="V17" s="1"/>
  <c r="J14" i="20"/>
  <c r="U10" i="23"/>
  <c r="V10" s="1"/>
  <c r="F9" i="18"/>
  <c r="G9"/>
  <c r="F5"/>
  <c r="G5"/>
  <c r="H5"/>
  <c r="I5" s="1"/>
  <c r="J11" i="20"/>
  <c r="F7" i="18"/>
  <c r="G7"/>
  <c r="U17" i="22"/>
  <c r="V17" s="1"/>
  <c r="H17"/>
  <c r="I17" s="1"/>
  <c r="N17" s="1"/>
  <c r="U8" i="23"/>
  <c r="V8" s="1"/>
  <c r="F6" i="18"/>
  <c r="G6"/>
  <c r="H13" i="9"/>
  <c r="I13" s="1"/>
  <c r="L13" s="1"/>
  <c r="H13" i="22"/>
  <c r="I13" s="1"/>
  <c r="L13" s="1"/>
  <c r="X11"/>
  <c r="Y11" s="1"/>
  <c r="J5" i="7"/>
  <c r="K5" s="1"/>
  <c r="F10" i="18"/>
  <c r="G10"/>
  <c r="U9" i="9"/>
  <c r="V9" s="1"/>
  <c r="H9"/>
  <c r="I9" s="1"/>
  <c r="L9" s="1"/>
  <c r="H9" i="22"/>
  <c r="I9" s="1"/>
  <c r="X9"/>
  <c r="Y9" s="1"/>
  <c r="U9"/>
  <c r="V9" s="1"/>
  <c r="U12"/>
  <c r="V12" s="1"/>
  <c r="U16" i="23"/>
  <c r="V16" s="1"/>
  <c r="F8" i="18"/>
  <c r="G8"/>
  <c r="U15" i="22"/>
  <c r="V15" s="1"/>
  <c r="X15"/>
  <c r="Y15" s="1"/>
  <c r="X7"/>
  <c r="Y7" s="1"/>
  <c r="F4" i="18"/>
  <c r="G4"/>
  <c r="H9"/>
  <c r="I9" s="1"/>
  <c r="H7"/>
  <c r="I7" s="1"/>
  <c r="H6"/>
  <c r="I6" s="1"/>
  <c r="H10"/>
  <c r="I10" s="1"/>
  <c r="H8"/>
  <c r="I8" s="1"/>
  <c r="H4"/>
  <c r="I4" s="1"/>
  <c r="H16" i="22" l="1"/>
  <c r="I16" s="1"/>
  <c r="N16" s="1"/>
  <c r="H15"/>
  <c r="I15" s="1"/>
  <c r="N15" s="1"/>
  <c r="H18"/>
  <c r="I18" s="1"/>
  <c r="H7" i="9"/>
  <c r="I7" s="1"/>
  <c r="K7" s="1"/>
  <c r="L19"/>
  <c r="K19"/>
  <c r="N19"/>
  <c r="M19"/>
  <c r="H18"/>
  <c r="I18" s="1"/>
  <c r="I18" i="24"/>
  <c r="L18" s="1"/>
  <c r="F31" i="1" s="1"/>
  <c r="H18" i="24"/>
  <c r="K18" s="1"/>
  <c r="G18"/>
  <c r="J18" s="1"/>
  <c r="K16" i="7"/>
  <c r="K15"/>
  <c r="K12"/>
  <c r="K17"/>
  <c r="K13"/>
  <c r="K18"/>
  <c r="K11"/>
  <c r="K14"/>
  <c r="H17" i="23"/>
  <c r="I17" s="1"/>
  <c r="N17" s="1"/>
  <c r="H15" i="9"/>
  <c r="I15" s="1"/>
  <c r="L15" s="1"/>
  <c r="H16" i="23"/>
  <c r="I16" s="1"/>
  <c r="H11" i="9"/>
  <c r="I11" s="1"/>
  <c r="N11" s="1"/>
  <c r="G17" i="24"/>
  <c r="J17" s="1"/>
  <c r="G15"/>
  <c r="J15" s="1"/>
  <c r="G13"/>
  <c r="J13" s="1"/>
  <c r="G11"/>
  <c r="J11" s="1"/>
  <c r="G9"/>
  <c r="J9" s="1"/>
  <c r="G7"/>
  <c r="J7" s="1"/>
  <c r="G16"/>
  <c r="J16" s="1"/>
  <c r="G14"/>
  <c r="J14" s="1"/>
  <c r="G12"/>
  <c r="J12" s="1"/>
  <c r="G10"/>
  <c r="J10" s="1"/>
  <c r="G8"/>
  <c r="J8" s="1"/>
  <c r="G6"/>
  <c r="J6" s="1"/>
  <c r="X8" i="22"/>
  <c r="Y8" s="1"/>
  <c r="D52" i="1"/>
  <c r="I14" i="23"/>
  <c r="K14" s="1"/>
  <c r="I12"/>
  <c r="M12" s="1"/>
  <c r="N9" i="15"/>
  <c r="K8"/>
  <c r="K9"/>
  <c r="K6"/>
  <c r="K11"/>
  <c r="K10"/>
  <c r="K7"/>
  <c r="O6"/>
  <c r="O10"/>
  <c r="O8"/>
  <c r="O7"/>
  <c r="O9"/>
  <c r="O11"/>
  <c r="I8" i="23"/>
  <c r="N8" s="1"/>
  <c r="L11" i="15"/>
  <c r="I10" i="23"/>
  <c r="M10" s="1"/>
  <c r="M9" i="15"/>
  <c r="M7"/>
  <c r="M10"/>
  <c r="M11"/>
  <c r="M6"/>
  <c r="M8"/>
  <c r="H17" i="24"/>
  <c r="H15"/>
  <c r="K15" s="1"/>
  <c r="H13"/>
  <c r="K13" s="1"/>
  <c r="H11"/>
  <c r="K11" s="1"/>
  <c r="H9"/>
  <c r="K9" s="1"/>
  <c r="H7"/>
  <c r="K7" s="1"/>
  <c r="H16"/>
  <c r="K16" s="1"/>
  <c r="H14"/>
  <c r="K14" s="1"/>
  <c r="H12"/>
  <c r="K12" s="1"/>
  <c r="H10"/>
  <c r="K10" s="1"/>
  <c r="H8"/>
  <c r="K8" s="1"/>
  <c r="H6"/>
  <c r="K6" s="1"/>
  <c r="X17" i="22"/>
  <c r="Y17" s="1"/>
  <c r="X12"/>
  <c r="Y12" s="1"/>
  <c r="Y14" i="9"/>
  <c r="Z14" s="1"/>
  <c r="H17"/>
  <c r="I17" s="1"/>
  <c r="K17" s="1"/>
  <c r="K11" i="20"/>
  <c r="I12" i="5"/>
  <c r="I10"/>
  <c r="K16" i="20"/>
  <c r="K15"/>
  <c r="I15" i="8"/>
  <c r="K12" i="20"/>
  <c r="I12" i="8"/>
  <c r="I11"/>
  <c r="H7" i="2"/>
  <c r="K9" i="20"/>
  <c r="I9" i="8"/>
  <c r="K7" i="20"/>
  <c r="K5"/>
  <c r="I5" i="8"/>
  <c r="L5"/>
  <c r="H4" i="2"/>
  <c r="K14" i="20"/>
  <c r="I14" i="5"/>
  <c r="I16" i="8"/>
  <c r="I17" i="5"/>
  <c r="I13"/>
  <c r="I11"/>
  <c r="E20" i="1" s="1"/>
  <c r="I9" i="5"/>
  <c r="I7"/>
  <c r="I5"/>
  <c r="K17" i="20"/>
  <c r="H10" i="2"/>
  <c r="I14" i="8"/>
  <c r="K13" i="20"/>
  <c r="I13" i="8"/>
  <c r="H8" i="2"/>
  <c r="K10" i="20"/>
  <c r="I10" i="8"/>
  <c r="K8" i="20"/>
  <c r="I8" i="8"/>
  <c r="K6" i="20"/>
  <c r="I6" i="8"/>
  <c r="X6" i="22"/>
  <c r="Y6" s="1"/>
  <c r="X16"/>
  <c r="Y16" s="1"/>
  <c r="X10"/>
  <c r="Y10" s="1"/>
  <c r="I4" i="8"/>
  <c r="L4"/>
  <c r="I7"/>
  <c r="H10" i="9"/>
  <c r="U6"/>
  <c r="V6" s="1"/>
  <c r="H8" i="22"/>
  <c r="J14" i="23"/>
  <c r="O14" s="1"/>
  <c r="J12"/>
  <c r="O12" s="1"/>
  <c r="J10"/>
  <c r="O10" s="1"/>
  <c r="J8"/>
  <c r="O8" s="1"/>
  <c r="J7" i="22"/>
  <c r="O7" s="1"/>
  <c r="U13"/>
  <c r="V13" s="1"/>
  <c r="H15" i="23"/>
  <c r="I15" s="1"/>
  <c r="N15" s="1"/>
  <c r="U10" i="9"/>
  <c r="V10" s="1"/>
  <c r="H11" i="23"/>
  <c r="I11" s="1"/>
  <c r="K11" s="1"/>
  <c r="X14" i="22"/>
  <c r="Y14" s="1"/>
  <c r="U6"/>
  <c r="V6" s="1"/>
  <c r="J15" i="23"/>
  <c r="O15" s="1"/>
  <c r="H14" i="9"/>
  <c r="H9" i="23"/>
  <c r="I9" s="1"/>
  <c r="N9" s="1"/>
  <c r="H6" i="22"/>
  <c r="J13" i="23"/>
  <c r="O13" s="1"/>
  <c r="J11"/>
  <c r="O11" s="1"/>
  <c r="J9"/>
  <c r="O9" s="1"/>
  <c r="J7"/>
  <c r="O7" s="1"/>
  <c r="J6" i="22"/>
  <c r="O6" s="1"/>
  <c r="J8"/>
  <c r="O8" s="1"/>
  <c r="J10"/>
  <c r="O10" s="1"/>
  <c r="J12"/>
  <c r="O12" s="1"/>
  <c r="J14"/>
  <c r="O14" s="1"/>
  <c r="J6" i="9"/>
  <c r="O6" s="1"/>
  <c r="J8"/>
  <c r="O8" s="1"/>
  <c r="J10"/>
  <c r="O10" s="1"/>
  <c r="J12"/>
  <c r="O12" s="1"/>
  <c r="J14"/>
  <c r="O14" s="1"/>
  <c r="J16"/>
  <c r="O16" s="1"/>
  <c r="I8" i="24"/>
  <c r="L8" s="1"/>
  <c r="I16"/>
  <c r="L16" s="1"/>
  <c r="I12"/>
  <c r="L12" s="1"/>
  <c r="H16" i="9"/>
  <c r="O17" i="23"/>
  <c r="H7"/>
  <c r="I7" s="1"/>
  <c r="M7" s="1"/>
  <c r="H6"/>
  <c r="H7" i="22"/>
  <c r="I7" s="1"/>
  <c r="H11"/>
  <c r="I11" s="1"/>
  <c r="M11" s="1"/>
  <c r="H10"/>
  <c r="H6" i="9"/>
  <c r="I9" i="24"/>
  <c r="L9" s="1"/>
  <c r="I13"/>
  <c r="L13" s="1"/>
  <c r="K17"/>
  <c r="I17"/>
  <c r="L17" s="1"/>
  <c r="H12" i="9"/>
  <c r="I6" i="24"/>
  <c r="L6" s="1"/>
  <c r="I10"/>
  <c r="L10" s="1"/>
  <c r="I14"/>
  <c r="L14" s="1"/>
  <c r="H8" i="9"/>
  <c r="H14" i="22"/>
  <c r="H12"/>
  <c r="I7" i="24"/>
  <c r="L7" s="1"/>
  <c r="I11"/>
  <c r="L11" s="1"/>
  <c r="I15"/>
  <c r="L15" s="1"/>
  <c r="Y17" i="9"/>
  <c r="Z17" s="1"/>
  <c r="AB12"/>
  <c r="AC12" s="1"/>
  <c r="Y10"/>
  <c r="Z10" s="1"/>
  <c r="AB17"/>
  <c r="AC17" s="1"/>
  <c r="AB9"/>
  <c r="AC9" s="1"/>
  <c r="AB10"/>
  <c r="AC10" s="1"/>
  <c r="Y16"/>
  <c r="Z16" s="1"/>
  <c r="Y12"/>
  <c r="Z12" s="1"/>
  <c r="AB15"/>
  <c r="AC15" s="1"/>
  <c r="Y15"/>
  <c r="Z15" s="1"/>
  <c r="Y11"/>
  <c r="Z11" s="1"/>
  <c r="Y13"/>
  <c r="Z13" s="1"/>
  <c r="Y8"/>
  <c r="Z8" s="1"/>
  <c r="Y9"/>
  <c r="Z9" s="1"/>
  <c r="Y7"/>
  <c r="Z7" s="1"/>
  <c r="Y6"/>
  <c r="Z6" s="1"/>
  <c r="AB11"/>
  <c r="AC11" s="1"/>
  <c r="AB13"/>
  <c r="AC13" s="1"/>
  <c r="AB8"/>
  <c r="AC8" s="1"/>
  <c r="AB7"/>
  <c r="AC7" s="1"/>
  <c r="AB16"/>
  <c r="AC16" s="1"/>
  <c r="AB14"/>
  <c r="AC14" s="1"/>
  <c r="G6" i="2"/>
  <c r="AD11" i="1" s="1"/>
  <c r="O15" i="9"/>
  <c r="O17"/>
  <c r="O17" i="22"/>
  <c r="U11" i="9"/>
  <c r="V11" s="1"/>
  <c r="U8" i="22"/>
  <c r="V8" s="1"/>
  <c r="O13"/>
  <c r="U7"/>
  <c r="V7" s="1"/>
  <c r="O11" i="9"/>
  <c r="U13"/>
  <c r="V13" s="1"/>
  <c r="U10" i="22"/>
  <c r="V10" s="1"/>
  <c r="U11"/>
  <c r="V11" s="1"/>
  <c r="U14" i="9"/>
  <c r="V14" s="1"/>
  <c r="M9"/>
  <c r="O9"/>
  <c r="O13"/>
  <c r="O7"/>
  <c r="U12"/>
  <c r="V12" s="1"/>
  <c r="U16"/>
  <c r="V16" s="1"/>
  <c r="U8"/>
  <c r="V8" s="1"/>
  <c r="U17"/>
  <c r="V17" s="1"/>
  <c r="U15"/>
  <c r="V15" s="1"/>
  <c r="H6" i="5"/>
  <c r="O9" i="22"/>
  <c r="L17"/>
  <c r="K13" i="9"/>
  <c r="K4" i="20"/>
  <c r="H15" i="5"/>
  <c r="M17" i="23"/>
  <c r="S19" i="9"/>
  <c r="S20" i="22"/>
  <c r="S19" i="23"/>
  <c r="E3" i="15"/>
  <c r="D3"/>
  <c r="M9" i="22"/>
  <c r="N9"/>
  <c r="L9"/>
  <c r="N13"/>
  <c r="N13" i="9"/>
  <c r="K9"/>
  <c r="M13"/>
  <c r="N9"/>
  <c r="D17" i="1"/>
  <c r="AB6" i="9"/>
  <c r="AC6" s="1"/>
  <c r="E21" i="1"/>
  <c r="L11" i="9"/>
  <c r="M13" i="22"/>
  <c r="M17"/>
  <c r="N12" i="23"/>
  <c r="N14"/>
  <c r="L13"/>
  <c r="K13"/>
  <c r="M13"/>
  <c r="H5" i="2"/>
  <c r="H9"/>
  <c r="D23" i="1"/>
  <c r="I16" i="5"/>
  <c r="I4"/>
  <c r="I8"/>
  <c r="L7" i="9" l="1"/>
  <c r="M8" i="23"/>
  <c r="L8"/>
  <c r="K8"/>
  <c r="L17"/>
  <c r="M15" i="22"/>
  <c r="K17" i="23"/>
  <c r="N11" i="15"/>
  <c r="L15" i="22"/>
  <c r="F24" i="1"/>
  <c r="F30"/>
  <c r="F28"/>
  <c r="H26"/>
  <c r="N15" i="9"/>
  <c r="N7"/>
  <c r="M7"/>
  <c r="N18" i="22"/>
  <c r="L18"/>
  <c r="M18"/>
  <c r="H28" i="1"/>
  <c r="H30"/>
  <c r="M18" i="9"/>
  <c r="N18"/>
  <c r="K18"/>
  <c r="L18"/>
  <c r="F26" i="1"/>
  <c r="F25"/>
  <c r="F29"/>
  <c r="F27"/>
  <c r="K15" i="9"/>
  <c r="M16" i="22"/>
  <c r="L16"/>
  <c r="K12" i="23"/>
  <c r="M11" i="9"/>
  <c r="K11"/>
  <c r="L12" i="23"/>
  <c r="M15" i="9"/>
  <c r="N16" i="23"/>
  <c r="L16"/>
  <c r="L14"/>
  <c r="M14"/>
  <c r="L17" i="9"/>
  <c r="M16" i="23"/>
  <c r="K16"/>
  <c r="AD22" i="1"/>
  <c r="F19"/>
  <c r="F21"/>
  <c r="F23"/>
  <c r="F20"/>
  <c r="F22"/>
  <c r="H5" i="15"/>
  <c r="H3" s="1"/>
  <c r="AE14" i="9"/>
  <c r="K10" i="23"/>
  <c r="M17" i="9"/>
  <c r="N7" i="22"/>
  <c r="L10" i="23"/>
  <c r="N10"/>
  <c r="L9"/>
  <c r="N17" i="9"/>
  <c r="L7" i="23"/>
  <c r="AF11" i="1"/>
  <c r="I14" i="22"/>
  <c r="M14" s="1"/>
  <c r="L10" i="15"/>
  <c r="I12" i="9"/>
  <c r="K12" s="1"/>
  <c r="J9" i="15"/>
  <c r="I10" i="22"/>
  <c r="L8" i="15"/>
  <c r="I16" i="9"/>
  <c r="K16" s="1"/>
  <c r="J11" i="15"/>
  <c r="I6" i="22"/>
  <c r="L6" i="15"/>
  <c r="I14" i="9"/>
  <c r="J10" i="15"/>
  <c r="AI11" i="1"/>
  <c r="AH11"/>
  <c r="N10" i="15"/>
  <c r="I12" i="22"/>
  <c r="L12" s="1"/>
  <c r="L9" i="15"/>
  <c r="I8" i="9"/>
  <c r="M8" s="1"/>
  <c r="J7" i="15"/>
  <c r="I6" i="9"/>
  <c r="L6" s="1"/>
  <c r="J6" i="15"/>
  <c r="I6" i="23"/>
  <c r="N6" s="1"/>
  <c r="N6" i="15"/>
  <c r="I8" i="22"/>
  <c r="N8" s="1"/>
  <c r="L7" i="15"/>
  <c r="I10" i="9"/>
  <c r="J8" i="15"/>
  <c r="N8"/>
  <c r="N7"/>
  <c r="D22" i="1"/>
  <c r="I6" i="5"/>
  <c r="E18" i="1" s="1"/>
  <c r="E5" i="24"/>
  <c r="G5" s="1"/>
  <c r="J5" s="1"/>
  <c r="F5" i="23"/>
  <c r="F5" i="22"/>
  <c r="F5" i="9"/>
  <c r="D20" i="1"/>
  <c r="D18"/>
  <c r="E19"/>
  <c r="E23"/>
  <c r="I15" i="5"/>
  <c r="I3" i="15"/>
  <c r="H6" i="2"/>
  <c r="AE11" i="1" s="1"/>
  <c r="D21"/>
  <c r="P8" i="24"/>
  <c r="M15" i="23"/>
  <c r="L15"/>
  <c r="K15"/>
  <c r="E4" i="24"/>
  <c r="G4" s="1"/>
  <c r="J4" s="1"/>
  <c r="AH18" i="1"/>
  <c r="F4" i="22"/>
  <c r="F4" i="9"/>
  <c r="F4" i="23"/>
  <c r="N11" i="22"/>
  <c r="AE13" i="9"/>
  <c r="P10" i="24"/>
  <c r="P9"/>
  <c r="AE15" i="9"/>
  <c r="P13" i="24"/>
  <c r="N11" i="23"/>
  <c r="P7" i="24"/>
  <c r="AE17" i="9"/>
  <c r="M11" i="23"/>
  <c r="L11"/>
  <c r="P12" i="24"/>
  <c r="P14"/>
  <c r="P6"/>
  <c r="AE8" i="9"/>
  <c r="AE12"/>
  <c r="AE16"/>
  <c r="P16" i="24"/>
  <c r="P11"/>
  <c r="P15"/>
  <c r="M9" i="23"/>
  <c r="K9"/>
  <c r="AE10" i="9"/>
  <c r="K7" i="23"/>
  <c r="N7"/>
  <c r="L11" i="22"/>
  <c r="M7"/>
  <c r="L7"/>
  <c r="P17" i="24"/>
  <c r="AE7" i="9"/>
  <c r="AE11"/>
  <c r="AE9"/>
  <c r="I23" i="1"/>
  <c r="F3" i="15"/>
  <c r="G3"/>
  <c r="AE6" i="9"/>
  <c r="E17" i="1"/>
  <c r="I21"/>
  <c r="H31" l="1"/>
  <c r="G30"/>
  <c r="H29"/>
  <c r="G31"/>
  <c r="H24"/>
  <c r="N6" i="22"/>
  <c r="N12" i="9"/>
  <c r="G28" i="1"/>
  <c r="L6" i="22"/>
  <c r="L14"/>
  <c r="N6" i="9"/>
  <c r="N14" i="22"/>
  <c r="M6"/>
  <c r="L8" i="9"/>
  <c r="N8"/>
  <c r="M6" i="23"/>
  <c r="K6"/>
  <c r="L6"/>
  <c r="K5" i="15"/>
  <c r="K3" s="1"/>
  <c r="H4" i="24"/>
  <c r="K4" s="1"/>
  <c r="H5"/>
  <c r="K5" s="1"/>
  <c r="L8" i="22"/>
  <c r="M8"/>
  <c r="K6" i="9"/>
  <c r="K8"/>
  <c r="M6"/>
  <c r="I22" i="1"/>
  <c r="H22"/>
  <c r="AG11"/>
  <c r="AO18"/>
  <c r="O5" i="15"/>
  <c r="O3" s="1"/>
  <c r="AM18" i="1"/>
  <c r="M5" i="15"/>
  <c r="M3" s="1"/>
  <c r="L10" i="9"/>
  <c r="K10"/>
  <c r="N10"/>
  <c r="M10"/>
  <c r="N12" i="22"/>
  <c r="M12"/>
  <c r="L14" i="9"/>
  <c r="M14"/>
  <c r="N14"/>
  <c r="K14"/>
  <c r="M16"/>
  <c r="N16"/>
  <c r="L16"/>
  <c r="M10" i="22"/>
  <c r="L10"/>
  <c r="N10"/>
  <c r="L12" i="9"/>
  <c r="G24" i="1" s="1"/>
  <c r="M12" i="9"/>
  <c r="I20" i="1"/>
  <c r="H5" i="9"/>
  <c r="I5" s="1"/>
  <c r="Y5"/>
  <c r="Z5" s="1"/>
  <c r="J5"/>
  <c r="O5" s="1"/>
  <c r="AB5"/>
  <c r="AC5" s="1"/>
  <c r="U5"/>
  <c r="V5" s="1"/>
  <c r="U5" i="23"/>
  <c r="V5" s="1"/>
  <c r="H5"/>
  <c r="I5" s="1"/>
  <c r="J5"/>
  <c r="O5" s="1"/>
  <c r="U4" i="9"/>
  <c r="V4" s="1"/>
  <c r="V19" s="1"/>
  <c r="AK18" i="1"/>
  <c r="D19"/>
  <c r="D48" s="1"/>
  <c r="D49" s="1"/>
  <c r="D53" s="1"/>
  <c r="H53" s="1"/>
  <c r="E22"/>
  <c r="E48" s="1"/>
  <c r="E49" s="1"/>
  <c r="D54" s="1"/>
  <c r="X5" i="22"/>
  <c r="Y5" s="1"/>
  <c r="J5"/>
  <c r="O5" s="1"/>
  <c r="H5"/>
  <c r="I5" s="1"/>
  <c r="U5"/>
  <c r="V5" s="1"/>
  <c r="I5" i="24"/>
  <c r="L5" s="1"/>
  <c r="H52" i="1"/>
  <c r="U4" i="23"/>
  <c r="V4" s="1"/>
  <c r="J4"/>
  <c r="O4" s="1"/>
  <c r="H4"/>
  <c r="J4" i="9"/>
  <c r="O4" s="1"/>
  <c r="H4"/>
  <c r="AB4"/>
  <c r="AC4" s="1"/>
  <c r="Y4"/>
  <c r="Z4" s="1"/>
  <c r="H4" i="22"/>
  <c r="X4"/>
  <c r="Y4" s="1"/>
  <c r="J4"/>
  <c r="O4" s="1"/>
  <c r="U4"/>
  <c r="V4" s="1"/>
  <c r="I4" i="24"/>
  <c r="L4" s="1"/>
  <c r="I19" i="1"/>
  <c r="I18"/>
  <c r="H27" l="1"/>
  <c r="F18"/>
  <c r="G29"/>
  <c r="G27"/>
  <c r="H25"/>
  <c r="H23"/>
  <c r="G25"/>
  <c r="G26"/>
  <c r="V19" i="23"/>
  <c r="G19" i="1"/>
  <c r="F17"/>
  <c r="G22"/>
  <c r="G21"/>
  <c r="G23"/>
  <c r="G20"/>
  <c r="H54"/>
  <c r="H19"/>
  <c r="H21"/>
  <c r="H20"/>
  <c r="L5" i="15"/>
  <c r="J5"/>
  <c r="J3" s="1"/>
  <c r="N5"/>
  <c r="N3" s="1"/>
  <c r="AC19" i="9"/>
  <c r="Y20" i="22"/>
  <c r="V20"/>
  <c r="L5"/>
  <c r="M5"/>
  <c r="N5"/>
  <c r="P5" i="24"/>
  <c r="M5" i="23"/>
  <c r="K5"/>
  <c r="N5"/>
  <c r="L5"/>
  <c r="M5" i="9"/>
  <c r="N5"/>
  <c r="K5"/>
  <c r="L5"/>
  <c r="AE5"/>
  <c r="P4" i="24"/>
  <c r="AE4" i="9"/>
  <c r="Z19"/>
  <c r="I4" i="23"/>
  <c r="AN18" i="1"/>
  <c r="I4" i="22"/>
  <c r="AL18" i="1"/>
  <c r="I4" i="9"/>
  <c r="AJ18" i="1"/>
  <c r="X11" l="1"/>
  <c r="H18"/>
  <c r="G18"/>
  <c r="F48"/>
  <c r="F49" s="1"/>
  <c r="D55" s="1"/>
  <c r="H55" s="1"/>
  <c r="AE19" i="9"/>
  <c r="L4"/>
  <c r="M4"/>
  <c r="N4"/>
  <c r="K4"/>
  <c r="L4" i="23"/>
  <c r="N4"/>
  <c r="M4"/>
  <c r="K4"/>
  <c r="AN11" i="1" s="1"/>
  <c r="L4" i="22"/>
  <c r="M4"/>
  <c r="N4"/>
  <c r="G17" i="1" l="1"/>
  <c r="AM11"/>
  <c r="AO11"/>
  <c r="AK11"/>
  <c r="AL11"/>
  <c r="H17"/>
  <c r="H48" s="1"/>
  <c r="H49" s="1"/>
  <c r="D57" s="1"/>
  <c r="H57" s="1"/>
  <c r="AJ11"/>
  <c r="I17"/>
  <c r="I48" s="1"/>
  <c r="I49" s="1"/>
  <c r="D58" s="1"/>
  <c r="H58" s="1"/>
  <c r="L3" i="15"/>
  <c r="AA11" i="1" l="1"/>
  <c r="Z11"/>
  <c r="AB11"/>
  <c r="Y11"/>
  <c r="G48"/>
  <c r="G49" s="1"/>
  <c r="D56" s="1"/>
  <c r="D60" l="1"/>
  <c r="H60" s="1"/>
  <c r="D59"/>
  <c r="H56"/>
  <c r="D62" l="1"/>
  <c r="H59"/>
  <c r="H62" s="1"/>
</calcChain>
</file>

<file path=xl/comments1.xml><?xml version="1.0" encoding="utf-8"?>
<comments xmlns="http://schemas.openxmlformats.org/spreadsheetml/2006/main">
  <authors>
    <author>Dinh Bao Tuyen</author>
    <author>phu-nd</author>
    <author>Nguyen Dang Phu</author>
    <author>chi-htd</author>
    <author>Tuyen-DB</author>
  </authors>
  <commentList>
    <comment ref="O11" authorId="0">
      <text>
        <r>
          <rPr>
            <b/>
            <sz val="9"/>
            <color indexed="81"/>
            <rFont val="Tahoma"/>
            <family val="2"/>
          </rPr>
          <t>Dinh Bao Tuyen:</t>
        </r>
        <r>
          <rPr>
            <sz val="9"/>
            <color indexed="81"/>
            <rFont val="Tahoma"/>
            <family val="2"/>
          </rPr>
          <t xml:space="preserve">
Nhập "a" vào các ô này để chọn các phase có estimate</t>
        </r>
      </text>
    </comment>
    <comment ref="P11" authorId="0">
      <text>
        <r>
          <rPr>
            <b/>
            <sz val="9"/>
            <color indexed="81"/>
            <rFont val="Tahoma"/>
            <family val="2"/>
          </rPr>
          <t>Dinh Bao Tuyen:</t>
        </r>
        <r>
          <rPr>
            <sz val="9"/>
            <color indexed="81"/>
            <rFont val="Tahoma"/>
            <family val="2"/>
          </rPr>
          <t xml:space="preserve">
Nhập "a" vào các ô này để chọn các phase có estimate</t>
        </r>
      </text>
    </comment>
    <comment ref="Q11" authorId="0">
      <text>
        <r>
          <rPr>
            <b/>
            <sz val="9"/>
            <color indexed="81"/>
            <rFont val="Tahoma"/>
            <family val="2"/>
          </rPr>
          <t>Dinh Bao Tuyen:</t>
        </r>
        <r>
          <rPr>
            <sz val="9"/>
            <color indexed="81"/>
            <rFont val="Tahoma"/>
            <family val="2"/>
          </rPr>
          <t xml:space="preserve">
Nhập "a" vào các ô này để chọn các phase có estimate</t>
        </r>
      </text>
    </comment>
    <comment ref="R11" authorId="0">
      <text>
        <r>
          <rPr>
            <b/>
            <sz val="9"/>
            <color indexed="81"/>
            <rFont val="Tahoma"/>
            <family val="2"/>
          </rPr>
          <t>Dinh Bao Tuyen:</t>
        </r>
        <r>
          <rPr>
            <sz val="9"/>
            <color indexed="81"/>
            <rFont val="Tahoma"/>
            <family val="2"/>
          </rPr>
          <t xml:space="preserve">
Nhập "a" vào các ô này để chọn các phase có estimate</t>
        </r>
      </text>
    </comment>
    <comment ref="S11" authorId="0">
      <text>
        <r>
          <rPr>
            <b/>
            <sz val="9"/>
            <color indexed="81"/>
            <rFont val="Tahoma"/>
            <family val="2"/>
          </rPr>
          <t>Dinh Bao Tuyen:</t>
        </r>
        <r>
          <rPr>
            <sz val="9"/>
            <color indexed="81"/>
            <rFont val="Tahoma"/>
            <family val="2"/>
          </rPr>
          <t xml:space="preserve">
Nhập "a" vào các ô này để chọn các phase có estimate</t>
        </r>
      </text>
    </comment>
    <comment ref="T11" authorId="0">
      <text>
        <r>
          <rPr>
            <b/>
            <sz val="9"/>
            <color indexed="81"/>
            <rFont val="Tahoma"/>
            <family val="2"/>
          </rPr>
          <t>Dinh Bao Tuyen:</t>
        </r>
        <r>
          <rPr>
            <sz val="9"/>
            <color indexed="81"/>
            <rFont val="Tahoma"/>
            <family val="2"/>
          </rPr>
          <t xml:space="preserve">
Nhập "a" vào các ô này để chọn các phase có estimate</t>
        </r>
      </text>
    </comment>
    <comment ref="U11" authorId="0">
      <text>
        <r>
          <rPr>
            <b/>
            <sz val="9"/>
            <color indexed="81"/>
            <rFont val="Tahoma"/>
            <family val="2"/>
          </rPr>
          <t>Dinh Bao Tuyen:</t>
        </r>
        <r>
          <rPr>
            <sz val="9"/>
            <color indexed="81"/>
            <rFont val="Tahoma"/>
            <family val="2"/>
          </rPr>
          <t xml:space="preserve">
Nhập "a" vào các ô này để chọn các phase có estimate</t>
        </r>
      </text>
    </comment>
    <comment ref="V11" authorId="0">
      <text>
        <r>
          <rPr>
            <b/>
            <sz val="9"/>
            <color indexed="81"/>
            <rFont val="Tahoma"/>
            <family val="2"/>
          </rPr>
          <t>Dinh Bao Tuyen:</t>
        </r>
        <r>
          <rPr>
            <sz val="9"/>
            <color indexed="81"/>
            <rFont val="Tahoma"/>
            <family val="2"/>
          </rPr>
          <t xml:space="preserve">
Nhập "a" vào các ô này để chọn các phase có estimate</t>
        </r>
      </text>
    </comment>
    <comment ref="D16" authorId="1">
      <text>
        <r>
          <rPr>
            <sz val="9"/>
            <color indexed="81"/>
            <rFont val="Tahoma"/>
            <family val="2"/>
          </rPr>
          <t>Requirement
Basic Design</t>
        </r>
      </text>
    </comment>
    <comment ref="E16" authorId="1">
      <text>
        <r>
          <rPr>
            <sz val="9"/>
            <color indexed="81"/>
            <rFont val="Tahoma"/>
            <family val="2"/>
          </rPr>
          <t>Detail Design
Deployment</t>
        </r>
      </text>
    </comment>
    <comment ref="F16" authorId="1">
      <text>
        <r>
          <rPr>
            <sz val="9"/>
            <color indexed="81"/>
            <rFont val="Tahoma"/>
            <family val="2"/>
          </rPr>
          <t>Programming</t>
        </r>
      </text>
    </comment>
    <comment ref="G16" authorId="1">
      <text>
        <r>
          <rPr>
            <sz val="9"/>
            <color indexed="81"/>
            <rFont val="Tahoma"/>
            <family val="2"/>
          </rPr>
          <t>Unit Testing</t>
        </r>
      </text>
    </comment>
    <comment ref="H16" authorId="0">
      <text>
        <r>
          <rPr>
            <sz val="9"/>
            <color indexed="81"/>
            <rFont val="Tahoma"/>
            <family val="2"/>
          </rPr>
          <t>Combination Testing</t>
        </r>
      </text>
    </comment>
    <comment ref="I16" authorId="0">
      <text>
        <r>
          <rPr>
            <sz val="9"/>
            <color indexed="81"/>
            <rFont val="Tahoma"/>
            <family val="2"/>
          </rPr>
          <t>System Testing</t>
        </r>
      </text>
    </comment>
    <comment ref="J16" authorId="0">
      <text>
        <r>
          <rPr>
            <b/>
            <sz val="9"/>
            <color indexed="81"/>
            <rFont val="Tahoma"/>
            <family val="2"/>
          </rPr>
          <t>Dinh Bao Tuyen:</t>
        </r>
        <r>
          <rPr>
            <sz val="9"/>
            <color indexed="81"/>
            <rFont val="Tahoma"/>
            <family val="2"/>
          </rPr>
          <t xml:space="preserve">
Note</t>
        </r>
      </text>
    </comment>
    <comment ref="C48" authorId="2">
      <text>
        <r>
          <rPr>
            <sz val="8"/>
            <color indexed="81"/>
            <rFont val="Tahoma"/>
            <family val="2"/>
          </rPr>
          <t>TOTAL</t>
        </r>
      </text>
    </comment>
    <comment ref="C51" authorId="1">
      <text>
        <r>
          <rPr>
            <sz val="9"/>
            <color indexed="81"/>
            <rFont val="Tahoma"/>
            <family val="2"/>
          </rPr>
          <t>Phase</t>
        </r>
      </text>
    </comment>
    <comment ref="D51" authorId="2">
      <text>
        <r>
          <rPr>
            <sz val="8"/>
            <color indexed="81"/>
            <rFont val="Tahoma"/>
            <family val="2"/>
          </rPr>
          <t>Man*Month</t>
        </r>
      </text>
    </comment>
    <comment ref="F51" authorId="2">
      <text>
        <r>
          <rPr>
            <sz val="8"/>
            <color indexed="81"/>
            <rFont val="Tahoma"/>
            <family val="2"/>
          </rPr>
          <t>Unit Price</t>
        </r>
      </text>
    </comment>
    <comment ref="H51" authorId="2">
      <text>
        <r>
          <rPr>
            <sz val="8"/>
            <color indexed="81"/>
            <rFont val="Tahoma"/>
            <family val="2"/>
          </rPr>
          <t>Total Amount</t>
        </r>
      </text>
    </comment>
    <comment ref="C52" authorId="3">
      <text>
        <r>
          <rPr>
            <sz val="9"/>
            <color indexed="81"/>
            <rFont val="ＭＳ Ｐゴシック"/>
            <family val="3"/>
            <charset val="128"/>
          </rPr>
          <t xml:space="preserve">環境構築、お客様との打合せなどにより発生する工数
</t>
        </r>
      </text>
    </comment>
    <comment ref="C61" authorId="0">
      <text>
        <r>
          <rPr>
            <sz val="9"/>
            <color indexed="81"/>
            <rFont val="ＭＳ Ｐゴシック"/>
            <family val="3"/>
            <charset val="128"/>
          </rPr>
          <t>ライセンス費用、テストデバイス等</t>
        </r>
      </text>
    </comment>
    <comment ref="B62" authorId="4">
      <text>
        <r>
          <rPr>
            <sz val="9"/>
            <color indexed="81"/>
            <rFont val="Tahoma"/>
            <family val="2"/>
          </rPr>
          <t>Grand Total</t>
        </r>
      </text>
    </comment>
  </commentList>
</comments>
</file>

<file path=xl/comments2.xml><?xml version="1.0" encoding="utf-8"?>
<comments xmlns="http://schemas.openxmlformats.org/spreadsheetml/2006/main">
  <authors>
    <author>TUYEN-DB</author>
    <author>FUJINET</author>
  </authors>
  <commentList>
    <comment ref="K2" authorId="0">
      <text>
        <r>
          <rPr>
            <b/>
            <sz val="9"/>
            <color indexed="81"/>
            <rFont val="Tahoma"/>
            <family val="2"/>
          </rPr>
          <t>TUYEN-DB:</t>
        </r>
        <r>
          <rPr>
            <sz val="9"/>
            <color indexed="81"/>
            <rFont val="Tahoma"/>
            <family val="2"/>
          </rPr>
          <t xml:space="preserve">
Please input this value in Legend sheet</t>
        </r>
      </text>
    </comment>
    <comment ref="G3" authorId="1">
      <text>
        <r>
          <rPr>
            <b/>
            <sz val="8"/>
            <color indexed="81"/>
            <rFont val="Tahoma"/>
            <family val="2"/>
            <charset val="128"/>
          </rPr>
          <t xml:space="preserve">FUJINET:
</t>
        </r>
        <r>
          <rPr>
            <sz val="8"/>
            <color indexed="81"/>
            <rFont val="Tahoma"/>
            <family val="2"/>
          </rPr>
          <t>Mức độ phức tạp của function (cho phép đến 1 số lẻ). Nếu không có giá trị thì default là 1.0
- 1.0: bình thường
- &gt; 1.0: phức tạp
- &lt; 1.0: đơn giản</t>
        </r>
        <r>
          <rPr>
            <sz val="8"/>
            <color indexed="81"/>
            <rFont val="Tahoma"/>
            <family val="2"/>
            <charset val="128"/>
          </rPr>
          <t xml:space="preserve">
</t>
        </r>
      </text>
    </comment>
  </commentList>
</comments>
</file>

<file path=xl/comments3.xml><?xml version="1.0" encoding="utf-8"?>
<comments xmlns="http://schemas.openxmlformats.org/spreadsheetml/2006/main">
  <authors>
    <author>TUYEN-DB</author>
    <author>FUJINET</author>
  </authors>
  <commentList>
    <comment ref="F2" authorId="0">
      <text>
        <r>
          <rPr>
            <b/>
            <sz val="9"/>
            <color indexed="81"/>
            <rFont val="Tahoma"/>
            <family val="2"/>
          </rPr>
          <t>TUYEN-DB:</t>
        </r>
        <r>
          <rPr>
            <sz val="9"/>
            <color indexed="81"/>
            <rFont val="Tahoma"/>
            <family val="2"/>
          </rPr>
          <t xml:space="preserve">
Please input this value in Legend sheet</t>
        </r>
      </text>
    </comment>
    <comment ref="G2" authorId="0">
      <text>
        <r>
          <rPr>
            <b/>
            <sz val="9"/>
            <color indexed="81"/>
            <rFont val="Tahoma"/>
            <family val="2"/>
          </rPr>
          <t>TUYEN-DB:</t>
        </r>
        <r>
          <rPr>
            <sz val="9"/>
            <color indexed="81"/>
            <rFont val="Tahoma"/>
            <family val="2"/>
          </rPr>
          <t xml:space="preserve">
Please input this value in Legend sheet</t>
        </r>
      </text>
    </comment>
    <comment ref="J2" authorId="0">
      <text>
        <r>
          <rPr>
            <b/>
            <sz val="9"/>
            <color indexed="81"/>
            <rFont val="Tahoma"/>
            <family val="2"/>
          </rPr>
          <t>TUYEN-DB:</t>
        </r>
        <r>
          <rPr>
            <sz val="9"/>
            <color indexed="81"/>
            <rFont val="Tahoma"/>
            <family val="2"/>
          </rPr>
          <t xml:space="preserve">
Please input this value in Legend sheet</t>
        </r>
      </text>
    </comment>
    <comment ref="K2" authorId="0">
      <text>
        <r>
          <rPr>
            <b/>
            <sz val="9"/>
            <color indexed="81"/>
            <rFont val="Tahoma"/>
            <family val="2"/>
          </rPr>
          <t>TUYEN-DB:</t>
        </r>
        <r>
          <rPr>
            <sz val="9"/>
            <color indexed="81"/>
            <rFont val="Tahoma"/>
            <family val="2"/>
          </rPr>
          <t xml:space="preserve">
Please input this value in Legend sheet</t>
        </r>
      </text>
    </comment>
    <comment ref="L2" authorId="0">
      <text>
        <r>
          <rPr>
            <b/>
            <sz val="9"/>
            <color indexed="81"/>
            <rFont val="Tahoma"/>
            <family val="2"/>
          </rPr>
          <t>TUYEN-DB:</t>
        </r>
        <r>
          <rPr>
            <sz val="9"/>
            <color indexed="81"/>
            <rFont val="Tahoma"/>
            <family val="2"/>
          </rPr>
          <t xml:space="preserve">
Please input this value in Legend sheet</t>
        </r>
      </text>
    </comment>
    <comment ref="M2" authorId="0">
      <text>
        <r>
          <rPr>
            <b/>
            <sz val="9"/>
            <color indexed="81"/>
            <rFont val="Tahoma"/>
            <family val="2"/>
          </rPr>
          <t>TUYEN-DB:</t>
        </r>
        <r>
          <rPr>
            <sz val="9"/>
            <color indexed="81"/>
            <rFont val="Tahoma"/>
            <family val="2"/>
          </rPr>
          <t xml:space="preserve">
Please input this value in Legend sheet</t>
        </r>
      </text>
    </comment>
    <comment ref="N2" authorId="0">
      <text>
        <r>
          <rPr>
            <b/>
            <sz val="9"/>
            <color indexed="81"/>
            <rFont val="Tahoma"/>
            <family val="2"/>
          </rPr>
          <t>TUYEN-DB:</t>
        </r>
        <r>
          <rPr>
            <sz val="9"/>
            <color indexed="81"/>
            <rFont val="Tahoma"/>
            <family val="2"/>
          </rPr>
          <t xml:space="preserve">
Please input this value in Legend sheet</t>
        </r>
      </text>
    </comment>
    <comment ref="E3" authorId="1">
      <text>
        <r>
          <rPr>
            <b/>
            <sz val="8"/>
            <color indexed="81"/>
            <rFont val="Tahoma"/>
            <family val="2"/>
            <charset val="128"/>
          </rPr>
          <t xml:space="preserve">FUJINET:
</t>
        </r>
        <r>
          <rPr>
            <sz val="8"/>
            <color indexed="81"/>
            <rFont val="Tahoma"/>
            <family val="2"/>
          </rPr>
          <t>Mức độ phức tạp của function (cho phép đến 1 số lẻ). Nếu không có giá trị thì default là 1.0
- 1.0: bình thường
- &gt; 1.0: phức tạp
- &lt; 1.0: đơn giản</t>
        </r>
        <r>
          <rPr>
            <sz val="8"/>
            <color indexed="81"/>
            <rFont val="Tahoma"/>
            <family val="2"/>
            <charset val="128"/>
          </rPr>
          <t xml:space="preserve">
</t>
        </r>
      </text>
    </comment>
  </commentList>
</comments>
</file>

<file path=xl/comments4.xml><?xml version="1.0" encoding="utf-8"?>
<comments xmlns="http://schemas.openxmlformats.org/spreadsheetml/2006/main">
  <authors>
    <author>TUYEN-DB</author>
    <author>FUJINET</author>
  </authors>
  <commentList>
    <comment ref="F2" authorId="0">
      <text>
        <r>
          <rPr>
            <b/>
            <sz val="9"/>
            <color indexed="81"/>
            <rFont val="Tahoma"/>
            <family val="2"/>
          </rPr>
          <t>TUYEN-DB:</t>
        </r>
        <r>
          <rPr>
            <sz val="9"/>
            <color indexed="81"/>
            <rFont val="Tahoma"/>
            <family val="2"/>
          </rPr>
          <t xml:space="preserve">
Please input this value in Legend sheet</t>
        </r>
      </text>
    </comment>
    <comment ref="G2" authorId="0">
      <text>
        <r>
          <rPr>
            <b/>
            <sz val="9"/>
            <color indexed="81"/>
            <rFont val="Tahoma"/>
            <family val="2"/>
          </rPr>
          <t>TUYEN-DB:</t>
        </r>
        <r>
          <rPr>
            <sz val="9"/>
            <color indexed="81"/>
            <rFont val="Tahoma"/>
            <family val="2"/>
          </rPr>
          <t xml:space="preserve">
Please input this value in Legend sheet</t>
        </r>
      </text>
    </comment>
    <comment ref="J2" authorId="0">
      <text>
        <r>
          <rPr>
            <b/>
            <sz val="9"/>
            <color indexed="81"/>
            <rFont val="Tahoma"/>
            <family val="2"/>
          </rPr>
          <t>TUYEN-DB:</t>
        </r>
        <r>
          <rPr>
            <sz val="9"/>
            <color indexed="81"/>
            <rFont val="Tahoma"/>
            <family val="2"/>
          </rPr>
          <t xml:space="preserve">
Please input this value in Legend sheet</t>
        </r>
      </text>
    </comment>
    <comment ref="K2" authorId="0">
      <text>
        <r>
          <rPr>
            <b/>
            <sz val="9"/>
            <color indexed="81"/>
            <rFont val="Tahoma"/>
            <family val="2"/>
          </rPr>
          <t>TUYEN-DB:</t>
        </r>
        <r>
          <rPr>
            <sz val="9"/>
            <color indexed="81"/>
            <rFont val="Tahoma"/>
            <family val="2"/>
          </rPr>
          <t xml:space="preserve">
Please input this value in Legend sheet</t>
        </r>
      </text>
    </comment>
    <comment ref="L2" authorId="0">
      <text>
        <r>
          <rPr>
            <b/>
            <sz val="9"/>
            <color indexed="81"/>
            <rFont val="Tahoma"/>
            <family val="2"/>
          </rPr>
          <t>TUYEN-DB:</t>
        </r>
        <r>
          <rPr>
            <sz val="9"/>
            <color indexed="81"/>
            <rFont val="Tahoma"/>
            <family val="2"/>
          </rPr>
          <t xml:space="preserve">
Please input this value in Legend sheet</t>
        </r>
      </text>
    </comment>
    <comment ref="M2" authorId="0">
      <text>
        <r>
          <rPr>
            <b/>
            <sz val="9"/>
            <color indexed="81"/>
            <rFont val="Tahoma"/>
            <family val="2"/>
          </rPr>
          <t>TUYEN-DB:</t>
        </r>
        <r>
          <rPr>
            <sz val="9"/>
            <color indexed="81"/>
            <rFont val="Tahoma"/>
            <family val="2"/>
          </rPr>
          <t xml:space="preserve">
Please input this value in Legend sheet</t>
        </r>
      </text>
    </comment>
    <comment ref="N2" authorId="0">
      <text>
        <r>
          <rPr>
            <b/>
            <sz val="9"/>
            <color indexed="81"/>
            <rFont val="Tahoma"/>
            <family val="2"/>
          </rPr>
          <t>TUYEN-DB:</t>
        </r>
        <r>
          <rPr>
            <sz val="9"/>
            <color indexed="81"/>
            <rFont val="Tahoma"/>
            <family val="2"/>
          </rPr>
          <t xml:space="preserve">
Please input this value in Legend sheet</t>
        </r>
      </text>
    </comment>
    <comment ref="E3" authorId="1">
      <text>
        <r>
          <rPr>
            <b/>
            <sz val="8"/>
            <color indexed="81"/>
            <rFont val="Tahoma"/>
            <family val="2"/>
            <charset val="128"/>
          </rPr>
          <t xml:space="preserve">FUJINET:
</t>
        </r>
        <r>
          <rPr>
            <sz val="8"/>
            <color indexed="81"/>
            <rFont val="Tahoma"/>
            <family val="2"/>
          </rPr>
          <t>Mức độ phức tạp của function (cho phép đến 1 số lẻ). Nếu không có giá trị thì default là 1.0
- 1.0: bình thường
- &gt; 1.0: phức tạp
- &lt; 1.0: đơn giản</t>
        </r>
        <r>
          <rPr>
            <sz val="8"/>
            <color indexed="81"/>
            <rFont val="Tahoma"/>
            <family val="2"/>
            <charset val="128"/>
          </rPr>
          <t xml:space="preserve">
</t>
        </r>
      </text>
    </comment>
  </commentList>
</comments>
</file>

<file path=xl/comments5.xml><?xml version="1.0" encoding="utf-8"?>
<comments xmlns="http://schemas.openxmlformats.org/spreadsheetml/2006/main">
  <authors>
    <author>Technician</author>
  </authors>
  <commentList>
    <comment ref="F3" authorId="0">
      <text>
        <r>
          <rPr>
            <b/>
            <sz val="8"/>
            <color indexed="81"/>
            <rFont val="Tahoma"/>
            <family val="2"/>
          </rPr>
          <t>Technician:</t>
        </r>
        <r>
          <rPr>
            <sz val="8"/>
            <color indexed="81"/>
            <rFont val="Tahoma"/>
            <family val="2"/>
          </rPr>
          <t xml:space="preserve">
Thông tin trong phần này được lấy từ phần Impact Analysis trong Change Request Form</t>
        </r>
      </text>
    </comment>
    <comment ref="H3" authorId="0">
      <text>
        <r>
          <rPr>
            <b/>
            <sz val="8"/>
            <color indexed="81"/>
            <rFont val="Tahoma"/>
            <family val="2"/>
          </rPr>
          <t>Technician:</t>
        </r>
        <r>
          <rPr>
            <sz val="8"/>
            <color indexed="81"/>
            <rFont val="Tahoma"/>
            <family val="2"/>
          </rPr>
          <t xml:space="preserve">
Thông tin trong phần này được lấy từ phần Impact Analysis trong Change Request Form</t>
        </r>
      </text>
    </comment>
    <comment ref="J3" authorId="0">
      <text>
        <r>
          <rPr>
            <b/>
            <sz val="8"/>
            <color indexed="81"/>
            <rFont val="Tahoma"/>
            <family val="2"/>
          </rPr>
          <t>Technician:</t>
        </r>
        <r>
          <rPr>
            <sz val="8"/>
            <color indexed="81"/>
            <rFont val="Tahoma"/>
            <family val="2"/>
          </rPr>
          <t xml:space="preserve">
Thông tin trong phần này được lấy từ phần Impact Analysis trong Change Request Form</t>
        </r>
      </text>
    </comment>
    <comment ref="L3" authorId="0">
      <text>
        <r>
          <rPr>
            <b/>
            <sz val="8"/>
            <color indexed="81"/>
            <rFont val="Tahoma"/>
            <family val="2"/>
          </rPr>
          <t>Technician:</t>
        </r>
        <r>
          <rPr>
            <sz val="8"/>
            <color indexed="81"/>
            <rFont val="Tahoma"/>
            <family val="2"/>
          </rPr>
          <t xml:space="preserve">
Thông tin trong phần này được lấy từ phần Impact Analysis trong Change Request Form</t>
        </r>
      </text>
    </comment>
    <comment ref="N3" authorId="0">
      <text>
        <r>
          <rPr>
            <b/>
            <sz val="8"/>
            <color indexed="81"/>
            <rFont val="Tahoma"/>
            <family val="2"/>
          </rPr>
          <t>Technician:</t>
        </r>
        <r>
          <rPr>
            <sz val="8"/>
            <color indexed="81"/>
            <rFont val="Tahoma"/>
            <family val="2"/>
          </rPr>
          <t xml:space="preserve">
Thông tin trong phần này được lấy từ phần Impact Analysis trong Change Request Form</t>
        </r>
      </text>
    </comment>
    <comment ref="P3" authorId="0">
      <text>
        <r>
          <rPr>
            <b/>
            <sz val="8"/>
            <color indexed="81"/>
            <rFont val="Tahoma"/>
            <family val="2"/>
          </rPr>
          <t>Technician:</t>
        </r>
        <r>
          <rPr>
            <sz val="8"/>
            <color indexed="81"/>
            <rFont val="Tahoma"/>
            <family val="2"/>
          </rPr>
          <t xml:space="preserve">
Thông tin trong phần này được lấy từ phần Impact Analysis trong Change Request Form</t>
        </r>
      </text>
    </comment>
  </commentList>
</comments>
</file>

<file path=xl/comments6.xml><?xml version="1.0" encoding="utf-8"?>
<comments xmlns="http://schemas.openxmlformats.org/spreadsheetml/2006/main">
  <authors>
    <author>Dinh Bao Tuyen</author>
    <author>phu-nd</author>
    <author>TUYEN-DB</author>
  </authors>
  <commentList>
    <comment ref="C3" authorId="0">
      <text>
        <r>
          <rPr>
            <b/>
            <sz val="9"/>
            <color indexed="81"/>
            <rFont val="Tahoma"/>
            <family val="2"/>
          </rPr>
          <t>Dinh Bao Tuyen:</t>
        </r>
        <r>
          <rPr>
            <sz val="9"/>
            <color indexed="81"/>
            <rFont val="Tahoma"/>
            <family val="2"/>
          </rPr>
          <t xml:space="preserve">
Số trang thiết kế được trong 8h</t>
        </r>
      </text>
    </comment>
    <comment ref="D3" authorId="0">
      <text>
        <r>
          <rPr>
            <b/>
            <sz val="9"/>
            <color indexed="81"/>
            <rFont val="Tahoma"/>
            <family val="2"/>
          </rPr>
          <t>Dinh Bao Tuyen:</t>
        </r>
        <r>
          <rPr>
            <sz val="9"/>
            <color indexed="81"/>
            <rFont val="Tahoma"/>
            <family val="2"/>
          </rPr>
          <t xml:space="preserve">
Số trang thiết kế được trong 8h (chỉ tính phần chữ, layout màn hình được vẽ…)</t>
        </r>
      </text>
    </comment>
    <comment ref="E3" authorId="0">
      <text>
        <r>
          <rPr>
            <b/>
            <sz val="9"/>
            <color indexed="81"/>
            <rFont val="Tahoma"/>
            <family val="2"/>
          </rPr>
          <t>Dinh Bao Tuyen:</t>
        </r>
        <r>
          <rPr>
            <sz val="9"/>
            <color indexed="81"/>
            <rFont val="Tahoma"/>
            <family val="2"/>
          </rPr>
          <t xml:space="preserve">
Số lượng item màn hình, report có thể thiết kế trong 8h (VB/VB.NET WinForm)</t>
        </r>
      </text>
    </comment>
    <comment ref="F3" authorId="0">
      <text>
        <r>
          <rPr>
            <b/>
            <sz val="9"/>
            <color indexed="81"/>
            <rFont val="Tahoma"/>
            <family val="2"/>
          </rPr>
          <t>Dinh Bao Tuyen:</t>
        </r>
        <r>
          <rPr>
            <sz val="9"/>
            <color indexed="81"/>
            <rFont val="Tahoma"/>
            <family val="2"/>
          </rPr>
          <t xml:space="preserve">
Số lượng dòng code (LOC) có thể tạo mới/chỉnh sửa trong 8h</t>
        </r>
      </text>
    </comment>
    <comment ref="G3" authorId="0">
      <text>
        <r>
          <rPr>
            <b/>
            <sz val="9"/>
            <color indexed="81"/>
            <rFont val="Tahoma"/>
            <family val="2"/>
          </rPr>
          <t>Dinh Bao Tuyen:</t>
        </r>
        <r>
          <rPr>
            <sz val="9"/>
            <color indexed="81"/>
            <rFont val="Tahoma"/>
            <family val="2"/>
          </rPr>
          <t xml:space="preserve">
Số lượng dòng code (LOC) có thể convert trong 8h (trường hợp convert tương đương)</t>
        </r>
      </text>
    </comment>
    <comment ref="H3" authorId="0">
      <text>
        <r>
          <rPr>
            <b/>
            <sz val="9"/>
            <color indexed="81"/>
            <rFont val="Tahoma"/>
            <family val="2"/>
          </rPr>
          <t>Dinh Bao Tuyen:</t>
        </r>
        <r>
          <rPr>
            <sz val="9"/>
            <color indexed="81"/>
            <rFont val="Tahoma"/>
            <family val="2"/>
          </rPr>
          <t xml:space="preserve">
Số lượng item test có thể thực hiện (dạng checklist), bao gồm tạo data, thực hiện test, chụp evidence</t>
        </r>
      </text>
    </comment>
    <comment ref="I3" authorId="0">
      <text>
        <r>
          <rPr>
            <b/>
            <sz val="9"/>
            <color indexed="81"/>
            <rFont val="Tahoma"/>
            <family val="2"/>
          </rPr>
          <t>Dinh Bao Tuyen:</t>
        </r>
        <r>
          <rPr>
            <sz val="9"/>
            <color indexed="81"/>
            <rFont val="Tahoma"/>
            <family val="2"/>
          </rPr>
          <t xml:space="preserve">
Số lượng item test có thể thực hiện (dạng checklist), bao gồm tạo data, thực hiện test, chụp evidence</t>
        </r>
      </text>
    </comment>
    <comment ref="J3" authorId="0">
      <text>
        <r>
          <rPr>
            <b/>
            <sz val="9"/>
            <color indexed="81"/>
            <rFont val="Tahoma"/>
            <family val="2"/>
          </rPr>
          <t>Dinh Bao Tuyen:</t>
        </r>
        <r>
          <rPr>
            <sz val="9"/>
            <color indexed="81"/>
            <rFont val="Tahoma"/>
            <family val="2"/>
          </rPr>
          <t xml:space="preserve">
Số lượng item test có thể thực hiện (dạng checklist), bao gồm tạo data, thực hiện test, chụp evidence</t>
        </r>
      </text>
    </comment>
    <comment ref="AA3" authorId="0">
      <text>
        <r>
          <rPr>
            <b/>
            <sz val="9"/>
            <color indexed="81"/>
            <rFont val="Tahoma"/>
            <family val="2"/>
          </rPr>
          <t>Dinh Bao Tuyen:</t>
        </r>
        <r>
          <rPr>
            <sz val="9"/>
            <color indexed="81"/>
            <rFont val="Tahoma"/>
            <family val="2"/>
          </rPr>
          <t xml:space="preserve">
Số trang thiết kế được trong 8h</t>
        </r>
      </text>
    </comment>
    <comment ref="AB3" authorId="0">
      <text>
        <r>
          <rPr>
            <b/>
            <sz val="9"/>
            <color indexed="81"/>
            <rFont val="Tahoma"/>
            <family val="2"/>
          </rPr>
          <t>Dinh Bao Tuyen:</t>
        </r>
        <r>
          <rPr>
            <sz val="9"/>
            <color indexed="81"/>
            <rFont val="Tahoma"/>
            <family val="2"/>
          </rPr>
          <t xml:space="preserve">
Số trang thiết kế được trong 8h (chỉ tính phần chữ, layout màn hình được vẽ…)</t>
        </r>
      </text>
    </comment>
    <comment ref="AC3" authorId="0">
      <text>
        <r>
          <rPr>
            <b/>
            <sz val="9"/>
            <color indexed="81"/>
            <rFont val="Tahoma"/>
            <family val="2"/>
          </rPr>
          <t>Dinh Bao Tuyen:</t>
        </r>
        <r>
          <rPr>
            <sz val="9"/>
            <color indexed="81"/>
            <rFont val="Tahoma"/>
            <family val="2"/>
          </rPr>
          <t xml:space="preserve">
Số lượng item màn hình, report có thể thiết kế trong 8h (VB/VB.NET WinForm)</t>
        </r>
      </text>
    </comment>
    <comment ref="AD3" authorId="0">
      <text>
        <r>
          <rPr>
            <b/>
            <sz val="9"/>
            <color indexed="81"/>
            <rFont val="Tahoma"/>
            <family val="2"/>
          </rPr>
          <t>Dinh Bao Tuyen:</t>
        </r>
        <r>
          <rPr>
            <sz val="9"/>
            <color indexed="81"/>
            <rFont val="Tahoma"/>
            <family val="2"/>
          </rPr>
          <t xml:space="preserve">
Số lượng dòng code (LOC) có thể tạo mới/chỉnh sửa trong 8h</t>
        </r>
      </text>
    </comment>
    <comment ref="AE3" authorId="0">
      <text>
        <r>
          <rPr>
            <b/>
            <sz val="9"/>
            <color indexed="81"/>
            <rFont val="Tahoma"/>
            <family val="2"/>
          </rPr>
          <t>Dinh Bao Tuyen:</t>
        </r>
        <r>
          <rPr>
            <sz val="9"/>
            <color indexed="81"/>
            <rFont val="Tahoma"/>
            <family val="2"/>
          </rPr>
          <t xml:space="preserve">
Số lượng dòng code (LOC) có thể convert trong 8h (trường hợp convert tương đương)</t>
        </r>
      </text>
    </comment>
    <comment ref="AF3" authorId="0">
      <text>
        <r>
          <rPr>
            <b/>
            <sz val="9"/>
            <color indexed="81"/>
            <rFont val="Tahoma"/>
            <family val="2"/>
          </rPr>
          <t>Dinh Bao Tuyen:</t>
        </r>
        <r>
          <rPr>
            <sz val="9"/>
            <color indexed="81"/>
            <rFont val="Tahoma"/>
            <family val="2"/>
          </rPr>
          <t xml:space="preserve">
Số lượng item test có thể thực hiện (dạng checklist), bao gồm tạo data, thực hiện test, chụp evidence</t>
        </r>
      </text>
    </comment>
    <comment ref="AG3" authorId="0">
      <text>
        <r>
          <rPr>
            <b/>
            <sz val="9"/>
            <color indexed="81"/>
            <rFont val="Tahoma"/>
            <family val="2"/>
          </rPr>
          <t>Dinh Bao Tuyen:</t>
        </r>
        <r>
          <rPr>
            <sz val="9"/>
            <color indexed="81"/>
            <rFont val="Tahoma"/>
            <family val="2"/>
          </rPr>
          <t xml:space="preserve">
Số lượng item test có thể thực hiện (dạng checklist), bao gồm tạo data, thực hiện test, chụp evidence</t>
        </r>
      </text>
    </comment>
    <comment ref="AH3" authorId="0">
      <text>
        <r>
          <rPr>
            <b/>
            <sz val="9"/>
            <color indexed="81"/>
            <rFont val="Tahoma"/>
            <family val="2"/>
          </rPr>
          <t>Dinh Bao Tuyen:</t>
        </r>
        <r>
          <rPr>
            <sz val="9"/>
            <color indexed="81"/>
            <rFont val="Tahoma"/>
            <family val="2"/>
          </rPr>
          <t xml:space="preserve">
Số lượng item test có thể thực hiện (dạng checklist), bao gồm tạo data, thực hiện test, chụp evidence</t>
        </r>
      </text>
    </comment>
    <comment ref="F6" authorId="1">
      <text>
        <r>
          <rPr>
            <b/>
            <sz val="9"/>
            <color indexed="81"/>
            <rFont val="Tahoma"/>
            <family val="2"/>
          </rPr>
          <t>phu-nd:</t>
        </r>
        <r>
          <rPr>
            <sz val="9"/>
            <color indexed="81"/>
            <rFont val="Tahoma"/>
            <family val="2"/>
          </rPr>
          <t xml:space="preserve">
Full RQ Type
</t>
        </r>
      </text>
    </comment>
    <comment ref="AD6" authorId="1">
      <text>
        <r>
          <rPr>
            <b/>
            <sz val="9"/>
            <color indexed="81"/>
            <rFont val="Tahoma"/>
            <family val="2"/>
          </rPr>
          <t>phu-nd:</t>
        </r>
        <r>
          <rPr>
            <sz val="9"/>
            <color indexed="81"/>
            <rFont val="Tahoma"/>
            <family val="2"/>
          </rPr>
          <t xml:space="preserve">
Full RQ Type
</t>
        </r>
      </text>
    </comment>
    <comment ref="E9" authorId="2">
      <text>
        <r>
          <rPr>
            <b/>
            <sz val="9"/>
            <color indexed="81"/>
            <rFont val="Tahoma"/>
            <family val="2"/>
          </rPr>
          <t>TUYEN-DB:</t>
        </r>
        <r>
          <rPr>
            <sz val="9"/>
            <color indexed="81"/>
            <rFont val="Tahoma"/>
            <family val="2"/>
          </rPr>
          <t xml:space="preserve">
Mục tiêu số bug phát hiện được trong các công đoạn</t>
        </r>
      </text>
    </comment>
    <comment ref="G9" authorId="2">
      <text>
        <r>
          <rPr>
            <b/>
            <sz val="9"/>
            <color indexed="81"/>
            <rFont val="Tahoma"/>
            <family val="2"/>
          </rPr>
          <t>TUYEN-DB:</t>
        </r>
        <r>
          <rPr>
            <sz val="9"/>
            <color indexed="81"/>
            <rFont val="Tahoma"/>
            <family val="2"/>
          </rPr>
          <t xml:space="preserve">
Mục tiêu số bug tiềm ẩn sau các phase</t>
        </r>
      </text>
    </comment>
    <comment ref="AC9" authorId="2">
      <text>
        <r>
          <rPr>
            <b/>
            <sz val="9"/>
            <color indexed="81"/>
            <rFont val="Tahoma"/>
            <family val="2"/>
          </rPr>
          <t>TUYEN-DB:</t>
        </r>
        <r>
          <rPr>
            <sz val="9"/>
            <color indexed="81"/>
            <rFont val="Tahoma"/>
            <family val="2"/>
          </rPr>
          <t xml:space="preserve">
Mục tiêu số bug phát hiện được trong các công đoạn</t>
        </r>
      </text>
    </comment>
    <comment ref="AE9" authorId="2">
      <text>
        <r>
          <rPr>
            <b/>
            <sz val="9"/>
            <color indexed="81"/>
            <rFont val="Tahoma"/>
            <family val="2"/>
          </rPr>
          <t>TUYEN-DB:</t>
        </r>
        <r>
          <rPr>
            <sz val="9"/>
            <color indexed="81"/>
            <rFont val="Tahoma"/>
            <family val="2"/>
          </rPr>
          <t xml:space="preserve">
Mục tiêu số bug tiềm ẩn sau các phase</t>
        </r>
      </text>
    </comment>
    <comment ref="B16" authorId="0">
      <text>
        <r>
          <rPr>
            <b/>
            <sz val="9"/>
            <color indexed="81"/>
            <rFont val="Tahoma"/>
            <family val="2"/>
          </rPr>
          <t>Dinh Bao Tuyen:</t>
        </r>
        <r>
          <rPr>
            <sz val="9"/>
            <color indexed="81"/>
            <rFont val="Tahoma"/>
            <family val="2"/>
          </rPr>
          <t xml:space="preserve">
Tỷ lệ convert LOC mẫu (Base LOC)</t>
        </r>
      </text>
    </comment>
    <comment ref="Z16" authorId="0">
      <text>
        <r>
          <rPr>
            <b/>
            <sz val="9"/>
            <color indexed="81"/>
            <rFont val="Tahoma"/>
            <family val="2"/>
          </rPr>
          <t>Dinh Bao Tuyen:</t>
        </r>
        <r>
          <rPr>
            <sz val="9"/>
            <color indexed="81"/>
            <rFont val="Tahoma"/>
            <family val="2"/>
          </rPr>
          <t xml:space="preserve">
Tỷ lệ convert LOC mẫu (Base LOC)</t>
        </r>
      </text>
    </comment>
    <comment ref="E23" authorId="0">
      <text>
        <r>
          <rPr>
            <b/>
            <sz val="9"/>
            <color indexed="81"/>
            <rFont val="Tahoma"/>
            <family val="2"/>
          </rPr>
          <t>Dinh Bao Tuyen:</t>
        </r>
        <r>
          <rPr>
            <sz val="9"/>
            <color indexed="81"/>
            <rFont val="Tahoma"/>
            <family val="2"/>
          </rPr>
          <t xml:space="preserve">
Nếu project/program không có công đoạn test thì nâng hệ số phức tạp của phần review lên cao</t>
        </r>
      </text>
    </comment>
    <comment ref="AC23" authorId="0">
      <text>
        <r>
          <rPr>
            <b/>
            <sz val="9"/>
            <color indexed="81"/>
            <rFont val="Tahoma"/>
            <family val="2"/>
          </rPr>
          <t>Dinh Bao Tuyen:</t>
        </r>
        <r>
          <rPr>
            <sz val="9"/>
            <color indexed="81"/>
            <rFont val="Tahoma"/>
            <family val="2"/>
          </rPr>
          <t xml:space="preserve">
Nếu project/program không có công đoạn test thì nâng hệ số phức tạp của phần review lên cao</t>
        </r>
      </text>
    </comment>
    <comment ref="E24" authorId="0">
      <text>
        <r>
          <rPr>
            <b/>
            <sz val="9"/>
            <color indexed="81"/>
            <rFont val="Tahoma"/>
            <family val="2"/>
          </rPr>
          <t>Dinh Bao Tuyen:</t>
        </r>
        <r>
          <rPr>
            <sz val="9"/>
            <color indexed="81"/>
            <rFont val="Tahoma"/>
            <family val="2"/>
          </rPr>
          <t xml:space="preserve">
Nếu project/program không có công đoạn test thì nâng hệ số phức tạp của phần review lên cao</t>
        </r>
      </text>
    </comment>
    <comment ref="AC24" authorId="0">
      <text>
        <r>
          <rPr>
            <b/>
            <sz val="9"/>
            <color indexed="81"/>
            <rFont val="Tahoma"/>
            <family val="2"/>
          </rPr>
          <t>Dinh Bao Tuyen:</t>
        </r>
        <r>
          <rPr>
            <sz val="9"/>
            <color indexed="81"/>
            <rFont val="Tahoma"/>
            <family val="2"/>
          </rPr>
          <t xml:space="preserve">
Nếu project/program không có công đoạn test thì nâng hệ số phức tạp của phần review lên cao</t>
        </r>
      </text>
    </comment>
    <comment ref="E25" authorId="0">
      <text>
        <r>
          <rPr>
            <b/>
            <sz val="9"/>
            <color indexed="81"/>
            <rFont val="Tahoma"/>
            <family val="2"/>
          </rPr>
          <t>Dinh Bao Tuyen:</t>
        </r>
        <r>
          <rPr>
            <sz val="9"/>
            <color indexed="81"/>
            <rFont val="Tahoma"/>
            <family val="2"/>
          </rPr>
          <t xml:space="preserve">
Nếu project/program không có công đoạn test thì nâng hệ số phức tạp của phần review lên cao</t>
        </r>
      </text>
    </comment>
    <comment ref="AC25" authorId="0">
      <text>
        <r>
          <rPr>
            <b/>
            <sz val="9"/>
            <color indexed="81"/>
            <rFont val="Tahoma"/>
            <family val="2"/>
          </rPr>
          <t>Dinh Bao Tuyen:</t>
        </r>
        <r>
          <rPr>
            <sz val="9"/>
            <color indexed="81"/>
            <rFont val="Tahoma"/>
            <family val="2"/>
          </rPr>
          <t xml:space="preserve">
Nếu project/program không có công đoạn test thì nâng hệ số phức tạp của phần review lên cao</t>
        </r>
      </text>
    </comment>
  </commentList>
</comments>
</file>

<file path=xl/comments7.xml><?xml version="1.0" encoding="utf-8"?>
<comments xmlns="http://schemas.openxmlformats.org/spreadsheetml/2006/main">
  <authors>
    <author>TUYEN-DB</author>
    <author>phu-nd</author>
  </authors>
  <commentList>
    <comment ref="I2" authorId="0">
      <text>
        <r>
          <rPr>
            <b/>
            <sz val="9"/>
            <color indexed="81"/>
            <rFont val="Tahoma"/>
            <family val="2"/>
          </rPr>
          <t>TUYEN-DB:</t>
        </r>
        <r>
          <rPr>
            <sz val="9"/>
            <color indexed="81"/>
            <rFont val="Tahoma"/>
            <family val="2"/>
          </rPr>
          <t xml:space="preserve">
Please input this value in Legend sheet</t>
        </r>
      </text>
    </comment>
    <comment ref="D3" authorId="1">
      <text>
        <r>
          <rPr>
            <b/>
            <sz val="9"/>
            <color indexed="81"/>
            <rFont val="Tahoma"/>
            <family val="2"/>
          </rPr>
          <t>phu-nd:</t>
        </r>
        <r>
          <rPr>
            <sz val="9"/>
            <color indexed="81"/>
            <rFont val="Tahoma"/>
            <family val="2"/>
          </rPr>
          <t xml:space="preserve">
Phân loại lấy yêu cầu:
 - </t>
        </r>
        <r>
          <rPr>
            <b/>
            <sz val="9"/>
            <color indexed="81"/>
            <rFont val="Tahoma"/>
            <family val="2"/>
          </rPr>
          <t>Full</t>
        </r>
        <r>
          <rPr>
            <sz val="9"/>
            <color indexed="81"/>
            <rFont val="Tahoma"/>
            <family val="2"/>
          </rPr>
          <t xml:space="preserve"> (FJN làm toàn bộ khâu lấy yêu cầu) = 1
 - </t>
        </r>
        <r>
          <rPr>
            <b/>
            <sz val="9"/>
            <color indexed="81"/>
            <rFont val="Tahoma"/>
            <family val="2"/>
          </rPr>
          <t>None</t>
        </r>
        <r>
          <rPr>
            <sz val="9"/>
            <color indexed="81"/>
            <rFont val="Tahoma"/>
            <family val="2"/>
          </rPr>
          <t xml:space="preserve"> (FJN không cần phải làm, khách hàng cung cấp tài liệu yêu cầu lập trình cụ thể (có bảng chỉ thị)) = 0
 - </t>
        </r>
        <r>
          <rPr>
            <b/>
            <sz val="9"/>
            <color indexed="81"/>
            <rFont val="Tahoma"/>
            <family val="2"/>
          </rPr>
          <t>Partial</t>
        </r>
        <r>
          <rPr>
            <sz val="9"/>
            <color indexed="81"/>
            <rFont val="Tahoma"/>
            <family val="2"/>
          </rPr>
          <t xml:space="preserve"> (FJN có tham gia quá trình lấy yêu cầu (Khách hàng chỉ cung cấp 1 phần)) = 0 ~ 1</t>
        </r>
      </text>
    </comment>
  </commentList>
</comments>
</file>

<file path=xl/comments8.xml><?xml version="1.0" encoding="utf-8"?>
<comments xmlns="http://schemas.openxmlformats.org/spreadsheetml/2006/main">
  <authors>
    <author>TUYEN-DB</author>
    <author>FUJINET</author>
  </authors>
  <commentList>
    <comment ref="H2" authorId="0">
      <text>
        <r>
          <rPr>
            <b/>
            <sz val="9"/>
            <color indexed="81"/>
            <rFont val="Tahoma"/>
            <family val="2"/>
          </rPr>
          <t>TUYEN-DB:</t>
        </r>
        <r>
          <rPr>
            <sz val="9"/>
            <color indexed="81"/>
            <rFont val="Tahoma"/>
            <family val="2"/>
          </rPr>
          <t xml:space="preserve">
Please input this value in Legend sheet</t>
        </r>
      </text>
    </comment>
    <comment ref="D3" authorId="1">
      <text>
        <r>
          <rPr>
            <b/>
            <sz val="8"/>
            <color indexed="81"/>
            <rFont val="Tahoma"/>
            <family val="2"/>
            <charset val="128"/>
          </rPr>
          <t>FUJINET:</t>
        </r>
        <r>
          <rPr>
            <sz val="8"/>
            <color indexed="81"/>
            <rFont val="Tahoma"/>
            <family val="2"/>
            <charset val="128"/>
          </rPr>
          <t xml:space="preserve">
Số lượng trang A4 của file thiết kế (ước tính)</t>
        </r>
      </text>
    </comment>
    <comment ref="E3" authorId="1">
      <text>
        <r>
          <rPr>
            <b/>
            <sz val="8"/>
            <color indexed="81"/>
            <rFont val="Tahoma"/>
            <family val="2"/>
            <charset val="128"/>
          </rPr>
          <t>FUJINET:</t>
        </r>
        <r>
          <rPr>
            <sz val="8"/>
            <color indexed="81"/>
            <rFont val="Tahoma"/>
            <family val="2"/>
            <charset val="128"/>
          </rPr>
          <t xml:space="preserve">
Mức độ phức tạp của function (cho phép đến 1 số lẻ). Nếu không có giá trị thì default là 1.0
- 1.0: bình thường
- &gt; 1.0: phức tạp
- &lt; 1.0: đơn giản</t>
        </r>
      </text>
    </comment>
  </commentList>
</comments>
</file>

<file path=xl/comments9.xml><?xml version="1.0" encoding="utf-8"?>
<comments xmlns="http://schemas.openxmlformats.org/spreadsheetml/2006/main">
  <authors>
    <author>TUYEN-DB</author>
    <author>FUJINET</author>
  </authors>
  <commentList>
    <comment ref="I2" authorId="0">
      <text>
        <r>
          <rPr>
            <b/>
            <sz val="9"/>
            <color indexed="81"/>
            <rFont val="Tahoma"/>
            <family val="2"/>
          </rPr>
          <t>TUYEN-DB:</t>
        </r>
        <r>
          <rPr>
            <sz val="9"/>
            <color indexed="81"/>
            <rFont val="Tahoma"/>
            <family val="2"/>
          </rPr>
          <t xml:space="preserve">
Please input this value in Legend sheet</t>
        </r>
      </text>
    </comment>
    <comment ref="E3" authorId="1">
      <text>
        <r>
          <rPr>
            <b/>
            <sz val="8"/>
            <color indexed="81"/>
            <rFont val="Tahoma"/>
            <family val="2"/>
            <charset val="128"/>
          </rPr>
          <t>FUJINET:</t>
        </r>
        <r>
          <rPr>
            <sz val="8"/>
            <color indexed="81"/>
            <rFont val="Tahoma"/>
            <family val="2"/>
            <charset val="128"/>
          </rPr>
          <t xml:space="preserve">
Số lượng trang A4 của file thiết kế (ước tính)</t>
        </r>
      </text>
    </comment>
    <comment ref="F3" authorId="1">
      <text>
        <r>
          <rPr>
            <b/>
            <sz val="8"/>
            <color indexed="81"/>
            <rFont val="Tahoma"/>
            <family val="2"/>
            <charset val="128"/>
          </rPr>
          <t>FUJINET:</t>
        </r>
        <r>
          <rPr>
            <sz val="8"/>
            <color indexed="81"/>
            <rFont val="Tahoma"/>
            <family val="2"/>
            <charset val="128"/>
          </rPr>
          <t xml:space="preserve">
Mức độ phức tạp của function (cho phép đến 1 số lẻ). Nếu không có giá trị thì default là 1.0
- 1.0: bình thường
- &gt; 1.0: phức tạp
- &lt; 1.0: đơn giản</t>
        </r>
      </text>
    </comment>
  </commentList>
</comments>
</file>

<file path=xl/comments10.xml><?xml version="1.0" encoding="utf-8"?>
<comments xmlns="http://schemas.openxmlformats.org/spreadsheetml/2006/main">
  <authors>
    <author>TUYEN-DB</author>
    <author>phu-nd</author>
    <author>FUJINET</author>
  </authors>
  <commentList>
    <comment ref="I2" authorId="0">
      <text>
        <r>
          <rPr>
            <b/>
            <sz val="9"/>
            <color indexed="81"/>
            <rFont val="Tahoma"/>
            <family val="2"/>
          </rPr>
          <t>TUYEN-DB:</t>
        </r>
        <r>
          <rPr>
            <sz val="9"/>
            <color indexed="81"/>
            <rFont val="Tahoma"/>
            <family val="2"/>
          </rPr>
          <t xml:space="preserve">
Please input this value in Legend sheet</t>
        </r>
      </text>
    </comment>
    <comment ref="E3" authorId="1">
      <text>
        <r>
          <rPr>
            <b/>
            <sz val="9"/>
            <color indexed="81"/>
            <rFont val="Tahoma"/>
            <family val="2"/>
          </rPr>
          <t>phu-nd:</t>
        </r>
        <r>
          <rPr>
            <sz val="9"/>
            <color indexed="81"/>
            <rFont val="Tahoma"/>
            <family val="2"/>
          </rPr>
          <t xml:space="preserve">
Số item giao diện có trong function (label, textbox, combo box, text area, table (column, row),...)</t>
        </r>
      </text>
    </comment>
    <comment ref="F3" authorId="2">
      <text>
        <r>
          <rPr>
            <b/>
            <sz val="8"/>
            <color indexed="81"/>
            <rFont val="Tahoma"/>
            <family val="2"/>
            <charset val="128"/>
          </rPr>
          <t xml:space="preserve">FUJINET:
</t>
        </r>
        <r>
          <rPr>
            <sz val="8"/>
            <color indexed="81"/>
            <rFont val="Tahoma"/>
            <family val="2"/>
          </rPr>
          <t>Mức độ phức tạp của function (cho phép đến 1 số lẻ). Nếu không có giá trị thì default là 1.0
- 1.0: bình thường
- &gt; 1.0: phức tạp
- &lt; 1.0: đơn giản</t>
        </r>
        <r>
          <rPr>
            <sz val="8"/>
            <color indexed="81"/>
            <rFont val="Tahoma"/>
            <family val="2"/>
            <charset val="128"/>
          </rPr>
          <t xml:space="preserve">
</t>
        </r>
      </text>
    </comment>
  </commentList>
</comments>
</file>

<file path=xl/comments11.xml><?xml version="1.0" encoding="utf-8"?>
<comments xmlns="http://schemas.openxmlformats.org/spreadsheetml/2006/main">
  <authors>
    <author>TUYEN-DB</author>
    <author>FUJINET</author>
  </authors>
  <commentList>
    <comment ref="K2" authorId="0">
      <text>
        <r>
          <rPr>
            <b/>
            <sz val="9"/>
            <color indexed="81"/>
            <rFont val="Tahoma"/>
            <family val="2"/>
          </rPr>
          <t>TUYEN-DB:</t>
        </r>
        <r>
          <rPr>
            <sz val="9"/>
            <color indexed="81"/>
            <rFont val="Tahoma"/>
            <family val="2"/>
          </rPr>
          <t xml:space="preserve">
Please input this value in Legend sheet</t>
        </r>
      </text>
    </comment>
    <comment ref="G3" authorId="1">
      <text>
        <r>
          <rPr>
            <b/>
            <sz val="8"/>
            <color indexed="81"/>
            <rFont val="Tahoma"/>
            <family val="2"/>
            <charset val="128"/>
          </rPr>
          <t xml:space="preserve">FUJINET:
</t>
        </r>
        <r>
          <rPr>
            <sz val="8"/>
            <color indexed="81"/>
            <rFont val="Tahoma"/>
            <family val="2"/>
          </rPr>
          <t>Mức độ phức tạp của function (cho phép đến 1 số lẻ). Nếu không có giá trị thì default là 1.0
- 1.0: bình thường
- &gt; 1.0: phức tạp
- &lt; 1.0: đơn giản</t>
        </r>
        <r>
          <rPr>
            <sz val="8"/>
            <color indexed="81"/>
            <rFont val="Tahoma"/>
            <family val="2"/>
            <charset val="128"/>
          </rPr>
          <t xml:space="preserve">
</t>
        </r>
      </text>
    </comment>
  </commentList>
</comments>
</file>

<file path=xl/comments12.xml><?xml version="1.0" encoding="utf-8"?>
<comments xmlns="http://schemas.openxmlformats.org/spreadsheetml/2006/main">
  <authors>
    <author>TUYEN-DB</author>
    <author>FUJINET</author>
  </authors>
  <commentList>
    <comment ref="F2" authorId="0">
      <text>
        <r>
          <rPr>
            <b/>
            <sz val="9"/>
            <color indexed="81"/>
            <rFont val="Tahoma"/>
            <family val="2"/>
          </rPr>
          <t>TUYEN-DB:</t>
        </r>
        <r>
          <rPr>
            <sz val="9"/>
            <color indexed="81"/>
            <rFont val="Tahoma"/>
            <family val="2"/>
          </rPr>
          <t xml:space="preserve">
Please input this value in Legend sheet</t>
        </r>
      </text>
    </comment>
    <comment ref="G2" authorId="0">
      <text>
        <r>
          <rPr>
            <b/>
            <sz val="9"/>
            <color indexed="81"/>
            <rFont val="Tahoma"/>
            <family val="2"/>
          </rPr>
          <t>TUYEN-DB:</t>
        </r>
        <r>
          <rPr>
            <sz val="9"/>
            <color indexed="81"/>
            <rFont val="Tahoma"/>
            <family val="2"/>
          </rPr>
          <t xml:space="preserve">
Please input this value in Legend sheet</t>
        </r>
      </text>
    </comment>
    <comment ref="J2" authorId="0">
      <text>
        <r>
          <rPr>
            <b/>
            <sz val="9"/>
            <color indexed="81"/>
            <rFont val="Tahoma"/>
            <family val="2"/>
          </rPr>
          <t>TUYEN-DB:</t>
        </r>
        <r>
          <rPr>
            <sz val="9"/>
            <color indexed="81"/>
            <rFont val="Tahoma"/>
            <family val="2"/>
          </rPr>
          <t xml:space="preserve">
Please input this value in Legend sheet</t>
        </r>
      </text>
    </comment>
    <comment ref="K2" authorId="0">
      <text>
        <r>
          <rPr>
            <b/>
            <sz val="9"/>
            <color indexed="81"/>
            <rFont val="Tahoma"/>
            <family val="2"/>
          </rPr>
          <t>TUYEN-DB:</t>
        </r>
        <r>
          <rPr>
            <sz val="9"/>
            <color indexed="81"/>
            <rFont val="Tahoma"/>
            <family val="2"/>
          </rPr>
          <t xml:space="preserve">
Please input this value in Legend sheet</t>
        </r>
      </text>
    </comment>
    <comment ref="L2" authorId="0">
      <text>
        <r>
          <rPr>
            <b/>
            <sz val="9"/>
            <color indexed="81"/>
            <rFont val="Tahoma"/>
            <family val="2"/>
          </rPr>
          <t>TUYEN-DB:</t>
        </r>
        <r>
          <rPr>
            <sz val="9"/>
            <color indexed="81"/>
            <rFont val="Tahoma"/>
            <family val="2"/>
          </rPr>
          <t xml:space="preserve">
Please input this value in Legend sheet</t>
        </r>
      </text>
    </comment>
    <comment ref="M2" authorId="0">
      <text>
        <r>
          <rPr>
            <b/>
            <sz val="9"/>
            <color indexed="81"/>
            <rFont val="Tahoma"/>
            <family val="2"/>
          </rPr>
          <t>TUYEN-DB:</t>
        </r>
        <r>
          <rPr>
            <sz val="9"/>
            <color indexed="81"/>
            <rFont val="Tahoma"/>
            <family val="2"/>
          </rPr>
          <t xml:space="preserve">
Please input this value in Legend sheet</t>
        </r>
      </text>
    </comment>
    <comment ref="N2" authorId="0">
      <text>
        <r>
          <rPr>
            <b/>
            <sz val="9"/>
            <color indexed="81"/>
            <rFont val="Tahoma"/>
            <family val="2"/>
          </rPr>
          <t>TUYEN-DB:</t>
        </r>
        <r>
          <rPr>
            <sz val="9"/>
            <color indexed="81"/>
            <rFont val="Tahoma"/>
            <family val="2"/>
          </rPr>
          <t xml:space="preserve">
Please input this value in Legend sheet</t>
        </r>
      </text>
    </comment>
    <comment ref="E3" authorId="1">
      <text>
        <r>
          <rPr>
            <b/>
            <sz val="8"/>
            <color indexed="81"/>
            <rFont val="Tahoma"/>
            <family val="2"/>
            <charset val="128"/>
          </rPr>
          <t xml:space="preserve">FUJINET:
</t>
        </r>
        <r>
          <rPr>
            <sz val="8"/>
            <color indexed="81"/>
            <rFont val="Tahoma"/>
            <family val="2"/>
          </rPr>
          <t>Mức độ phức tạp của function (cho phép đến 1 số lẻ). Nếu không có giá trị thì default là 1.0
- 1.0: bình thường
- &gt; 1.0: phức tạp
- &lt; 1.0: đơn giản</t>
        </r>
        <r>
          <rPr>
            <sz val="8"/>
            <color indexed="81"/>
            <rFont val="Tahoma"/>
            <family val="2"/>
            <charset val="128"/>
          </rPr>
          <t xml:space="preserve">
</t>
        </r>
      </text>
    </comment>
  </commentList>
</comments>
</file>

<file path=xl/sharedStrings.xml><?xml version="1.0" encoding="utf-8"?>
<sst xmlns="http://schemas.openxmlformats.org/spreadsheetml/2006/main" count="896" uniqueCount="475">
  <si>
    <t>Basic Design Phase</t>
    <phoneticPr fontId="3"/>
  </si>
  <si>
    <t>No</t>
    <phoneticPr fontId="3"/>
  </si>
  <si>
    <t>Module(s)</t>
    <phoneticPr fontId="3"/>
  </si>
  <si>
    <t>Note</t>
    <phoneticPr fontId="3"/>
  </si>
  <si>
    <t>BD</t>
    <phoneticPr fontId="3"/>
  </si>
  <si>
    <t>DD</t>
    <phoneticPr fontId="3"/>
  </si>
  <si>
    <t>No</t>
    <phoneticPr fontId="3"/>
  </si>
  <si>
    <t>Note</t>
    <phoneticPr fontId="3"/>
  </si>
  <si>
    <t>Detail Design Phase</t>
    <phoneticPr fontId="3"/>
  </si>
  <si>
    <t>No</t>
    <phoneticPr fontId="3"/>
  </si>
  <si>
    <t>Function(s)</t>
    <phoneticPr fontId="3"/>
  </si>
  <si>
    <t>Note</t>
    <phoneticPr fontId="3"/>
  </si>
  <si>
    <t>Coding</t>
    <phoneticPr fontId="3"/>
  </si>
  <si>
    <t>Programming Phase (CONVERT)</t>
    <phoneticPr fontId="3"/>
  </si>
  <si>
    <t>Programming Phase (GUI Design)</t>
    <phoneticPr fontId="3"/>
  </si>
  <si>
    <t>Test</t>
    <phoneticPr fontId="3"/>
  </si>
  <si>
    <t>Function(s)</t>
  </si>
  <si>
    <t>PG3</t>
    <phoneticPr fontId="3"/>
  </si>
  <si>
    <t>Revision</t>
    <phoneticPr fontId="3"/>
  </si>
  <si>
    <t>1.0</t>
    <phoneticPr fontId="3"/>
  </si>
  <si>
    <t>1.01</t>
    <phoneticPr fontId="3"/>
  </si>
  <si>
    <t>1.02</t>
    <phoneticPr fontId="3"/>
  </si>
  <si>
    <t>Chỉnh sửa độ phức tạp và công thức</t>
    <phoneticPr fontId="3"/>
  </si>
  <si>
    <t>Chỉnh sửa công thức</t>
    <phoneticPr fontId="3"/>
  </si>
  <si>
    <t>Tạo mới</t>
    <phoneticPr fontId="3"/>
  </si>
  <si>
    <t>Description</t>
    <phoneticPr fontId="3"/>
  </si>
  <si>
    <t>1.03</t>
    <phoneticPr fontId="3"/>
  </si>
  <si>
    <t>Thêm độ phức tạp cho PG1, UT và CT</t>
    <phoneticPr fontId="3"/>
  </si>
  <si>
    <t>PG1</t>
    <phoneticPr fontId="3"/>
  </si>
  <si>
    <t>Prepare
Doc.</t>
    <phoneticPr fontId="3"/>
  </si>
  <si>
    <t>Prepare
Data</t>
    <phoneticPr fontId="3"/>
  </si>
  <si>
    <t>1.05</t>
    <phoneticPr fontId="3"/>
  </si>
  <si>
    <t>Chỉnh sửa hệ số Review của PG1 (0.5 -&gt; 0.25)</t>
    <phoneticPr fontId="3"/>
  </si>
  <si>
    <t>1.04</t>
    <phoneticPr fontId="3"/>
  </si>
  <si>
    <t>Chỉnh sửa công thức tính giờ coding</t>
    <phoneticPr fontId="3"/>
  </si>
  <si>
    <t>1.06</t>
    <phoneticPr fontId="3"/>
  </si>
  <si>
    <t>1.07</t>
    <phoneticPr fontId="3"/>
  </si>
  <si>
    <t>Chỉnh sửa cách tính đơn giá (BD, DD, PG, UT riêng)
Thêm Custom cho độ phức tạp, Custom Value</t>
    <phoneticPr fontId="3"/>
  </si>
  <si>
    <t>Chỉnh sửa cách tính đơn giá (PD, PG, UT riêng)</t>
    <phoneticPr fontId="3"/>
  </si>
  <si>
    <t>No</t>
  </si>
  <si>
    <t>Note</t>
  </si>
  <si>
    <t>Support</t>
  </si>
  <si>
    <t>Task</t>
  </si>
  <si>
    <t>1.08</t>
  </si>
  <si>
    <t>Thêm phần tính thời gian Support</t>
  </si>
  <si>
    <t>1.09</t>
  </si>
  <si>
    <t>Tính tổng riêng biệt cho từng phần tại sheet Summary</t>
  </si>
  <si>
    <t>No</t>
    <phoneticPr fontId="3"/>
  </si>
  <si>
    <t>Module(s)</t>
    <phoneticPr fontId="3"/>
  </si>
  <si>
    <t>Note</t>
    <phoneticPr fontId="3"/>
  </si>
  <si>
    <t>Additional effort (customer changes requirements)</t>
    <phoneticPr fontId="3"/>
  </si>
  <si>
    <t>1.10</t>
    <phoneticPr fontId="3"/>
  </si>
  <si>
    <t>Thêm sheet để estimate khi có thay đổi Requirement, điều chỉnh lại các loại test</t>
    <phoneticPr fontId="3"/>
  </si>
  <si>
    <t>1.11</t>
  </si>
  <si>
    <t>Thêm phần quy đổi Size của project</t>
  </si>
  <si>
    <t>Support
Efforts</t>
    <phoneticPr fontId="3"/>
  </si>
  <si>
    <t>AAAA</t>
  </si>
  <si>
    <t>AAAA</t>
    <phoneticPr fontId="3"/>
  </si>
  <si>
    <t>BBBB</t>
  </si>
  <si>
    <t>BBBB</t>
    <phoneticPr fontId="3"/>
  </si>
  <si>
    <t>CCCC</t>
  </si>
  <si>
    <t>CCCC</t>
    <phoneticPr fontId="3"/>
  </si>
  <si>
    <t>DDDD</t>
  </si>
  <si>
    <t>DDDD</t>
    <phoneticPr fontId="3"/>
  </si>
  <si>
    <t>EEEE</t>
  </si>
  <si>
    <t>EEEE</t>
    <phoneticPr fontId="3"/>
  </si>
  <si>
    <t>FFFF</t>
  </si>
  <si>
    <t>FFFF</t>
    <phoneticPr fontId="3"/>
  </si>
  <si>
    <t>GGGG</t>
  </si>
  <si>
    <t>GGGG</t>
    <phoneticPr fontId="3"/>
  </si>
  <si>
    <t>A1</t>
  </si>
  <si>
    <t>A1</t>
    <phoneticPr fontId="3"/>
  </si>
  <si>
    <t>A2</t>
  </si>
  <si>
    <t>A2</t>
    <phoneticPr fontId="3"/>
  </si>
  <si>
    <t>B1</t>
  </si>
  <si>
    <t>B1</t>
    <phoneticPr fontId="3"/>
  </si>
  <si>
    <t>B2</t>
  </si>
  <si>
    <t>B2</t>
    <phoneticPr fontId="3"/>
  </si>
  <si>
    <t>C1</t>
  </si>
  <si>
    <t>C1</t>
    <phoneticPr fontId="3"/>
  </si>
  <si>
    <t>C2</t>
  </si>
  <si>
    <t>C2</t>
    <phoneticPr fontId="3"/>
  </si>
  <si>
    <t>D1</t>
  </si>
  <si>
    <t>D1</t>
    <phoneticPr fontId="3"/>
  </si>
  <si>
    <t>D2</t>
  </si>
  <si>
    <t>D2</t>
    <phoneticPr fontId="3"/>
  </si>
  <si>
    <t>E1</t>
  </si>
  <si>
    <t>E1</t>
    <phoneticPr fontId="3"/>
  </si>
  <si>
    <t>E2</t>
  </si>
  <si>
    <t>E2</t>
    <phoneticPr fontId="3"/>
  </si>
  <si>
    <t>F1</t>
  </si>
  <si>
    <t>F1</t>
    <phoneticPr fontId="3"/>
  </si>
  <si>
    <t>F2</t>
  </si>
  <si>
    <t>F2</t>
    <phoneticPr fontId="3"/>
  </si>
  <si>
    <t>1.12</t>
    <phoneticPr fontId="3"/>
  </si>
  <si>
    <t>SIZE OF PROJECT</t>
    <phoneticPr fontId="3"/>
  </si>
  <si>
    <t>Design</t>
    <phoneticPr fontId="3"/>
  </si>
  <si>
    <t>Review</t>
    <phoneticPr fontId="3"/>
  </si>
  <si>
    <t>Design</t>
    <phoneticPr fontId="3"/>
  </si>
  <si>
    <t>Review</t>
    <phoneticPr fontId="3"/>
  </si>
  <si>
    <t>Review</t>
    <phoneticPr fontId="3"/>
  </si>
  <si>
    <t>Coding</t>
    <phoneticPr fontId="3"/>
  </si>
  <si>
    <t>Review</t>
    <phoneticPr fontId="3"/>
  </si>
  <si>
    <t>PG</t>
    <phoneticPr fontId="3"/>
  </si>
  <si>
    <t>RQ</t>
    <phoneticPr fontId="3"/>
  </si>
  <si>
    <t>PG
Size</t>
    <phoneticPr fontId="3"/>
  </si>
  <si>
    <t>G1</t>
  </si>
  <si>
    <t>G1</t>
    <phoneticPr fontId="3"/>
  </si>
  <si>
    <t>G2</t>
  </si>
  <si>
    <t>G2</t>
    <phoneticPr fontId="3"/>
  </si>
  <si>
    <t>None</t>
  </si>
  <si>
    <t>None</t>
    <phoneticPr fontId="3"/>
  </si>
  <si>
    <t>Partial</t>
  </si>
  <si>
    <t>Partial</t>
    <phoneticPr fontId="3"/>
  </si>
  <si>
    <t>Full</t>
  </si>
  <si>
    <t>Full</t>
    <phoneticPr fontId="3"/>
  </si>
  <si>
    <t>RQ Type</t>
    <phoneticPr fontId="3"/>
  </si>
  <si>
    <t>%</t>
    <phoneticPr fontId="3"/>
  </si>
  <si>
    <t>% to PG</t>
    <phoneticPr fontId="3"/>
  </si>
  <si>
    <t>Phase</t>
    <phoneticPr fontId="3"/>
  </si>
  <si>
    <t>Type</t>
    <phoneticPr fontId="3"/>
  </si>
  <si>
    <t>Partial
%</t>
    <phoneticPr fontId="3"/>
  </si>
  <si>
    <t>Review Rate</t>
    <phoneticPr fontId="3"/>
  </si>
  <si>
    <t>Unit Point</t>
    <phoneticPr fontId="3"/>
  </si>
  <si>
    <t>(h)</t>
    <phoneticPr fontId="3"/>
  </si>
  <si>
    <t>Base</t>
    <phoneticPr fontId="3"/>
  </si>
  <si>
    <t>Remark</t>
    <phoneticPr fontId="3"/>
  </si>
  <si>
    <r>
      <t xml:space="preserve">1 </t>
    </r>
    <r>
      <rPr>
        <b/>
        <sz val="10"/>
        <rFont val="ＭＳ Ｐ明朝"/>
        <family val="1"/>
        <charset val="128"/>
      </rPr>
      <t>人月</t>
    </r>
    <r>
      <rPr>
        <b/>
        <sz val="10"/>
        <rFont val="Times New Roman"/>
        <family val="1"/>
      </rPr>
      <t xml:space="preserve"> = </t>
    </r>
    <phoneticPr fontId="3"/>
  </si>
  <si>
    <t>Requirement Phase</t>
    <phoneticPr fontId="3"/>
  </si>
  <si>
    <t>Thay đổi cách tính size (tính theo từng phase), làm tròn size và effort theo đơn vị 0.5</t>
    <phoneticPr fontId="3"/>
  </si>
  <si>
    <t>(effort is rounded-up by 0.5)</t>
    <phoneticPr fontId="3"/>
  </si>
  <si>
    <t>1.13</t>
    <phoneticPr fontId="3"/>
  </si>
  <si>
    <t>Thay đổi các tính size, không làm tròn size
Bỏ đi tỉ lệ bug, tính giờ fix bug theo % giờ test</t>
    <phoneticPr fontId="3"/>
  </si>
  <si>
    <r>
      <t>日本語サポート</t>
    </r>
    <r>
      <rPr>
        <b/>
        <sz val="10"/>
        <rFont val="Times New Roman"/>
        <family val="1"/>
      </rPr>
      <t xml:space="preserve"> = </t>
    </r>
    <phoneticPr fontId="3"/>
  </si>
  <si>
    <r>
      <t>管理</t>
    </r>
    <r>
      <rPr>
        <b/>
        <sz val="10"/>
        <rFont val="Times New Roman"/>
        <family val="1"/>
      </rPr>
      <t xml:space="preserve"> = </t>
    </r>
    <phoneticPr fontId="3"/>
  </si>
  <si>
    <t>1.14</t>
  </si>
  <si>
    <t>Tính size của phần review riêng cho từng phase</t>
  </si>
  <si>
    <t>Testing 1 Phase (include Unit Test)</t>
    <phoneticPr fontId="3"/>
  </si>
  <si>
    <t xml:space="preserve">Email </t>
  </si>
  <si>
    <t>info@fujinet.net</t>
  </si>
  <si>
    <t xml:space="preserve">Web </t>
  </si>
  <si>
    <t>http://www.fujinet.net</t>
  </si>
  <si>
    <t>Project</t>
  </si>
  <si>
    <t>Customer</t>
  </si>
  <si>
    <t>Create</t>
  </si>
  <si>
    <t>Confirm</t>
  </si>
  <si>
    <t>1.15</t>
  </si>
  <si>
    <t>Điều chỉnh Layout của templates</t>
  </si>
  <si>
    <t>1.16</t>
  </si>
  <si>
    <t>Đổi tỷ lệ Support tiếng Nhật từ 10% - 12.5%</t>
  </si>
  <si>
    <t>1.2</t>
    <phoneticPr fontId="3"/>
  </si>
  <si>
    <t>Thêm PG4</t>
    <phoneticPr fontId="3"/>
  </si>
  <si>
    <t>Function(s)</t>
    <phoneticPr fontId="3"/>
  </si>
  <si>
    <t>1.21</t>
  </si>
  <si>
    <t>Bổ sung ngày confirm và ngày tạo vào sheet Summary</t>
  </si>
  <si>
    <t>Review Complexity</t>
    <phoneticPr fontId="3"/>
  </si>
  <si>
    <t>Evidence</t>
    <phoneticPr fontId="3"/>
  </si>
  <si>
    <t>Date</t>
  </si>
  <si>
    <t>1.3</t>
  </si>
  <si>
    <t xml:space="preserve">    - Thêm Review Complexity cho RQ, BD, DD, PG1, PG2, PG3, PG4
    - Thêm cột Evidence cho PT1, PT2
    - Tại các cột Review, Prepare Doc., Prepare Data, Evidence, nếu Size của công đoạn này &lt; 1 thì sẽ không làm tròn lên 0.5</t>
  </si>
  <si>
    <t>Phụ lục</t>
  </si>
  <si>
    <t>前提条件</t>
  </si>
  <si>
    <t>Content</t>
  </si>
  <si>
    <t>VN (Xóa toàn bộ cột chứa nội dung tiếng Việt khi sử dụng)</t>
  </si>
  <si>
    <t>①</t>
  </si>
  <si>
    <t>②</t>
  </si>
  <si>
    <t>上記の資料が変更により、前提との差異が発生した場合、別途相談の上、見積工数を調整させて頂きます。</t>
  </si>
  <si>
    <t xml:space="preserve">Do sự thay đổi tài liệu trên đây , trường hợp phát sinh sai khác so với tiền đề thì sẽ thương lượng lại để điều chỉnh số công báo giá </t>
  </si>
  <si>
    <t>③</t>
  </si>
  <si>
    <t>プログラム試験が完了された場合は、改善・改良の変更依頼により、前提との差異が発生した場合、別途相談の上、見積工数を調整させて頂きます。</t>
  </si>
  <si>
    <t xml:space="preserve">Trường hợp sau khi kết thúc Program test, mà do yêu cầu cải thiện, thay đổi của quý công ty, phát sinh sai khác so với điều kiện tiền đề thì sẽ thương lượng lại để điều chỉnh số công báo giá </t>
  </si>
  <si>
    <t>④</t>
  </si>
  <si>
    <t>⑤</t>
  </si>
  <si>
    <t>システム設計書の提供期限は、別途相談の上に決めて頂きます。予定より送付が遅れる場合、３日間を事前に連絡して頂くこと。仕様書の送付の遅延が発生した場合、納品予定期限を調整させて頂きます。</t>
  </si>
  <si>
    <t>⑥</t>
  </si>
  <si>
    <t>システム設計書を入手して、コーディング作業を着手してから、仕様変更が発生した場合、
別途相談の上、見積工数を調整させて頂きます。その通度は、納品予定期限も調整致します。</t>
  </si>
  <si>
    <t>⑦</t>
  </si>
  <si>
    <t>⑧</t>
  </si>
  <si>
    <t>⑨</t>
  </si>
  <si>
    <t>納品物は以下のものを含めています。
・ソースコード、
・テスト成績書、
・インストールガイド、
・ユーザガイド、
・マニュアル
等</t>
  </si>
  <si>
    <r>
      <t>本見積は、ご指示して頂いた『おしらせネット</t>
    </r>
    <r>
      <rPr>
        <b/>
        <sz val="10"/>
        <color indexed="12"/>
        <rFont val="Tahoma"/>
        <family val="2"/>
      </rPr>
      <t>GS</t>
    </r>
    <r>
      <rPr>
        <b/>
        <sz val="10"/>
        <color indexed="12"/>
        <rFont val="ＭＳ Ｐ明朝"/>
        <family val="1"/>
        <charset val="128"/>
      </rPr>
      <t>対応見積</t>
    </r>
    <r>
      <rPr>
        <b/>
        <sz val="10"/>
        <color indexed="12"/>
        <rFont val="Tahoma"/>
        <family val="2"/>
      </rPr>
      <t>_20081228</t>
    </r>
    <r>
      <rPr>
        <b/>
        <sz val="10"/>
        <color indexed="12"/>
        <rFont val="ＭＳ Ｐ明朝"/>
        <family val="1"/>
        <charset val="128"/>
      </rPr>
      <t>修正版</t>
    </r>
    <r>
      <rPr>
        <b/>
        <sz val="10"/>
        <color indexed="12"/>
        <rFont val="Tahoma"/>
        <family val="2"/>
      </rPr>
      <t>.xls</t>
    </r>
    <r>
      <rPr>
        <b/>
        <sz val="10"/>
        <color indexed="12"/>
        <rFont val="ＭＳ Ｐ明朝"/>
        <family val="1"/>
        <charset val="128"/>
      </rPr>
      <t>』ファイル（</t>
    </r>
    <r>
      <rPr>
        <b/>
        <sz val="10"/>
        <color indexed="12"/>
        <rFont val="Tahoma"/>
        <family val="2"/>
      </rPr>
      <t>2008/12/28</t>
    </r>
    <r>
      <rPr>
        <b/>
        <sz val="10"/>
        <color indexed="12"/>
        <rFont val="ＭＳ Ｐ明朝"/>
        <family val="1"/>
        <charset val="128"/>
      </rPr>
      <t>日付）、
および画面スモックアップ（</t>
    </r>
    <r>
      <rPr>
        <b/>
        <sz val="10"/>
        <color indexed="12"/>
        <rFont val="Tahoma"/>
        <family val="2"/>
      </rPr>
      <t>2009/01/06</t>
    </r>
    <r>
      <rPr>
        <b/>
        <sz val="10"/>
        <color indexed="12"/>
        <rFont val="ＭＳ Ｐ明朝"/>
        <family val="1"/>
        <charset val="128"/>
      </rPr>
      <t>日付）を基準にして工数算出しています。</t>
    </r>
  </si>
  <si>
    <r>
      <t>システム設計書を入手してから、ロジック処理が想定より複雑・難度であれば、</t>
    </r>
    <r>
      <rPr>
        <b/>
        <sz val="10"/>
        <color indexed="12"/>
        <rFont val="Tahoma"/>
        <family val="2"/>
      </rPr>
      <t xml:space="preserve"> </t>
    </r>
    <r>
      <rPr>
        <b/>
        <sz val="10"/>
        <color indexed="12"/>
        <rFont val="ＭＳ Ｐ明朝"/>
        <family val="1"/>
        <charset val="128"/>
      </rPr>
      <t>前提との差異が発生した場合、別途相談の上、見積工数を調整させて頂きます。</t>
    </r>
  </si>
  <si>
    <r>
      <t>K</t>
    </r>
    <r>
      <rPr>
        <b/>
        <sz val="10"/>
        <color indexed="12"/>
        <rFont val="ＭＳ Ｐ明朝"/>
        <family val="1"/>
        <charset val="128"/>
      </rPr>
      <t>ỳ</t>
    </r>
    <r>
      <rPr>
        <b/>
        <sz val="10"/>
        <color indexed="12"/>
        <rFont val="Tahoma"/>
        <family val="2"/>
      </rPr>
      <t xml:space="preserve"> hạn cung cấp bản thiết kế system thì được quyết định dựa trên thỏa thuận. Nếu gửi trễ hơn so với dự định thì phải báo trước 3 ngày. Trường hợp phát sinh gửi trễ bản chỉ thị, thì xin được điều chỉnh k</t>
    </r>
    <r>
      <rPr>
        <b/>
        <sz val="10"/>
        <color indexed="12"/>
        <rFont val="ＭＳ Ｐ明朝"/>
        <family val="1"/>
        <charset val="128"/>
      </rPr>
      <t>ỳ</t>
    </r>
    <r>
      <rPr>
        <b/>
        <sz val="10"/>
        <color indexed="12"/>
        <rFont val="Tahoma"/>
        <family val="2"/>
      </rPr>
      <t xml:space="preserve"> hạn dự đinh giao hàng </t>
    </r>
  </si>
  <si>
    <r>
      <t>Sau khi nhận được bản thiết kế system, và sau khi đã bắt đầu start coding, trường hợp phát sinh thay đổi chỉ thị, thì sẽ thương lượng để điều chỉnh báo giá. Lúc đó thì c</t>
    </r>
    <r>
      <rPr>
        <b/>
        <sz val="10"/>
        <color indexed="12"/>
        <rFont val="ＭＳ Ｐ明朝"/>
        <family val="1"/>
        <charset val="128"/>
      </rPr>
      <t>ũ</t>
    </r>
    <r>
      <rPr>
        <b/>
        <sz val="10"/>
        <color indexed="12"/>
        <rFont val="Tahoma"/>
        <family val="2"/>
      </rPr>
      <t>ng sẽ điều chỉnh k</t>
    </r>
    <r>
      <rPr>
        <b/>
        <sz val="10"/>
        <color indexed="12"/>
        <rFont val="ＭＳ Ｐ明朝"/>
        <family val="1"/>
        <charset val="128"/>
      </rPr>
      <t>ỳ</t>
    </r>
    <r>
      <rPr>
        <b/>
        <sz val="10"/>
        <color indexed="12"/>
        <rFont val="Tahoma"/>
        <family val="2"/>
      </rPr>
      <t xml:space="preserve"> hạn giao hàng </t>
    </r>
  </si>
  <si>
    <r>
      <t>最終納品期限：</t>
    </r>
    <r>
      <rPr>
        <b/>
        <sz val="10"/>
        <color indexed="12"/>
        <rFont val="Tahoma"/>
        <family val="2"/>
      </rPr>
      <t>YYYY</t>
    </r>
    <r>
      <rPr>
        <b/>
        <sz val="10"/>
        <color indexed="12"/>
        <rFont val="ＭＳ Ｐ明朝"/>
        <family val="1"/>
        <charset val="128"/>
      </rPr>
      <t>／</t>
    </r>
    <r>
      <rPr>
        <b/>
        <sz val="10"/>
        <color indexed="12"/>
        <rFont val="Tahoma"/>
        <family val="2"/>
      </rPr>
      <t>MM</t>
    </r>
    <r>
      <rPr>
        <b/>
        <sz val="10"/>
        <color indexed="12"/>
        <rFont val="ＭＳ Ｐ明朝"/>
        <family val="1"/>
        <charset val="128"/>
      </rPr>
      <t>／</t>
    </r>
    <r>
      <rPr>
        <b/>
        <sz val="10"/>
        <color indexed="12"/>
        <rFont val="Tahoma"/>
        <family val="2"/>
      </rPr>
      <t xml:space="preserve">DD
</t>
    </r>
    <r>
      <rPr>
        <b/>
        <sz val="10"/>
        <color indexed="12"/>
        <rFont val="ＭＳ Ｐ明朝"/>
        <family val="1"/>
        <charset val="128"/>
      </rPr>
      <t>納品物のご検証・ご検収期限：納品後のＸヶ月
保証期間：Ｙヶ月。保証期間以内に弊社ミスにより障害を無償で対応させて頂きます。
保証期間外は、障害対応により有償で対応させて頂きます。</t>
    </r>
  </si>
  <si>
    <r>
      <t>Sản phẩm giao hàng</t>
    </r>
    <r>
      <rPr>
        <b/>
        <sz val="10"/>
        <color indexed="12"/>
        <rFont val="ＭＳ Ｐ明朝"/>
        <family val="1"/>
        <charset val="128"/>
      </rPr>
      <t>：</t>
    </r>
    <r>
      <rPr>
        <b/>
        <sz val="10"/>
        <color indexed="12"/>
        <rFont val="Tahoma"/>
        <family val="2"/>
      </rPr>
      <t xml:space="preserve">gồm những cái dưới đây
</t>
    </r>
    <r>
      <rPr>
        <b/>
        <sz val="10"/>
        <color indexed="12"/>
        <rFont val="ＭＳ Ｐ明朝"/>
        <family val="1"/>
        <charset val="128"/>
      </rPr>
      <t>・</t>
    </r>
    <r>
      <rPr>
        <b/>
        <sz val="10"/>
        <color indexed="12"/>
        <rFont val="Tahoma"/>
        <family val="2"/>
      </rPr>
      <t xml:space="preserve">Source Code </t>
    </r>
    <r>
      <rPr>
        <b/>
        <sz val="10"/>
        <color indexed="12"/>
        <rFont val="ＭＳ Ｐ明朝"/>
        <family val="1"/>
        <charset val="128"/>
      </rPr>
      <t>、
・</t>
    </r>
    <r>
      <rPr>
        <b/>
        <sz val="10"/>
        <color indexed="12"/>
        <rFont val="Tahoma"/>
        <family val="2"/>
      </rPr>
      <t xml:space="preserve">Bảng thành tích Test </t>
    </r>
    <r>
      <rPr>
        <b/>
        <sz val="10"/>
        <color indexed="12"/>
        <rFont val="ＭＳ Ｐ明朝"/>
        <family val="1"/>
        <charset val="128"/>
      </rPr>
      <t>、
・</t>
    </r>
    <r>
      <rPr>
        <b/>
        <sz val="10"/>
        <color indexed="12"/>
        <rFont val="Tahoma"/>
        <family val="2"/>
      </rPr>
      <t xml:space="preserve">Install Guide
</t>
    </r>
    <r>
      <rPr>
        <b/>
        <sz val="10"/>
        <color indexed="12"/>
        <rFont val="ＭＳ Ｐ明朝"/>
        <family val="1"/>
        <charset val="128"/>
      </rPr>
      <t>・</t>
    </r>
    <r>
      <rPr>
        <b/>
        <sz val="10"/>
        <color indexed="12"/>
        <rFont val="Tahoma"/>
        <family val="2"/>
      </rPr>
      <t xml:space="preserve">User Guide </t>
    </r>
    <r>
      <rPr>
        <b/>
        <sz val="10"/>
        <color indexed="12"/>
        <rFont val="ＭＳ Ｐ明朝"/>
        <family val="1"/>
        <charset val="128"/>
      </rPr>
      <t>、
・</t>
    </r>
    <r>
      <rPr>
        <b/>
        <sz val="10"/>
        <color indexed="12"/>
        <rFont val="Tahoma"/>
        <family val="2"/>
      </rPr>
      <t>Manual 
v..v</t>
    </r>
  </si>
  <si>
    <r>
      <t>Lưu ý: Trong trường hợp báo giá khái toán, chưa có tài liệu gì mà mình chỉ giả định để báo giá thì sẽ ghi thêm câu này</t>
    </r>
    <r>
      <rPr>
        <b/>
        <sz val="10"/>
        <color indexed="12"/>
        <rFont val="Tahoma"/>
        <family val="2"/>
      </rPr>
      <t xml:space="preserve">
Sau khi nhận được bảng thiết kế system, nếu xử lý Logic phức tạp, khó hơn so với chúng tôi đã giả định, mà phát sinh sai khác so với tiền đề thì sẽ thương lượng lại để điều chỉnh số công báo giá </t>
    </r>
  </si>
  <si>
    <r>
      <t>K</t>
    </r>
    <r>
      <rPr>
        <b/>
        <sz val="10"/>
        <color indexed="12"/>
        <rFont val="ＭＳ Ｐ明朝"/>
        <family val="1"/>
        <charset val="128"/>
      </rPr>
      <t>ỳ</t>
    </r>
    <r>
      <rPr>
        <b/>
        <sz val="10"/>
        <color indexed="12"/>
        <rFont val="Tahoma"/>
        <family val="2"/>
      </rPr>
      <t xml:space="preserve"> hạn giao hàng cuối cùng </t>
    </r>
    <r>
      <rPr>
        <b/>
        <sz val="10"/>
        <color indexed="12"/>
        <rFont val="ＭＳ Ｐ明朝"/>
        <family val="1"/>
        <charset val="128"/>
      </rPr>
      <t>：</t>
    </r>
    <r>
      <rPr>
        <b/>
        <sz val="10"/>
        <color indexed="12"/>
        <rFont val="Tahoma"/>
        <family val="2"/>
      </rPr>
      <t>YYYY</t>
    </r>
    <r>
      <rPr>
        <b/>
        <sz val="10"/>
        <color indexed="12"/>
        <rFont val="ＭＳ Ｐ明朝"/>
        <family val="1"/>
        <charset val="128"/>
      </rPr>
      <t>／</t>
    </r>
    <r>
      <rPr>
        <b/>
        <sz val="10"/>
        <color indexed="12"/>
        <rFont val="Tahoma"/>
        <family val="2"/>
      </rPr>
      <t>MM</t>
    </r>
    <r>
      <rPr>
        <b/>
        <sz val="10"/>
        <color indexed="12"/>
        <rFont val="ＭＳ Ｐ明朝"/>
        <family val="1"/>
        <charset val="128"/>
      </rPr>
      <t>／</t>
    </r>
    <r>
      <rPr>
        <b/>
        <sz val="10"/>
        <color indexed="12"/>
        <rFont val="Tahoma"/>
        <family val="2"/>
      </rPr>
      <t>DD
K</t>
    </r>
    <r>
      <rPr>
        <b/>
        <sz val="10"/>
        <color indexed="12"/>
        <rFont val="ＭＳ Ｐ明朝"/>
        <family val="1"/>
        <charset val="128"/>
      </rPr>
      <t>ỳ</t>
    </r>
    <r>
      <rPr>
        <b/>
        <sz val="10"/>
        <color indexed="12"/>
        <rFont val="Tahoma"/>
        <family val="2"/>
      </rPr>
      <t xml:space="preserve"> hạn kiểm chứng. Nghiệm thu sản phẩm giao hàng </t>
    </r>
    <r>
      <rPr>
        <b/>
        <sz val="10"/>
        <color indexed="12"/>
        <rFont val="ＭＳ Ｐ明朝"/>
        <family val="1"/>
        <charset val="128"/>
      </rPr>
      <t>：</t>
    </r>
    <r>
      <rPr>
        <b/>
        <sz val="10"/>
        <color indexed="12"/>
        <rFont val="Tahoma"/>
        <family val="2"/>
      </rPr>
      <t>X tháng sau khi giao hàng 
K</t>
    </r>
    <r>
      <rPr>
        <b/>
        <sz val="10"/>
        <color indexed="12"/>
        <rFont val="ＭＳ Ｐ明朝"/>
        <family val="1"/>
        <charset val="128"/>
      </rPr>
      <t>ỳ</t>
    </r>
    <r>
      <rPr>
        <b/>
        <sz val="10"/>
        <color indexed="12"/>
        <rFont val="Tahoma"/>
        <family val="2"/>
      </rPr>
      <t xml:space="preserve"> hạn Waranty </t>
    </r>
    <r>
      <rPr>
        <b/>
        <sz val="10"/>
        <color indexed="12"/>
        <rFont val="ＭＳ Ｐ明朝"/>
        <family val="1"/>
        <charset val="128"/>
      </rPr>
      <t>：</t>
    </r>
    <r>
      <rPr>
        <b/>
        <sz val="10"/>
        <color indexed="12"/>
        <rFont val="Tahoma"/>
        <family val="2"/>
      </rPr>
      <t xml:space="preserve"> </t>
    </r>
    <r>
      <rPr>
        <b/>
        <sz val="10"/>
        <color indexed="12"/>
        <rFont val="ＭＳ Ｐ明朝"/>
        <family val="1"/>
        <charset val="128"/>
      </rPr>
      <t>Ｙ</t>
    </r>
    <r>
      <rPr>
        <b/>
        <sz val="10"/>
        <color indexed="12"/>
        <rFont val="Tahoma"/>
        <family val="2"/>
      </rPr>
      <t xml:space="preserve"> tháng . Nếu còn trong k</t>
    </r>
    <r>
      <rPr>
        <b/>
        <sz val="10"/>
        <color indexed="12"/>
        <rFont val="ＭＳ Ｐ明朝"/>
        <family val="1"/>
        <charset val="128"/>
      </rPr>
      <t>ỳ</t>
    </r>
    <r>
      <rPr>
        <b/>
        <sz val="10"/>
        <color indexed="12"/>
        <rFont val="Tahoma"/>
        <family val="2"/>
      </rPr>
      <t xml:space="preserve"> hạng Warranty thì những lỗi do chúng tôi sai chúng tôi sẽ đối ứng không tính tiền 
Nếu nằm ngoài k</t>
    </r>
    <r>
      <rPr>
        <b/>
        <sz val="10"/>
        <color indexed="12"/>
        <rFont val="ＭＳ Ｐ明朝"/>
        <family val="1"/>
        <charset val="128"/>
      </rPr>
      <t>ỳ</t>
    </r>
    <r>
      <rPr>
        <b/>
        <sz val="10"/>
        <color indexed="12"/>
        <rFont val="Tahoma"/>
        <family val="2"/>
      </rPr>
      <t xml:space="preserve"> hạn warranty thì đối ứng lỗi xin được tính tiền </t>
    </r>
  </si>
  <si>
    <r>
      <t>対象作業の範囲：コーディング、プログラム試験、試験仕様書の作成、</t>
    </r>
    <r>
      <rPr>
        <b/>
        <sz val="10"/>
        <color indexed="12"/>
        <rFont val="Tahoma"/>
        <family val="2"/>
      </rPr>
      <t>Zone</t>
    </r>
    <r>
      <rPr>
        <b/>
        <sz val="10"/>
        <color indexed="12"/>
        <rFont val="ＭＳ Ｐ明朝"/>
        <family val="1"/>
        <charset val="128"/>
      </rPr>
      <t>ツールの評価書、
プログラム集計表、</t>
    </r>
    <r>
      <rPr>
        <b/>
        <sz val="10"/>
        <color indexed="12"/>
        <rFont val="Tahoma"/>
        <family val="2"/>
      </rPr>
      <t xml:space="preserve"> </t>
    </r>
    <r>
      <rPr>
        <b/>
        <sz val="10"/>
        <color indexed="12"/>
        <rFont val="ＭＳ Ｐ明朝"/>
        <family val="1"/>
        <charset val="128"/>
      </rPr>
      <t>提出したサンプルレベルの</t>
    </r>
    <r>
      <rPr>
        <b/>
        <sz val="10"/>
        <color indexed="12"/>
        <rFont val="Tahoma"/>
        <family val="2"/>
      </rPr>
      <t>SQL</t>
    </r>
    <r>
      <rPr>
        <b/>
        <sz val="10"/>
        <color indexed="12"/>
        <rFont val="ＭＳ Ｐ明朝"/>
        <family val="1"/>
        <charset val="128"/>
      </rPr>
      <t>スクリプト、ドキュメント審査記録</t>
    </r>
    <r>
      <rPr>
        <b/>
        <sz val="10"/>
        <color indexed="12"/>
        <rFont val="Tahoma"/>
        <family val="2"/>
      </rPr>
      <t>(</t>
    </r>
    <r>
      <rPr>
        <b/>
        <sz val="10"/>
        <color indexed="12"/>
        <rFont val="ＭＳ Ｐ明朝"/>
        <family val="1"/>
        <charset val="128"/>
      </rPr>
      <t>日本語版</t>
    </r>
    <r>
      <rPr>
        <b/>
        <sz val="10"/>
        <color indexed="12"/>
        <rFont val="Tahoma"/>
        <family val="2"/>
      </rPr>
      <t>)</t>
    </r>
    <r>
      <rPr>
        <b/>
        <sz val="10"/>
        <color indexed="12"/>
        <rFont val="ＭＳ Ｐ明朝"/>
        <family val="1"/>
        <charset val="128"/>
      </rPr>
      <t>の作成。
試験の動作環境：
・ＯＳ：</t>
    </r>
    <r>
      <rPr>
        <b/>
        <sz val="10"/>
        <color indexed="12"/>
        <rFont val="Tahoma"/>
        <family val="2"/>
      </rPr>
      <t xml:space="preserve">WindowsXP, Windows Vista
</t>
    </r>
    <r>
      <rPr>
        <b/>
        <sz val="10"/>
        <color indexed="12"/>
        <rFont val="ＭＳ Ｐ明朝"/>
        <family val="1"/>
        <charset val="128"/>
      </rPr>
      <t>・ブラウザ：</t>
    </r>
    <r>
      <rPr>
        <b/>
        <sz val="10"/>
        <color indexed="12"/>
        <rFont val="Tahoma"/>
        <family val="2"/>
      </rPr>
      <t>I</t>
    </r>
    <r>
      <rPr>
        <b/>
        <sz val="10"/>
        <color indexed="12"/>
        <rFont val="ＭＳ Ｐ明朝"/>
        <family val="1"/>
        <charset val="128"/>
      </rPr>
      <t>Ｅ　６．０、ＩＥ　</t>
    </r>
    <r>
      <rPr>
        <b/>
        <sz val="10"/>
        <color indexed="12"/>
        <rFont val="Tahoma"/>
        <family val="2"/>
      </rPr>
      <t>7.0</t>
    </r>
    <r>
      <rPr>
        <b/>
        <sz val="10"/>
        <color indexed="12"/>
        <rFont val="ＭＳ Ｐ明朝"/>
        <family val="1"/>
        <charset val="128"/>
      </rPr>
      <t>、</t>
    </r>
    <r>
      <rPr>
        <b/>
        <sz val="10"/>
        <color indexed="12"/>
        <rFont val="Tahoma"/>
        <family val="2"/>
      </rPr>
      <t xml:space="preserve">FireFox 3.0, </t>
    </r>
    <r>
      <rPr>
        <b/>
        <sz val="10"/>
        <color indexed="12"/>
        <rFont val="ＭＳ Ｐ明朝"/>
        <family val="1"/>
        <charset val="128"/>
      </rPr>
      <t>等
・クライアントの動作環境は</t>
    </r>
    <r>
      <rPr>
        <b/>
        <sz val="10"/>
        <color indexed="12"/>
        <rFont val="Tahoma"/>
        <family val="2"/>
      </rPr>
      <t>Windows</t>
    </r>
    <r>
      <rPr>
        <b/>
        <sz val="10"/>
        <color indexed="12"/>
        <rFont val="ＭＳ Ｐ明朝"/>
        <family val="1"/>
        <charset val="128"/>
      </rPr>
      <t>の</t>
    </r>
    <r>
      <rPr>
        <b/>
        <sz val="10"/>
        <color indexed="12"/>
        <rFont val="Tahoma"/>
        <family val="2"/>
      </rPr>
      <t>IE</t>
    </r>
    <r>
      <rPr>
        <b/>
        <sz val="10"/>
        <color indexed="12"/>
        <rFont val="ＭＳ Ｐ明朝"/>
        <family val="1"/>
        <charset val="128"/>
      </rPr>
      <t>ブラウザ</t>
    </r>
    <r>
      <rPr>
        <b/>
        <sz val="10"/>
        <color indexed="12"/>
        <rFont val="Tahoma"/>
        <family val="2"/>
      </rPr>
      <t>6.0</t>
    </r>
    <r>
      <rPr>
        <b/>
        <sz val="10"/>
        <color indexed="12"/>
        <rFont val="ＭＳ Ｐ明朝"/>
        <family val="1"/>
        <charset val="128"/>
      </rPr>
      <t>、</t>
    </r>
    <r>
      <rPr>
        <b/>
        <sz val="10"/>
        <color indexed="12"/>
        <rFont val="Tahoma"/>
        <family val="2"/>
      </rPr>
      <t>7.0</t>
    </r>
    <r>
      <rPr>
        <b/>
        <sz val="10"/>
        <color indexed="12"/>
        <rFont val="ＭＳ Ｐ明朝"/>
        <family val="1"/>
        <charset val="128"/>
      </rPr>
      <t xml:space="preserve">上に動作する前提します。
</t>
    </r>
    <r>
      <rPr>
        <b/>
        <sz val="10"/>
        <color indexed="12"/>
        <rFont val="Tahoma"/>
        <family val="2"/>
      </rPr>
      <t>(Vista</t>
    </r>
    <r>
      <rPr>
        <b/>
        <sz val="10"/>
        <color indexed="12"/>
        <rFont val="ＭＳ Ｐ明朝"/>
        <family val="1"/>
        <charset val="128"/>
      </rPr>
      <t>の</t>
    </r>
    <r>
      <rPr>
        <b/>
        <sz val="10"/>
        <color indexed="12"/>
        <rFont val="Tahoma"/>
        <family val="2"/>
      </rPr>
      <t>IE 7.0</t>
    </r>
    <r>
      <rPr>
        <b/>
        <sz val="10"/>
        <color indexed="12"/>
        <rFont val="ＭＳ Ｐ明朝"/>
        <family val="1"/>
        <charset val="128"/>
      </rPr>
      <t>の動作検証が必要ありません。</t>
    </r>
    <r>
      <rPr>
        <b/>
        <sz val="10"/>
        <color indexed="12"/>
        <rFont val="Tahoma"/>
        <family val="2"/>
      </rPr>
      <t xml:space="preserve"> )</t>
    </r>
    <r>
      <rPr>
        <b/>
        <sz val="10"/>
        <color indexed="12"/>
        <rFont val="ＭＳ Ｐ明朝"/>
        <family val="1"/>
        <charset val="128"/>
      </rPr>
      <t xml:space="preserve">他のブラウザの動作検証はこの見積もりに含めておりません。
</t>
    </r>
  </si>
  <si>
    <r>
      <t xml:space="preserve">Phạm vi đối tượng công việc </t>
    </r>
    <r>
      <rPr>
        <b/>
        <sz val="10"/>
        <color indexed="12"/>
        <rFont val="ＭＳ Ｐ明朝"/>
        <family val="1"/>
        <charset val="128"/>
      </rPr>
      <t>：</t>
    </r>
    <r>
      <rPr>
        <b/>
        <sz val="10"/>
        <color indexed="12"/>
        <rFont val="Tahoma"/>
        <family val="2"/>
      </rPr>
      <t xml:space="preserve">Coding </t>
    </r>
    <r>
      <rPr>
        <b/>
        <sz val="10"/>
        <color indexed="12"/>
        <rFont val="ＭＳ Ｐ明朝"/>
        <family val="1"/>
        <charset val="128"/>
      </rPr>
      <t>、</t>
    </r>
    <r>
      <rPr>
        <b/>
        <sz val="10"/>
        <color indexed="12"/>
        <rFont val="Tahoma"/>
        <family val="2"/>
      </rPr>
      <t>Program test, Tạo chỉ thị test, Tạo bảng đánh giá tool Zone</t>
    </r>
    <r>
      <rPr>
        <b/>
        <sz val="10"/>
        <color indexed="12"/>
        <rFont val="ＭＳ Ｐ明朝"/>
        <family val="1"/>
        <charset val="128"/>
      </rPr>
      <t xml:space="preserve">、
</t>
    </r>
    <r>
      <rPr>
        <b/>
        <sz val="10"/>
        <color indexed="12"/>
        <rFont val="Tahoma"/>
        <family val="2"/>
      </rPr>
      <t>Bảng tổng kết program, Scrip SQ</t>
    </r>
    <r>
      <rPr>
        <b/>
        <sz val="10"/>
        <color indexed="12"/>
        <rFont val="ＭＳ Ｐ明朝"/>
        <family val="1"/>
        <charset val="128"/>
      </rPr>
      <t>Ｌ</t>
    </r>
    <r>
      <rPr>
        <b/>
        <sz val="10"/>
        <color indexed="12"/>
        <rFont val="Tahoma"/>
        <family val="2"/>
      </rPr>
      <t xml:space="preserve"> theo mức level của sample mà tôi đã gửi, Bảng thẩm tra document (tiếng Nhật) </t>
    </r>
    <r>
      <rPr>
        <b/>
        <sz val="10"/>
        <color indexed="12"/>
        <rFont val="ＭＳ Ｐ明朝"/>
        <family val="1"/>
        <charset val="128"/>
      </rPr>
      <t>　</t>
    </r>
    <r>
      <rPr>
        <b/>
        <sz val="10"/>
        <color indexed="12"/>
        <rFont val="Tahoma"/>
        <family val="2"/>
      </rPr>
      <t>v…v
Môi trường test, môi trường thao tác</t>
    </r>
    <r>
      <rPr>
        <b/>
        <sz val="10"/>
        <color indexed="12"/>
        <rFont val="ＭＳ Ｐ明朝"/>
        <family val="1"/>
        <charset val="128"/>
      </rPr>
      <t>：
・ＯＳ：</t>
    </r>
    <r>
      <rPr>
        <b/>
        <sz val="10"/>
        <color indexed="12"/>
        <rFont val="Tahoma"/>
        <family val="2"/>
      </rPr>
      <t xml:space="preserve">WindowsXP, Windows Vista
</t>
    </r>
    <r>
      <rPr>
        <b/>
        <sz val="10"/>
        <color indexed="12"/>
        <rFont val="ＭＳ Ｐ明朝"/>
        <family val="1"/>
        <charset val="128"/>
      </rPr>
      <t>・</t>
    </r>
    <r>
      <rPr>
        <b/>
        <sz val="10"/>
        <color indexed="12"/>
        <rFont val="Tahoma"/>
        <family val="2"/>
      </rPr>
      <t xml:space="preserve">Browser </t>
    </r>
    <r>
      <rPr>
        <b/>
        <sz val="10"/>
        <color indexed="12"/>
        <rFont val="ＭＳ Ｐ明朝"/>
        <family val="1"/>
        <charset val="128"/>
      </rPr>
      <t>：</t>
    </r>
    <r>
      <rPr>
        <b/>
        <sz val="10"/>
        <color indexed="12"/>
        <rFont val="Tahoma"/>
        <family val="2"/>
      </rPr>
      <t>I</t>
    </r>
    <r>
      <rPr>
        <b/>
        <sz val="10"/>
        <color indexed="12"/>
        <rFont val="ＭＳ Ｐ明朝"/>
        <family val="1"/>
        <charset val="128"/>
      </rPr>
      <t>Ｅ　６．０、ＩＥ　</t>
    </r>
    <r>
      <rPr>
        <b/>
        <sz val="10"/>
        <color indexed="12"/>
        <rFont val="Tahoma"/>
        <family val="2"/>
      </rPr>
      <t>7.0</t>
    </r>
    <r>
      <rPr>
        <b/>
        <sz val="10"/>
        <color indexed="12"/>
        <rFont val="ＭＳ Ｐ明朝"/>
        <family val="1"/>
        <charset val="128"/>
      </rPr>
      <t>、</t>
    </r>
    <r>
      <rPr>
        <b/>
        <sz val="10"/>
        <color indexed="12"/>
        <rFont val="Tahoma"/>
        <family val="2"/>
      </rPr>
      <t xml:space="preserve">FireFox 3.0, </t>
    </r>
    <r>
      <rPr>
        <b/>
        <sz val="10"/>
        <color indexed="12"/>
        <rFont val="ＭＳ Ｐ明朝"/>
        <family val="1"/>
        <charset val="128"/>
      </rPr>
      <t>等
・</t>
    </r>
    <r>
      <rPr>
        <b/>
        <sz val="10"/>
        <color indexed="12"/>
        <rFont val="Tahoma"/>
        <family val="2"/>
      </rPr>
      <t xml:space="preserve">Môi trường thao tác của Client thì tiền đề thao tác trên IE 6, IE 7 mà thôi </t>
    </r>
    <r>
      <rPr>
        <b/>
        <sz val="10"/>
        <color indexed="12"/>
        <rFont val="ＭＳ Ｐ明朝"/>
        <family val="1"/>
        <charset val="128"/>
      </rPr>
      <t xml:space="preserve">
</t>
    </r>
    <r>
      <rPr>
        <b/>
        <sz val="10"/>
        <color indexed="12"/>
        <rFont val="Tahoma"/>
        <family val="2"/>
      </rPr>
      <t>(Không cần thiết kiểm chứng thao tác trên Vista</t>
    </r>
    <r>
      <rPr>
        <b/>
        <sz val="10"/>
        <color indexed="12"/>
        <rFont val="ＭＳ Ｐ明朝"/>
        <family val="1"/>
        <charset val="128"/>
      </rPr>
      <t>の</t>
    </r>
    <r>
      <rPr>
        <b/>
        <sz val="10"/>
        <color indexed="12"/>
        <rFont val="Tahoma"/>
        <family val="2"/>
      </rPr>
      <t xml:space="preserve">IE 7.0  ) Kiểm chứng thao tác trên những browser khác không bao gồm trong báo giá này </t>
    </r>
  </si>
  <si>
    <t>1.4</t>
    <phoneticPr fontId="3"/>
  </si>
  <si>
    <t>Đổi cách tính test (tính theo test case)</t>
    <phoneticPr fontId="3"/>
  </si>
  <si>
    <t>PG2</t>
    <phoneticPr fontId="3"/>
  </si>
  <si>
    <t>Test Case</t>
    <phoneticPr fontId="3"/>
  </si>
  <si>
    <t>Programming Phase (NEW/MOD)</t>
    <phoneticPr fontId="3"/>
  </si>
  <si>
    <t>1.41</t>
  </si>
  <si>
    <t>Điều chỉnh công thức tính Evidence và Project Size</t>
  </si>
  <si>
    <t>御見積前提条件</t>
    <phoneticPr fontId="42" type="noConversion"/>
  </si>
  <si>
    <t>試験密度</t>
    <rPh sb="0" eb="2">
      <t>シケン</t>
    </rPh>
    <rPh sb="2" eb="4">
      <t>ミツド</t>
    </rPh>
    <phoneticPr fontId="3"/>
  </si>
  <si>
    <t>新規</t>
    <rPh sb="0" eb="2">
      <t>シンキ</t>
    </rPh>
    <phoneticPr fontId="3"/>
  </si>
  <si>
    <t>流用</t>
    <rPh sb="0" eb="2">
      <t>リュウヨウ</t>
    </rPh>
    <phoneticPr fontId="3"/>
  </si>
  <si>
    <t>1.42</t>
  </si>
  <si>
    <t>Chỉnh sửa layout</t>
  </si>
  <si>
    <t>1.43</t>
  </si>
  <si>
    <t>Chỉnh sửa lại các hệ số độ phức tạp trong phần Testing 1, Testing 2</t>
  </si>
  <si>
    <t>Size
(# pages)</t>
  </si>
  <si>
    <t>Size
(FUP)</t>
  </si>
  <si>
    <t>Unit Point (FUP)</t>
  </si>
  <si>
    <t>Complexity
Point</t>
  </si>
  <si>
    <t>Review Complexity</t>
  </si>
  <si>
    <t>Size
(GUI Item(s))</t>
  </si>
  <si>
    <t>Size
(Add/Mod LOC)</t>
  </si>
  <si>
    <t>Test
Case</t>
  </si>
  <si>
    <r>
      <t>（</t>
    </r>
    <r>
      <rPr>
        <sz val="11"/>
        <rFont val="Times New Roman"/>
        <family val="1"/>
      </rPr>
      <t>Test Case(s) / KLOC</t>
    </r>
    <r>
      <rPr>
        <sz val="11"/>
        <rFont val="ＭＳ Ｐ明朝"/>
        <family val="1"/>
        <charset val="128"/>
      </rPr>
      <t>）</t>
    </r>
  </si>
  <si>
    <t>1.44</t>
  </si>
  <si>
    <t>Bổ sung cách estimate theo số trang cho phần thiết kế</t>
  </si>
  <si>
    <t xml:space="preserve">Address </t>
  </si>
  <si>
    <t>10 Pho Quang St., Tan Binh Dist. , Hochiminh City, Vietnam</t>
    <phoneticPr fontId="3"/>
  </si>
  <si>
    <t>1.45</t>
  </si>
  <si>
    <t>Chỉnh sửa logo và address</t>
  </si>
  <si>
    <t>1.46</t>
  </si>
  <si>
    <t>Thay đổi cách đánh hệ số ngôn ngữ</t>
  </si>
  <si>
    <t>VB (6.0, .NET)</t>
  </si>
  <si>
    <t>Programming
Language</t>
  </si>
  <si>
    <t>Programming
Language Rate</t>
  </si>
  <si>
    <t>Rate</t>
  </si>
  <si>
    <t>1.47</t>
    <phoneticPr fontId="3"/>
  </si>
  <si>
    <t>Thêm làm tròn cho sheet summary</t>
    <phoneticPr fontId="3"/>
  </si>
  <si>
    <t>1.48</t>
    <phoneticPr fontId="3"/>
  </si>
  <si>
    <t>Tách sheet Testing 2 và thêm cột số giờ quản lý</t>
    <phoneticPr fontId="3"/>
  </si>
  <si>
    <t>(effort is rounded-up by 0.5)</t>
    <phoneticPr fontId="3"/>
  </si>
  <si>
    <t>No</t>
    <phoneticPr fontId="3"/>
  </si>
  <si>
    <t>Module(s)</t>
    <phoneticPr fontId="3"/>
  </si>
  <si>
    <t>Function(s)</t>
    <phoneticPr fontId="3"/>
  </si>
  <si>
    <t>Test Case</t>
    <phoneticPr fontId="3"/>
  </si>
  <si>
    <t>Prepare
Doc.</t>
    <phoneticPr fontId="3"/>
  </si>
  <si>
    <t>Prepare
Data</t>
    <phoneticPr fontId="3"/>
  </si>
  <si>
    <t>Test</t>
    <phoneticPr fontId="3"/>
  </si>
  <si>
    <t>Evidence</t>
    <phoneticPr fontId="3"/>
  </si>
  <si>
    <t>Fix bug</t>
    <phoneticPr fontId="3"/>
  </si>
  <si>
    <t>Note</t>
    <phoneticPr fontId="3"/>
  </si>
  <si>
    <t>Testing 2 Phase (include Integration Testing)</t>
    <phoneticPr fontId="3"/>
  </si>
  <si>
    <t>Testing 2 Phase (include System Testing)</t>
    <phoneticPr fontId="3"/>
  </si>
  <si>
    <t>UT</t>
    <phoneticPr fontId="3"/>
  </si>
  <si>
    <t>CT</t>
    <phoneticPr fontId="3"/>
  </si>
  <si>
    <t>ST</t>
    <phoneticPr fontId="3"/>
  </si>
  <si>
    <t>PT2 (CT)</t>
    <phoneticPr fontId="3"/>
  </si>
  <si>
    <t>PT2 (ST)</t>
    <phoneticPr fontId="3"/>
  </si>
  <si>
    <t>PT1 (UT)</t>
    <phoneticPr fontId="3"/>
  </si>
  <si>
    <t>RQ.BD</t>
    <phoneticPr fontId="3"/>
  </si>
  <si>
    <t>翻訳と開発時の日本語サポート</t>
    <phoneticPr fontId="3"/>
  </si>
  <si>
    <t>管理</t>
    <phoneticPr fontId="3"/>
  </si>
  <si>
    <t>開発工数の合計：</t>
    <rPh sb="2" eb="4">
      <t>コウスウ</t>
    </rPh>
    <rPh sb="5" eb="7">
      <t>ゴウケイ</t>
    </rPh>
    <phoneticPr fontId="3"/>
  </si>
  <si>
    <t>人月換算：</t>
    <phoneticPr fontId="3"/>
  </si>
  <si>
    <t>要件定義・基本設計</t>
    <rPh sb="0" eb="2">
      <t>ヨウケン</t>
    </rPh>
    <rPh sb="2" eb="4">
      <t>テイギ</t>
    </rPh>
    <rPh sb="5" eb="7">
      <t>キホン</t>
    </rPh>
    <rPh sb="7" eb="9">
      <t>セッケイ</t>
    </rPh>
    <phoneticPr fontId="3"/>
  </si>
  <si>
    <t>コーディング</t>
    <phoneticPr fontId="3"/>
  </si>
  <si>
    <t>単体テスト</t>
    <rPh sb="0" eb="2">
      <t>タンタイ</t>
    </rPh>
    <phoneticPr fontId="3"/>
  </si>
  <si>
    <t>結合テスト</t>
    <rPh sb="0" eb="2">
      <t>ケツゴウ</t>
    </rPh>
    <phoneticPr fontId="3"/>
  </si>
  <si>
    <t>システムテスト</t>
    <phoneticPr fontId="3"/>
  </si>
  <si>
    <r>
      <t>合計人月</t>
    </r>
    <r>
      <rPr>
        <b/>
        <i/>
        <sz val="10"/>
        <rFont val="ＭＳ Ｐ明朝"/>
        <family val="1"/>
        <charset val="128"/>
      </rPr>
      <t>(人月)</t>
    </r>
    <rPh sb="0" eb="2">
      <t>ゴウケイ</t>
    </rPh>
    <phoneticPr fontId="3"/>
  </si>
  <si>
    <t>工程別見積金額</t>
    <rPh sb="0" eb="2">
      <t>コウテイ</t>
    </rPh>
    <rPh sb="2" eb="3">
      <t>ベツ</t>
    </rPh>
    <rPh sb="3" eb="5">
      <t>ミツ</t>
    </rPh>
    <rPh sb="5" eb="7">
      <t>キンガク</t>
    </rPh>
    <phoneticPr fontId="3"/>
  </si>
  <si>
    <t>USD</t>
    <phoneticPr fontId="3"/>
  </si>
  <si>
    <t>通貨単位</t>
    <rPh sb="0" eb="2">
      <t>ツウカ</t>
    </rPh>
    <rPh sb="2" eb="4">
      <t>タンイ</t>
    </rPh>
    <phoneticPr fontId="3"/>
  </si>
  <si>
    <t>DD.DP</t>
    <phoneticPr fontId="3"/>
  </si>
  <si>
    <t>詳細設計.構築（デプロイ作業）</t>
    <phoneticPr fontId="3"/>
  </si>
  <si>
    <t>Support size</t>
    <phoneticPr fontId="3"/>
  </si>
  <si>
    <t>Testing
Size</t>
    <phoneticPr fontId="3"/>
  </si>
  <si>
    <t>Fix bug
Size</t>
    <phoneticPr fontId="3"/>
  </si>
  <si>
    <t>Testing
Size</t>
    <phoneticPr fontId="3"/>
  </si>
  <si>
    <t>Fix bug
Size</t>
    <phoneticPr fontId="3"/>
  </si>
  <si>
    <t>BD Size</t>
    <phoneticPr fontId="3"/>
  </si>
  <si>
    <t>DD Size</t>
    <phoneticPr fontId="3"/>
  </si>
  <si>
    <t>PG Size</t>
    <phoneticPr fontId="3"/>
  </si>
  <si>
    <t>UT Size</t>
    <phoneticPr fontId="3"/>
  </si>
  <si>
    <t>CT Size</t>
    <phoneticPr fontId="3"/>
  </si>
  <si>
    <t>ST Size</t>
    <phoneticPr fontId="3"/>
  </si>
  <si>
    <t>RQ</t>
    <phoneticPr fontId="3"/>
  </si>
  <si>
    <t>BD</t>
    <phoneticPr fontId="3"/>
  </si>
  <si>
    <t>DD</t>
    <phoneticPr fontId="3"/>
  </si>
  <si>
    <t>PG</t>
    <phoneticPr fontId="3"/>
  </si>
  <si>
    <t>UT</t>
    <phoneticPr fontId="3"/>
  </si>
  <si>
    <t>CT</t>
    <phoneticPr fontId="3"/>
  </si>
  <si>
    <t>ST</t>
    <phoneticPr fontId="3"/>
  </si>
  <si>
    <t>DP</t>
    <phoneticPr fontId="3"/>
  </si>
  <si>
    <t>a</t>
    <phoneticPr fontId="3"/>
  </si>
  <si>
    <t>Estimated phases</t>
    <phoneticPr fontId="3"/>
  </si>
  <si>
    <t>BD Effort</t>
    <phoneticPr fontId="3"/>
  </si>
  <si>
    <t>DD Effort</t>
    <phoneticPr fontId="3"/>
  </si>
  <si>
    <t>PG Effort</t>
    <phoneticPr fontId="3"/>
  </si>
  <si>
    <t>UT Effort</t>
    <phoneticPr fontId="3"/>
  </si>
  <si>
    <t>CT Effort</t>
    <phoneticPr fontId="3"/>
  </si>
  <si>
    <t>ST Effort</t>
    <phoneticPr fontId="3"/>
  </si>
  <si>
    <t>Fix bug
Size</t>
    <phoneticPr fontId="3"/>
  </si>
  <si>
    <t>Fix 
bug</t>
    <phoneticPr fontId="3"/>
  </si>
  <si>
    <t>Fix
bug</t>
    <phoneticPr fontId="3"/>
  </si>
  <si>
    <t>1.49</t>
    <phoneticPr fontId="3"/>
  </si>
  <si>
    <t>Bổ sung thời gian test cho các phase UT, CT
Bổ sung cột size cho fix bug</t>
    <phoneticPr fontId="3"/>
  </si>
  <si>
    <t>Requirement</t>
  </si>
  <si>
    <t>Avg. bugs/KLOC</t>
  </si>
  <si>
    <t>Avg bugs/KLOC</t>
  </si>
  <si>
    <t>#bug</t>
  </si>
  <si>
    <t>FixUTbugEffort</t>
  </si>
  <si>
    <t>FixCTbugEffort</t>
  </si>
  <si>
    <t>FixSTbugEffort</t>
  </si>
  <si>
    <t>latent defectCT</t>
  </si>
  <si>
    <t>latent defectST</t>
  </si>
  <si>
    <t>Latent defect</t>
  </si>
  <si>
    <t>After UT</t>
  </si>
  <si>
    <t>After CT</t>
  </si>
  <si>
    <t>UT</t>
  </si>
  <si>
    <t>CT</t>
  </si>
  <si>
    <t>ST</t>
  </si>
  <si>
    <t>#bugUT</t>
  </si>
  <si>
    <t>OldFixBug</t>
  </si>
  <si>
    <t>CTLatentDefect</t>
  </si>
  <si>
    <t>FixEffort</t>
  </si>
  <si>
    <t>1.50</t>
  </si>
  <si>
    <t>Fix 1 bug (FUP)</t>
  </si>
  <si>
    <t>Sum Fix CT+STEffort</t>
  </si>
  <si>
    <t>Fix CT 
bug</t>
  </si>
  <si>
    <t>Fix ST
bug</t>
  </si>
  <si>
    <t>Size CT
(FUP)</t>
  </si>
  <si>
    <t>Size ST
(FUP)</t>
  </si>
  <si>
    <t>Fix bug
Size</t>
  </si>
  <si>
    <t>Review Rate - PG</t>
  </si>
  <si>
    <t>1.51</t>
  </si>
  <si>
    <t>Chỉnh sửa lại cách tính số giờ fixbug: tính theo số lỗi</t>
  </si>
  <si>
    <t>Chỉnh sửa tỷ lệ review code, số test case thực hiện/ngày</t>
  </si>
  <si>
    <t>見積合計</t>
  </si>
  <si>
    <t>Trường hợp convert thì xem xét điều chỉnh giảm số bug còn lại (latent defect) cho phù hợp</t>
  </si>
  <si>
    <t>1.52</t>
  </si>
  <si>
    <t>Cho phép sửa latent defect đối với các project convert</t>
  </si>
  <si>
    <t>1.6</t>
    <phoneticPr fontId="3"/>
  </si>
  <si>
    <t>VC++, C#</t>
    <phoneticPr fontId="3"/>
  </si>
  <si>
    <t>ASP, ASP.NET</t>
    <phoneticPr fontId="3"/>
  </si>
  <si>
    <t>Java</t>
    <phoneticPr fontId="3"/>
  </si>
  <si>
    <t>JSP, Servlet</t>
    <phoneticPr fontId="3"/>
  </si>
  <si>
    <t>C++</t>
    <phoneticPr fontId="3"/>
  </si>
  <si>
    <t>C</t>
    <phoneticPr fontId="3"/>
  </si>
  <si>
    <t>Objective C (iOS)</t>
    <phoneticPr fontId="3"/>
  </si>
  <si>
    <t>Java (Android)</t>
    <phoneticPr fontId="3"/>
  </si>
  <si>
    <t>PHP</t>
    <phoneticPr fontId="3"/>
  </si>
  <si>
    <t>COBOL</t>
    <phoneticPr fontId="3"/>
  </si>
  <si>
    <t>RPG</t>
    <phoneticPr fontId="3"/>
  </si>
  <si>
    <t>Chỉnh sửa:
- năng suất test UT, CT, ST
- tăng % review của PG
- thêm tham khảo của programming language rate</t>
    <phoneticPr fontId="3"/>
  </si>
  <si>
    <t>Setup môi trường máy lập trình</t>
  </si>
  <si>
    <t>Họp với khách hàng</t>
  </si>
  <si>
    <t>1.61</t>
  </si>
  <si>
    <t>Chuyển số bug phát hiện trong từng phase sang sheet Legend</t>
  </si>
  <si>
    <t>IsDup</t>
  </si>
  <si>
    <r>
      <t xml:space="preserve">QUOTATION
</t>
    </r>
    <r>
      <rPr>
        <sz val="8"/>
        <color indexed="22"/>
        <rFont val="Times New Roman"/>
        <family val="1"/>
      </rPr>
      <t>(Doc. Rev. 1.00)</t>
    </r>
    <phoneticPr fontId="3"/>
  </si>
  <si>
    <t>PG-Review PG</t>
  </si>
  <si>
    <t>PG-UT</t>
  </si>
  <si>
    <t>DD - CT</t>
  </si>
  <si>
    <t>BD-ST</t>
  </si>
  <si>
    <t>All</t>
  </si>
  <si>
    <t>a</t>
  </si>
  <si>
    <t>1.7</t>
  </si>
  <si>
    <t>Chỉnh sửa legend và bổ sung tính năng suất</t>
  </si>
  <si>
    <t>Productivity (KLOC/MM)</t>
  </si>
  <si>
    <t>Productivity each phases</t>
  </si>
  <si>
    <t>BD</t>
  </si>
  <si>
    <t>DD</t>
  </si>
  <si>
    <t>PG</t>
  </si>
  <si>
    <t>Review DD</t>
  </si>
  <si>
    <t>Review PG</t>
  </si>
  <si>
    <t>Create UT</t>
  </si>
  <si>
    <t>Create CT</t>
  </si>
  <si>
    <t>page/MM</t>
  </si>
  <si>
    <t>KLOC/MM</t>
  </si>
  <si>
    <t>item/MM</t>
  </si>
  <si>
    <t>Create ST</t>
  </si>
  <si>
    <t>Pages</t>
  </si>
  <si>
    <t>KLOC</t>
  </si>
  <si>
    <t>Testcases</t>
  </si>
  <si>
    <t>Bugs</t>
  </si>
  <si>
    <t>Size Total</t>
  </si>
  <si>
    <t>LOC/Page DD</t>
  </si>
  <si>
    <t>Page DD/Page BD</t>
  </si>
  <si>
    <t>Chuẩn</t>
  </si>
  <si>
    <t>Sample LOC Conversion Rate</t>
  </si>
  <si>
    <t>Size
(Base LOC)</t>
  </si>
  <si>
    <t>Guideline</t>
  </si>
  <si>
    <t>1. Phân chia module và function sao cho từng đôi một không được trùng nhau</t>
  </si>
  <si>
    <t>Lưu ý:</t>
  </si>
  <si>
    <t>- Convert khác ngôn ngữ: xem như tạo mới</t>
  </si>
  <si>
    <t>2. Nhập các số liệu LOC, mục tiêu, độ khó… cho từng module, function</t>
  </si>
  <si>
    <t>Conversion LOC</t>
  </si>
  <si>
    <t>(những cell có màu trằng là được phép thay đổi)</t>
  </si>
  <si>
    <t>- Convert cùng ngôn ngữ: phải bỏ Base LOC (LOC trước chỉnh sửa) vào cột Add/Modify</t>
  </si>
  <si>
    <t>4. Điều chỉnh tỷ lệ năng suất (table đầu tiên của sheet Legend) cho phù hợp.</t>
  </si>
  <si>
    <t>- Trong trường hợp phạm vi test khác nhau, cần phải chỉnh lại LOC tương ứng của phần test đó (VD chỉnh sửa 1 phần nhưng đến công đoạn CT test toàn bộ, thì số LOC trong test CT phải được cập nhật tay vào do phạm vi test rộng hơn)</t>
  </si>
  <si>
    <t>Review BD</t>
  </si>
  <si>
    <t>3. Nếu project có thời gian cài đặt môi trường, họp… thì cũng phải liệt kê vào sheet Others. Note: Không cần liệt kê giờ Others vào cột PG vì đã có công thức tính</t>
  </si>
  <si>
    <t>After ST</t>
  </si>
  <si>
    <t>Hướng dẫn điều chỉnh hệ số độ khó</t>
  </si>
  <si>
    <t>Phase PG1: Web, JavaFX: từ 2.5 - 3, ActiveReport, Crystal Report (WinForm): 2.5, Android Native/iOS: 6</t>
  </si>
  <si>
    <t xml:space="preserve">PT1: Viết testscript: 1.9 </t>
  </si>
  <si>
    <t>PT2 (CT): sử dụng Selenium: 1.7</t>
  </si>
  <si>
    <t>Điều chỉnh Avg. bugs/KLOC (xem comment tại Cell G10, G11), Latent defect (tùy project điều chỉnh cho phù hợp, VD convert thì giảm latent defect)</t>
  </si>
  <si>
    <t>Create UT
(TestCases)</t>
  </si>
  <si>
    <t>PG
(KLOC)</t>
  </si>
  <si>
    <t>DD
(Pages)</t>
  </si>
  <si>
    <t>BD
(Pages)</t>
  </si>
  <si>
    <t>UT
(Bugs)</t>
  </si>
  <si>
    <t>Create CT
(TestCases)</t>
  </si>
  <si>
    <t>CT
(Bugs)</t>
  </si>
  <si>
    <t>Create ST
(TestCases)</t>
  </si>
  <si>
    <t>ST
(Bugs)</t>
  </si>
  <si>
    <t xml:space="preserve">Total Size of Project   </t>
  </si>
  <si>
    <t>Phase</t>
  </si>
  <si>
    <t>PG1</t>
  </si>
  <si>
    <t>PG2</t>
  </si>
  <si>
    <t>PG3</t>
  </si>
  <si>
    <t>Review
Rate</t>
  </si>
  <si>
    <t>RQ</t>
  </si>
  <si>
    <t>PT1 (UT)</t>
  </si>
  <si>
    <t>PT2 (CT)</t>
  </si>
  <si>
    <t>PT2 (ST)</t>
  </si>
  <si>
    <t>New</t>
  </si>
  <si>
    <t>Reuse</t>
  </si>
  <si>
    <t>Prepare
Doc.</t>
  </si>
  <si>
    <t>Prepare
Data</t>
  </si>
  <si>
    <t>Test</t>
  </si>
  <si>
    <t>Evidence</t>
  </si>
  <si>
    <t>Testcase
/KLOC</t>
  </si>
  <si>
    <t>Fix CT/ST bug (if FJN do not CT/ST)</t>
  </si>
  <si>
    <t>- Báo giá này được tính trên cơ sở thâm niên của member tối đa là 2 năm, làm bình thường</t>
  </si>
  <si>
    <t>1.10</t>
  </si>
  <si>
    <t>Dđổi tên template thành FJS</t>
  </si>
  <si>
    <t>1.00</t>
  </si>
  <si>
    <t>Thay đổi cách tính năng suất, legend…</t>
  </si>
  <si>
    <t>- Những ô nào trong Legend bị tô màu vàng nghĩa là giá trị ô đó khác so với chuẩn</t>
  </si>
  <si>
    <t>Giá trị chuẩn</t>
  </si>
  <si>
    <t>TestEffort Distribution</t>
  </si>
  <si>
    <t>Quotation</t>
  </si>
  <si>
    <t>Standard Productivity (KLOC/MM)</t>
  </si>
  <si>
    <t>.NET</t>
  </si>
  <si>
    <t>Java</t>
  </si>
  <si>
    <t>Language</t>
  </si>
  <si>
    <t>JAVA</t>
  </si>
  <si>
    <t>Trường hợp năng suất bên dưới lệch 10% trở lên so với chuẩn công ty thì người báo giá nhắc Dept Manager thông báo cho phòng QLSX</t>
  </si>
  <si>
    <t>Về các điều kiện tiền đề báo giá, xin hãy tham khảo file 【Điều kiện tiền đề】 kèm theo</t>
  </si>
  <si>
    <t>Fix UT 
bug</t>
  </si>
  <si>
    <t>Size UT
(FUP)</t>
  </si>
  <si>
    <t>工程外の工数</t>
  </si>
  <si>
    <t>他費用</t>
  </si>
  <si>
    <t>Risk buffer</t>
  </si>
  <si>
    <t>Bổ sung phần buffer cho báo giá</t>
  </si>
  <si>
    <t>MDIS</t>
    <phoneticPr fontId="3"/>
  </si>
  <si>
    <t>Trung-DT</t>
    <phoneticPr fontId="3"/>
  </si>
  <si>
    <t>共通機能の開発環境移行</t>
    <phoneticPr fontId="3"/>
  </si>
  <si>
    <t>TNetデータ一覧(オフラインソフトデータの暗号化・復号化)</t>
  </si>
  <si>
    <r>
      <t>TNet</t>
    </r>
    <r>
      <rPr>
        <sz val="10"/>
        <rFont val="ＭＳ Ｐ明朝"/>
        <family val="1"/>
        <charset val="128"/>
      </rPr>
      <t>データ一覧</t>
    </r>
    <r>
      <rPr>
        <sz val="10"/>
        <rFont val="Times New Roman"/>
        <family val="1"/>
      </rPr>
      <t>(</t>
    </r>
    <r>
      <rPr>
        <sz val="10"/>
        <rFont val="ＭＳ Ｐ明朝"/>
        <family val="1"/>
        <charset val="128"/>
      </rPr>
      <t>オフラインソフトデータの暗号化・復号化</t>
    </r>
    <r>
      <rPr>
        <sz val="10"/>
        <rFont val="Times New Roman"/>
        <family val="1"/>
      </rPr>
      <t>)</t>
    </r>
  </si>
  <si>
    <t>保存件数一覧(オフラインソフトデータ件数の管理)</t>
  </si>
  <si>
    <r>
      <t>保存件数一覧</t>
    </r>
    <r>
      <rPr>
        <sz val="10"/>
        <rFont val="Times New Roman"/>
        <family val="1"/>
      </rPr>
      <t>(</t>
    </r>
    <r>
      <rPr>
        <sz val="10"/>
        <rFont val="ＭＳ Ｐ明朝"/>
        <family val="1"/>
        <charset val="128"/>
      </rPr>
      <t>オフラインソフトデータ件数の管理</t>
    </r>
    <r>
      <rPr>
        <sz val="10"/>
        <rFont val="Times New Roman"/>
        <family val="1"/>
      </rPr>
      <t>)</t>
    </r>
  </si>
  <si>
    <t>帳票作成</t>
  </si>
  <si>
    <t>一括バックアップ</t>
  </si>
  <si>
    <t>代理店情報設定</t>
  </si>
  <si>
    <t>電子照合表</t>
  </si>
  <si>
    <t>アクセス権限変更ツール</t>
  </si>
  <si>
    <t>IE設定ツール</t>
  </si>
  <si>
    <r>
      <t>IE</t>
    </r>
    <r>
      <rPr>
        <sz val="10"/>
        <rFont val="ＭＳ Ｐ明朝"/>
        <family val="1"/>
        <charset val="128"/>
      </rPr>
      <t>設定ツール</t>
    </r>
  </si>
  <si>
    <t>オフライン利用なしツール</t>
  </si>
  <si>
    <t>ActiveXインストールツール</t>
  </si>
  <si>
    <r>
      <t>ActiveX</t>
    </r>
    <r>
      <rPr>
        <sz val="10"/>
        <rFont val="ＭＳ Ｐ明朝"/>
        <family val="1"/>
        <charset val="128"/>
      </rPr>
      <t>インストールツール</t>
    </r>
  </si>
  <si>
    <t>暗号化・復号化モジュール展開ツール</t>
  </si>
  <si>
    <t>住所辞書作成用ツール</t>
  </si>
  <si>
    <t>オフラインソフトインストーラ・アンインストーラ作成ツール</t>
  </si>
  <si>
    <t>LP端末用データ保持件数変更ツール</t>
  </si>
  <si>
    <r>
      <t>LP</t>
    </r>
    <r>
      <rPr>
        <sz val="10"/>
        <rFont val="ＭＳ Ｐ明朝"/>
        <family val="1"/>
        <charset val="128"/>
      </rPr>
      <t>端末用データ保持件数変更ツール</t>
    </r>
  </si>
  <si>
    <t>自己解凍書庫作成ツール</t>
  </si>
  <si>
    <r>
      <t xml:space="preserve">Tài liệu báo giá này được tính toán số công dựa trên file </t>
    </r>
    <r>
      <rPr>
        <b/>
        <sz val="10"/>
        <color rgb="FF0070C0"/>
        <rFont val="ＭＳ Ｐ明朝"/>
        <family val="1"/>
        <charset val="128"/>
      </rPr>
      <t>『オフショア向け</t>
    </r>
    <r>
      <rPr>
        <b/>
        <sz val="10"/>
        <color rgb="FF0070C0"/>
        <rFont val="Tahoma"/>
        <family val="2"/>
      </rPr>
      <t>_</t>
    </r>
    <r>
      <rPr>
        <b/>
        <sz val="10"/>
        <color rgb="FF0070C0"/>
        <rFont val="ＭＳ Ｐ明朝"/>
        <family val="1"/>
        <charset val="128"/>
      </rPr>
      <t>共通機能バージョンアップの全体像</t>
    </r>
    <r>
      <rPr>
        <b/>
        <sz val="10"/>
        <color rgb="FF0070C0"/>
        <rFont val="Tahoma"/>
        <family val="2"/>
      </rPr>
      <t>.xlsx</t>
    </r>
    <r>
      <rPr>
        <b/>
        <sz val="10"/>
        <color rgb="FF0070C0"/>
        <rFont val="ＭＳ Ｐ明朝"/>
        <family val="1"/>
        <charset val="128"/>
      </rPr>
      <t>』</t>
    </r>
    <r>
      <rPr>
        <b/>
        <sz val="10"/>
        <color rgb="FF0070C0"/>
        <rFont val="Tahoma"/>
        <family val="2"/>
      </rPr>
      <t xml:space="preserve"> gửi ngày </t>
    </r>
    <r>
      <rPr>
        <b/>
        <sz val="10"/>
        <color rgb="FF0070C0"/>
        <rFont val="ＭＳ Ｐ明朝"/>
        <family val="1"/>
        <charset val="128"/>
      </rPr>
      <t>（</t>
    </r>
    <r>
      <rPr>
        <b/>
        <sz val="10"/>
        <color rgb="FF0070C0"/>
        <rFont val="Tahoma"/>
        <family val="2"/>
      </rPr>
      <t>2017/08/25</t>
    </r>
    <r>
      <rPr>
        <b/>
        <sz val="10"/>
        <color rgb="FF0070C0"/>
        <rFont val="ＭＳ Ｐ明朝"/>
        <family val="1"/>
        <charset val="128"/>
      </rPr>
      <t xml:space="preserve">日付）、
</t>
    </r>
    <r>
      <rPr>
        <b/>
        <sz val="10"/>
        <color rgb="FF0070C0"/>
        <rFont val="Tahoma"/>
        <family val="2"/>
      </rPr>
      <t xml:space="preserve">và source code của các PG </t>
    </r>
    <r>
      <rPr>
        <b/>
        <sz val="10"/>
        <color rgb="FF0070C0"/>
        <rFont val="ＭＳ Ｐ明朝"/>
        <family val="1"/>
        <charset val="128"/>
      </rPr>
      <t>（</t>
    </r>
    <r>
      <rPr>
        <b/>
        <sz val="10"/>
        <color rgb="FF0070C0"/>
        <rFont val="Tahoma"/>
        <family val="2"/>
      </rPr>
      <t>ngày 2017/08/25</t>
    </r>
    <r>
      <rPr>
        <b/>
        <sz val="10"/>
        <color rgb="FF0070C0"/>
        <rFont val="ＭＳ Ｐ明朝"/>
        <family val="1"/>
        <charset val="128"/>
      </rPr>
      <t>日付）</t>
    </r>
    <r>
      <rPr>
        <b/>
        <sz val="10"/>
        <color rgb="FF0070C0"/>
        <rFont val="Tahoma"/>
        <family val="2"/>
      </rPr>
      <t xml:space="preserve"> mà quý công ty đã gửi </t>
    </r>
    <phoneticPr fontId="42" type="noConversion"/>
  </si>
  <si>
    <t>電子照合表</t>
    <phoneticPr fontId="3"/>
  </si>
  <si>
    <t>TRUNG-TM</t>
    <phoneticPr fontId="3"/>
  </si>
</sst>
</file>

<file path=xl/styles.xml><?xml version="1.0" encoding="utf-8"?>
<styleSheet xmlns="http://schemas.openxmlformats.org/spreadsheetml/2006/main">
  <numFmts count="9">
    <numFmt numFmtId="176" formatCode="#,##0.0_);[Red]\(#,##0.0\)"/>
    <numFmt numFmtId="177" formatCode="0.0_);[Red]\(0.0\)"/>
    <numFmt numFmtId="178" formatCode="#,##0_ "/>
    <numFmt numFmtId="179" formatCode="0.00_);[Red]\(0.00\)"/>
    <numFmt numFmtId="180" formatCode="#,##0.0_ "/>
    <numFmt numFmtId="181" formatCode="0&quot; (h)&quot;"/>
    <numFmt numFmtId="182" formatCode="0.0%"/>
    <numFmt numFmtId="183" formatCode="yy/mm/dd"/>
    <numFmt numFmtId="184" formatCode="0.0"/>
  </numFmts>
  <fonts count="9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
      <sz val="12"/>
      <name val="Times New Roman"/>
      <family val="1"/>
    </font>
    <font>
      <b/>
      <i/>
      <sz val="10"/>
      <name val="Times New Roman"/>
      <family val="1"/>
    </font>
    <font>
      <b/>
      <i/>
      <sz val="12"/>
      <name val="Times New Roman"/>
      <family val="1"/>
    </font>
    <font>
      <sz val="10"/>
      <name val="Times New Roman"/>
      <family val="1"/>
    </font>
    <font>
      <b/>
      <sz val="10"/>
      <name val="Times New Roman"/>
      <family val="1"/>
    </font>
    <font>
      <u/>
      <sz val="11"/>
      <color indexed="12"/>
      <name val="ＭＳ Ｐゴシック"/>
      <family val="3"/>
      <charset val="128"/>
    </font>
    <font>
      <b/>
      <sz val="10"/>
      <name val="ＭＳ Ｐ明朝"/>
      <family val="1"/>
      <charset val="128"/>
    </font>
    <font>
      <sz val="8"/>
      <color indexed="81"/>
      <name val="Tahoma"/>
      <family val="2"/>
    </font>
    <font>
      <b/>
      <sz val="12"/>
      <name val="ＭＳ Ｐ明朝"/>
      <family val="1"/>
      <charset val="128"/>
    </font>
    <font>
      <sz val="11"/>
      <name val="Times New Roman"/>
      <family val="1"/>
    </font>
    <font>
      <b/>
      <sz val="11"/>
      <name val="Times New Roman"/>
      <family val="1"/>
    </font>
    <font>
      <sz val="9"/>
      <color indexed="81"/>
      <name val="Tahoma"/>
      <family val="2"/>
    </font>
    <font>
      <b/>
      <sz val="9"/>
      <color indexed="81"/>
      <name val="Tahoma"/>
      <family val="2"/>
    </font>
    <font>
      <b/>
      <sz val="10"/>
      <color indexed="12"/>
      <name val="Times New Roman"/>
      <family val="1"/>
    </font>
    <font>
      <b/>
      <sz val="12"/>
      <color indexed="12"/>
      <name val="Times New Roman"/>
      <family val="1"/>
    </font>
    <font>
      <b/>
      <sz val="8"/>
      <color indexed="81"/>
      <name val="Tahoma"/>
      <family val="2"/>
    </font>
    <font>
      <b/>
      <sz val="12"/>
      <color indexed="41"/>
      <name val="Times New Roman"/>
      <family val="1"/>
    </font>
    <font>
      <b/>
      <sz val="10"/>
      <color indexed="16"/>
      <name val="Times New Roman"/>
      <family val="1"/>
    </font>
    <font>
      <sz val="10"/>
      <color indexed="16"/>
      <name val="Times New Roman"/>
      <family val="1"/>
    </font>
    <font>
      <sz val="11"/>
      <color indexed="16"/>
      <name val="Times New Roman"/>
      <family val="1"/>
    </font>
    <font>
      <b/>
      <sz val="14"/>
      <color indexed="12"/>
      <name val="Times New Roman"/>
      <family val="1"/>
    </font>
    <font>
      <b/>
      <sz val="12"/>
      <name val="Times New Roman"/>
      <family val="1"/>
    </font>
    <font>
      <i/>
      <sz val="11"/>
      <color indexed="12"/>
      <name val="Times New Roman"/>
      <family val="1"/>
    </font>
    <font>
      <sz val="8"/>
      <color indexed="8"/>
      <name val="Times New Roman"/>
      <family val="1"/>
    </font>
    <font>
      <sz val="12"/>
      <name val="ＭＳ ゴシック"/>
      <family val="3"/>
      <charset val="128"/>
    </font>
    <font>
      <b/>
      <sz val="8"/>
      <color indexed="8"/>
      <name val="Times New Roman"/>
      <family val="1"/>
    </font>
    <font>
      <sz val="8"/>
      <color indexed="8"/>
      <name val="ＭＳ Ｐゴシック"/>
      <family val="3"/>
      <charset val="128"/>
    </font>
    <font>
      <sz val="11"/>
      <color indexed="8"/>
      <name val="ＭＳ Ｐゴシック"/>
      <family val="3"/>
      <charset val="128"/>
    </font>
    <font>
      <u/>
      <sz val="8"/>
      <color indexed="12"/>
      <name val="Times New Roman"/>
      <family val="1"/>
    </font>
    <font>
      <sz val="10"/>
      <color indexed="8"/>
      <name val="Times New Roman"/>
      <family val="1"/>
    </font>
    <font>
      <sz val="10"/>
      <color indexed="8"/>
      <name val="ＭＳ Ｐゴシック"/>
      <family val="3"/>
      <charset val="128"/>
    </font>
    <font>
      <b/>
      <sz val="24"/>
      <color indexed="16"/>
      <name val="Times New Roman"/>
      <family val="1"/>
    </font>
    <font>
      <b/>
      <sz val="10"/>
      <name val="Arial"/>
      <family val="2"/>
    </font>
    <font>
      <b/>
      <i/>
      <sz val="12"/>
      <color indexed="20"/>
      <name val="Times New Roman"/>
      <family val="1"/>
    </font>
    <font>
      <b/>
      <sz val="20"/>
      <color indexed="20"/>
      <name val="ＭＳ Ｐゴシック"/>
      <family val="3"/>
      <charset val="128"/>
    </font>
    <font>
      <b/>
      <sz val="9"/>
      <name val="Times New Roman"/>
      <family val="1"/>
    </font>
    <font>
      <b/>
      <sz val="9"/>
      <name val="Arial"/>
      <family val="2"/>
    </font>
    <font>
      <b/>
      <i/>
      <sz val="9"/>
      <color indexed="20"/>
      <name val="Times New Roman"/>
      <family val="1"/>
    </font>
    <font>
      <sz val="8"/>
      <name val="ＭＳ Ｐゴシック"/>
      <family val="3"/>
      <charset val="128"/>
    </font>
    <font>
      <b/>
      <sz val="20"/>
      <color indexed="16"/>
      <name val="Times New Roman"/>
      <family val="1"/>
    </font>
    <font>
      <b/>
      <sz val="10"/>
      <name val="Tahoma"/>
      <family val="2"/>
    </font>
    <font>
      <b/>
      <sz val="10"/>
      <color indexed="10"/>
      <name val="Tahoma"/>
      <family val="2"/>
    </font>
    <font>
      <b/>
      <sz val="10"/>
      <color indexed="12"/>
      <name val="ＭＳ Ｐ明朝"/>
      <family val="1"/>
      <charset val="128"/>
    </font>
    <font>
      <b/>
      <sz val="10"/>
      <color indexed="12"/>
      <name val="Tahoma"/>
      <family val="2"/>
    </font>
    <font>
      <b/>
      <sz val="11"/>
      <color indexed="10"/>
      <name val="Tahoma"/>
      <family val="2"/>
    </font>
    <font>
      <sz val="11"/>
      <color indexed="9"/>
      <name val="ＭＳ Ｐゴシック"/>
      <family val="3"/>
      <charset val="128"/>
    </font>
    <font>
      <sz val="11"/>
      <color indexed="20"/>
      <name val="ＭＳ Ｐゴシック"/>
      <family val="3"/>
      <charset val="128"/>
    </font>
    <font>
      <b/>
      <sz val="11"/>
      <color indexed="52"/>
      <name val="ＭＳ Ｐゴシック"/>
      <family val="3"/>
      <charset val="128"/>
    </font>
    <font>
      <b/>
      <sz val="11"/>
      <color indexed="9"/>
      <name val="ＭＳ Ｐゴシック"/>
      <family val="3"/>
      <charset val="128"/>
    </font>
    <font>
      <i/>
      <sz val="11"/>
      <color indexed="23"/>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62"/>
      <name val="ＭＳ Ｐゴシック"/>
      <family val="3"/>
      <charset val="128"/>
    </font>
    <font>
      <sz val="11"/>
      <color indexed="52"/>
      <name val="ＭＳ Ｐゴシック"/>
      <family val="3"/>
      <charset val="128"/>
    </font>
    <font>
      <sz val="11"/>
      <color indexed="60"/>
      <name val="ＭＳ Ｐゴシック"/>
      <family val="3"/>
      <charset val="128"/>
    </font>
    <font>
      <b/>
      <sz val="11"/>
      <color indexed="63"/>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0"/>
      <name val="ＭＳ Ｐゴシック"/>
      <family val="3"/>
      <charset val="128"/>
    </font>
    <font>
      <b/>
      <sz val="20"/>
      <color indexed="16"/>
      <name val="ＭＳ Ｐ明朝"/>
      <family val="1"/>
      <charset val="128"/>
    </font>
    <font>
      <sz val="10"/>
      <color indexed="12"/>
      <name val="ＭＳ Ｐ明朝"/>
      <family val="1"/>
      <charset val="128"/>
    </font>
    <font>
      <sz val="10"/>
      <color indexed="12"/>
      <name val="Times New Roman"/>
      <family val="1"/>
    </font>
    <font>
      <sz val="11"/>
      <name val="ＭＳ Ｐ明朝"/>
      <family val="1"/>
      <charset val="128"/>
    </font>
    <font>
      <b/>
      <sz val="11"/>
      <name val="ＭＳ Ｐ明朝"/>
      <family val="1"/>
      <charset val="128"/>
    </font>
    <font>
      <sz val="8"/>
      <color indexed="81"/>
      <name val="Tahoma"/>
      <family val="2"/>
      <charset val="128"/>
    </font>
    <font>
      <b/>
      <sz val="8"/>
      <color indexed="81"/>
      <name val="Tahoma"/>
      <family val="2"/>
      <charset val="128"/>
    </font>
    <font>
      <sz val="8"/>
      <color indexed="22"/>
      <name val="Times New Roman"/>
      <family val="1"/>
    </font>
    <font>
      <b/>
      <sz val="12"/>
      <color indexed="16"/>
      <name val="Times New Roman"/>
      <family val="1"/>
    </font>
    <font>
      <b/>
      <i/>
      <sz val="10"/>
      <color indexed="16"/>
      <name val="Times New Roman"/>
      <family val="1"/>
    </font>
    <font>
      <b/>
      <sz val="14"/>
      <name val="ＭＳ Ｐ明朝"/>
      <family val="1"/>
      <charset val="128"/>
    </font>
    <font>
      <b/>
      <i/>
      <sz val="14"/>
      <name val="Times New Roman"/>
      <family val="1"/>
    </font>
    <font>
      <b/>
      <i/>
      <sz val="10"/>
      <name val="ＭＳ Ｐ明朝"/>
      <family val="1"/>
      <charset val="128"/>
    </font>
    <font>
      <b/>
      <sz val="10"/>
      <color indexed="8"/>
      <name val="Times New Roman"/>
      <family val="1"/>
    </font>
    <font>
      <b/>
      <sz val="12"/>
      <name val="Webdings"/>
      <family val="1"/>
      <charset val="2"/>
    </font>
    <font>
      <b/>
      <sz val="12"/>
      <color indexed="55"/>
      <name val="Times New Roman"/>
      <family val="1"/>
    </font>
    <font>
      <i/>
      <sz val="10"/>
      <color rgb="FF0000FF"/>
      <name val="Times New Roman"/>
      <family val="1"/>
    </font>
    <font>
      <i/>
      <sz val="10"/>
      <name val="Times New Roman"/>
      <family val="1"/>
    </font>
    <font>
      <i/>
      <sz val="9"/>
      <name val="Times New Roman"/>
      <family val="1"/>
    </font>
    <font>
      <b/>
      <sz val="10"/>
      <color rgb="FF0000FF"/>
      <name val="Times New Roman"/>
      <family val="1"/>
    </font>
    <font>
      <sz val="10"/>
      <color rgb="FF0000FF"/>
      <name val="Times New Roman"/>
      <family val="1"/>
    </font>
    <font>
      <sz val="9"/>
      <color rgb="FFFF0000"/>
      <name val="Times New Roman"/>
      <family val="1"/>
    </font>
    <font>
      <sz val="9"/>
      <color indexed="81"/>
      <name val="ＭＳ Ｐゴシック"/>
      <family val="3"/>
      <charset val="128"/>
    </font>
    <font>
      <sz val="10"/>
      <name val="ＭＳ Ｐ明朝"/>
      <family val="1"/>
      <charset val="128"/>
    </font>
    <font>
      <b/>
      <sz val="10"/>
      <color rgb="FF0070C0"/>
      <name val="Tahoma"/>
      <family val="2"/>
    </font>
    <font>
      <b/>
      <sz val="10"/>
      <color rgb="FF0070C0"/>
      <name val="ＭＳ Ｐ明朝"/>
      <family val="1"/>
      <charset val="128"/>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41"/>
        <bgColor indexed="64"/>
      </patternFill>
    </fill>
    <fill>
      <patternFill patternType="solid">
        <fgColor indexed="47"/>
        <bgColor indexed="64"/>
      </patternFill>
    </fill>
    <fill>
      <patternFill patternType="solid">
        <fgColor indexed="16"/>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theme="0" tint="-0.249977111117893"/>
        <bgColor indexed="64"/>
      </patternFill>
    </fill>
    <fill>
      <patternFill patternType="solid">
        <fgColor rgb="FF00B0F0"/>
        <bgColor indexed="64"/>
      </patternFill>
    </fill>
    <fill>
      <patternFill patternType="solid">
        <fgColor theme="9" tint="0.39997558519241921"/>
        <bgColor indexed="64"/>
      </patternFill>
    </fill>
    <fill>
      <patternFill patternType="solid">
        <fgColor theme="0" tint="-0.14999847407452621"/>
        <bgColor indexed="64"/>
      </patternFill>
    </fill>
  </fills>
  <borders count="8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8"/>
      </bottom>
      <diagonal/>
    </border>
    <border>
      <left/>
      <right style="thin">
        <color indexed="8"/>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s>
  <cellStyleXfs count="47">
    <xf numFmtId="0" fontId="0" fillId="0" borderId="0"/>
    <xf numFmtId="0" fontId="31" fillId="2" borderId="0" applyNumberFormat="0" applyBorder="0" applyAlignment="0" applyProtection="0">
      <alignment vertical="center"/>
    </xf>
    <xf numFmtId="0" fontId="31" fillId="3" borderId="0" applyNumberFormat="0" applyBorder="0" applyAlignment="0" applyProtection="0">
      <alignment vertical="center"/>
    </xf>
    <xf numFmtId="0" fontId="31" fillId="4" borderId="0" applyNumberFormat="0" applyBorder="0" applyAlignment="0" applyProtection="0">
      <alignment vertical="center"/>
    </xf>
    <xf numFmtId="0" fontId="31" fillId="5" borderId="0" applyNumberFormat="0" applyBorder="0" applyAlignment="0" applyProtection="0">
      <alignment vertical="center"/>
    </xf>
    <xf numFmtId="0" fontId="31" fillId="6" borderId="0" applyNumberFormat="0" applyBorder="0" applyAlignment="0" applyProtection="0">
      <alignment vertical="center"/>
    </xf>
    <xf numFmtId="0" fontId="31" fillId="7" borderId="0" applyNumberFormat="0" applyBorder="0" applyAlignment="0" applyProtection="0">
      <alignment vertical="center"/>
    </xf>
    <xf numFmtId="0" fontId="31" fillId="8" borderId="0" applyNumberFormat="0" applyBorder="0" applyAlignment="0" applyProtection="0">
      <alignment vertical="center"/>
    </xf>
    <xf numFmtId="0" fontId="31" fillId="9" borderId="0" applyNumberFormat="0" applyBorder="0" applyAlignment="0" applyProtection="0">
      <alignment vertical="center"/>
    </xf>
    <xf numFmtId="0" fontId="31" fillId="10" borderId="0" applyNumberFormat="0" applyBorder="0" applyAlignment="0" applyProtection="0">
      <alignment vertical="center"/>
    </xf>
    <xf numFmtId="0" fontId="31" fillId="5" borderId="0" applyNumberFormat="0" applyBorder="0" applyAlignment="0" applyProtection="0">
      <alignment vertical="center"/>
    </xf>
    <xf numFmtId="0" fontId="31" fillId="8" borderId="0" applyNumberFormat="0" applyBorder="0" applyAlignment="0" applyProtection="0">
      <alignment vertical="center"/>
    </xf>
    <xf numFmtId="0" fontId="31" fillId="11" borderId="0" applyNumberFormat="0" applyBorder="0" applyAlignment="0" applyProtection="0">
      <alignment vertical="center"/>
    </xf>
    <xf numFmtId="0" fontId="49" fillId="12" borderId="0" applyNumberFormat="0" applyBorder="0" applyAlignment="0" applyProtection="0">
      <alignment vertical="center"/>
    </xf>
    <xf numFmtId="0" fontId="49" fillId="9" borderId="0" applyNumberFormat="0" applyBorder="0" applyAlignment="0" applyProtection="0">
      <alignment vertical="center"/>
    </xf>
    <xf numFmtId="0" fontId="49" fillId="10" borderId="0" applyNumberFormat="0" applyBorder="0" applyAlignment="0" applyProtection="0">
      <alignment vertical="center"/>
    </xf>
    <xf numFmtId="0" fontId="49" fillId="13" borderId="0" applyNumberFormat="0" applyBorder="0" applyAlignment="0" applyProtection="0">
      <alignment vertical="center"/>
    </xf>
    <xf numFmtId="0" fontId="49" fillId="14" borderId="0" applyNumberFormat="0" applyBorder="0" applyAlignment="0" applyProtection="0">
      <alignment vertical="center"/>
    </xf>
    <xf numFmtId="0" fontId="49" fillId="15" borderId="0" applyNumberFormat="0" applyBorder="0" applyAlignment="0" applyProtection="0">
      <alignment vertical="center"/>
    </xf>
    <xf numFmtId="0" fontId="49" fillId="16" borderId="0" applyNumberFormat="0" applyBorder="0" applyAlignment="0" applyProtection="0">
      <alignment vertical="center"/>
    </xf>
    <xf numFmtId="0" fontId="49" fillId="17" borderId="0" applyNumberFormat="0" applyBorder="0" applyAlignment="0" applyProtection="0">
      <alignment vertical="center"/>
    </xf>
    <xf numFmtId="0" fontId="49" fillId="18" borderId="0" applyNumberFormat="0" applyBorder="0" applyAlignment="0" applyProtection="0">
      <alignment vertical="center"/>
    </xf>
    <xf numFmtId="0" fontId="49" fillId="13" borderId="0" applyNumberFormat="0" applyBorder="0" applyAlignment="0" applyProtection="0">
      <alignment vertical="center"/>
    </xf>
    <xf numFmtId="0" fontId="49" fillId="14" borderId="0" applyNumberFormat="0" applyBorder="0" applyAlignment="0" applyProtection="0">
      <alignment vertical="center"/>
    </xf>
    <xf numFmtId="0" fontId="49" fillId="19" borderId="0" applyNumberFormat="0" applyBorder="0" applyAlignment="0" applyProtection="0">
      <alignment vertical="center"/>
    </xf>
    <xf numFmtId="0" fontId="50" fillId="3" borderId="0" applyNumberFormat="0" applyBorder="0" applyAlignment="0" applyProtection="0">
      <alignment vertical="center"/>
    </xf>
    <xf numFmtId="0" fontId="51" fillId="20" borderId="1" applyNumberFormat="0" applyAlignment="0" applyProtection="0">
      <alignment vertical="center"/>
    </xf>
    <xf numFmtId="0" fontId="52" fillId="21" borderId="2" applyNumberFormat="0" applyAlignment="0" applyProtection="0">
      <alignment vertical="center"/>
    </xf>
    <xf numFmtId="0" fontId="53" fillId="0" borderId="0" applyNumberFormat="0" applyFill="0" applyBorder="0" applyAlignment="0" applyProtection="0">
      <alignment vertical="center"/>
    </xf>
    <xf numFmtId="0" fontId="54" fillId="4" borderId="0" applyNumberFormat="0" applyBorder="0" applyAlignment="0" applyProtection="0">
      <alignment vertical="center"/>
    </xf>
    <xf numFmtId="0" fontId="55" fillId="0" borderId="3" applyNumberFormat="0" applyFill="0" applyAlignment="0" applyProtection="0">
      <alignment vertical="center"/>
    </xf>
    <xf numFmtId="0" fontId="56" fillId="0" borderId="4" applyNumberFormat="0" applyFill="0" applyAlignment="0" applyProtection="0">
      <alignment vertical="center"/>
    </xf>
    <xf numFmtId="0" fontId="57" fillId="0" borderId="5" applyNumberFormat="0" applyFill="0" applyAlignment="0" applyProtection="0">
      <alignment vertical="center"/>
    </xf>
    <xf numFmtId="0" fontId="57" fillId="0" borderId="0" applyNumberFormat="0" applyFill="0" applyBorder="0" applyAlignment="0" applyProtection="0">
      <alignment vertical="center"/>
    </xf>
    <xf numFmtId="0" fontId="9" fillId="0" borderId="0" applyNumberFormat="0" applyFill="0" applyBorder="0" applyAlignment="0" applyProtection="0">
      <alignment vertical="top"/>
      <protection locked="0"/>
    </xf>
    <xf numFmtId="0" fontId="58" fillId="7" borderId="1" applyNumberFormat="0" applyAlignment="0" applyProtection="0">
      <alignment vertical="center"/>
    </xf>
    <xf numFmtId="0" fontId="59" fillId="0" borderId="6" applyNumberFormat="0" applyFill="0" applyAlignment="0" applyProtection="0">
      <alignment vertical="center"/>
    </xf>
    <xf numFmtId="0" fontId="60" fillId="22" borderId="0" applyNumberFormat="0" applyBorder="0" applyAlignment="0" applyProtection="0">
      <alignment vertical="center"/>
    </xf>
    <xf numFmtId="0" fontId="31" fillId="0" borderId="0">
      <alignment vertical="center"/>
    </xf>
    <xf numFmtId="0" fontId="28" fillId="0" borderId="0"/>
    <xf numFmtId="0" fontId="2" fillId="23" borderId="7" applyNumberFormat="0" applyFont="0" applyAlignment="0" applyProtection="0">
      <alignment vertical="center"/>
    </xf>
    <xf numFmtId="0" fontId="61" fillId="20" borderId="8" applyNumberFormat="0" applyAlignment="0" applyProtection="0">
      <alignment vertical="center"/>
    </xf>
    <xf numFmtId="0" fontId="62" fillId="0" borderId="0" applyNumberFormat="0" applyFill="0" applyBorder="0" applyAlignment="0" applyProtection="0">
      <alignment vertical="center"/>
    </xf>
    <xf numFmtId="0" fontId="63" fillId="0" borderId="9" applyNumberFormat="0" applyFill="0" applyAlignment="0" applyProtection="0">
      <alignment vertical="center"/>
    </xf>
    <xf numFmtId="0" fontId="64" fillId="0" borderId="0" applyNumberFormat="0" applyFill="0" applyBorder="0" applyAlignment="0" applyProtection="0">
      <alignment vertical="center"/>
    </xf>
    <xf numFmtId="0" fontId="1" fillId="0" borderId="0"/>
    <xf numFmtId="9" fontId="1" fillId="0" borderId="0" applyFont="0" applyFill="0" applyBorder="0" applyAlignment="0" applyProtection="0"/>
  </cellStyleXfs>
  <cellXfs count="684">
    <xf numFmtId="0" fontId="0" fillId="0" borderId="0" xfId="0"/>
    <xf numFmtId="0" fontId="4" fillId="0" borderId="0" xfId="0" applyFont="1"/>
    <xf numFmtId="0" fontId="7" fillId="0" borderId="0" xfId="0" applyFont="1"/>
    <xf numFmtId="0" fontId="8" fillId="0" borderId="0" xfId="0" applyFont="1" applyAlignment="1">
      <alignment horizontal="center"/>
    </xf>
    <xf numFmtId="0" fontId="8" fillId="24" borderId="10" xfId="0" applyFont="1" applyFill="1" applyBorder="1" applyAlignment="1">
      <alignment horizontal="center"/>
    </xf>
    <xf numFmtId="0" fontId="8" fillId="24" borderId="11" xfId="0" applyFont="1" applyFill="1" applyBorder="1" applyAlignment="1">
      <alignment horizontal="center"/>
    </xf>
    <xf numFmtId="0" fontId="5" fillId="0" borderId="0" xfId="0" applyFont="1"/>
    <xf numFmtId="0" fontId="7" fillId="0" borderId="12" xfId="0" applyFont="1" applyBorder="1"/>
    <xf numFmtId="0" fontId="13" fillId="0" borderId="0" xfId="0" applyFont="1"/>
    <xf numFmtId="0" fontId="8" fillId="24" borderId="13" xfId="0" applyFont="1" applyFill="1" applyBorder="1" applyAlignment="1">
      <alignment horizontal="center"/>
    </xf>
    <xf numFmtId="0" fontId="8" fillId="24" borderId="10" xfId="0" applyFont="1" applyFill="1" applyBorder="1" applyAlignment="1">
      <alignment horizontal="center" vertical="center"/>
    </xf>
    <xf numFmtId="0" fontId="8" fillId="24" borderId="13" xfId="0" applyFont="1" applyFill="1" applyBorder="1" applyAlignment="1">
      <alignment horizontal="center" vertical="center"/>
    </xf>
    <xf numFmtId="0" fontId="8" fillId="24" borderId="14" xfId="0" applyFont="1" applyFill="1" applyBorder="1" applyAlignment="1">
      <alignment horizontal="center" vertical="center" wrapText="1"/>
    </xf>
    <xf numFmtId="0" fontId="8" fillId="24" borderId="15" xfId="0" applyFont="1" applyFill="1" applyBorder="1" applyAlignment="1">
      <alignment horizontal="center" vertical="center"/>
    </xf>
    <xf numFmtId="0" fontId="8" fillId="24" borderId="15" xfId="0" applyFont="1" applyFill="1" applyBorder="1" applyAlignment="1">
      <alignment horizontal="center"/>
    </xf>
    <xf numFmtId="0" fontId="10" fillId="0" borderId="12" xfId="0" applyNumberFormat="1" applyFont="1" applyBorder="1" applyAlignment="1">
      <alignment horizontal="right"/>
    </xf>
    <xf numFmtId="0" fontId="10" fillId="0" borderId="0" xfId="0" applyNumberFormat="1" applyFont="1" applyBorder="1" applyAlignment="1">
      <alignment horizontal="right"/>
    </xf>
    <xf numFmtId="0" fontId="8" fillId="24" borderId="16" xfId="0" applyFont="1" applyFill="1" applyBorder="1" applyAlignment="1">
      <alignment horizontal="center" vertical="center" wrapText="1"/>
    </xf>
    <xf numFmtId="0" fontId="7" fillId="0" borderId="0" xfId="0" applyFont="1" applyAlignment="1">
      <alignment vertical="top"/>
    </xf>
    <xf numFmtId="40" fontId="7" fillId="0" borderId="0" xfId="0" applyNumberFormat="1" applyFont="1" applyAlignment="1">
      <alignment vertical="top"/>
    </xf>
    <xf numFmtId="49" fontId="7" fillId="0" borderId="0" xfId="0" applyNumberFormat="1" applyFont="1" applyAlignment="1">
      <alignment vertical="top"/>
    </xf>
    <xf numFmtId="176" fontId="17" fillId="25" borderId="12" xfId="0" applyNumberFormat="1" applyFont="1" applyFill="1" applyBorder="1" applyAlignment="1">
      <alignment shrinkToFit="1"/>
    </xf>
    <xf numFmtId="0" fontId="14" fillId="0" borderId="0" xfId="0" applyFont="1" applyAlignment="1">
      <alignment horizontal="left"/>
    </xf>
    <xf numFmtId="179" fontId="13" fillId="0" borderId="0" xfId="0" applyNumberFormat="1" applyFont="1"/>
    <xf numFmtId="179" fontId="14" fillId="0" borderId="0" xfId="0" applyNumberFormat="1" applyFont="1" applyAlignment="1">
      <alignment horizontal="left"/>
    </xf>
    <xf numFmtId="179" fontId="21" fillId="24" borderId="14" xfId="0" applyNumberFormat="1" applyFont="1" applyFill="1" applyBorder="1" applyAlignment="1">
      <alignment horizontal="center" vertical="center"/>
    </xf>
    <xf numFmtId="179" fontId="23" fillId="0" borderId="0" xfId="0" applyNumberFormat="1" applyFont="1"/>
    <xf numFmtId="0" fontId="23" fillId="0" borderId="0" xfId="0" applyFont="1"/>
    <xf numFmtId="0" fontId="21" fillId="24" borderId="10" xfId="0" applyFont="1" applyFill="1" applyBorder="1" applyAlignment="1">
      <alignment horizontal="center" vertical="center"/>
    </xf>
    <xf numFmtId="0" fontId="21" fillId="24" borderId="17" xfId="0" applyFont="1" applyFill="1" applyBorder="1" applyAlignment="1">
      <alignment horizontal="center" vertical="center"/>
    </xf>
    <xf numFmtId="0" fontId="21" fillId="24" borderId="10" xfId="0" applyFont="1" applyFill="1" applyBorder="1" applyAlignment="1">
      <alignment horizontal="center" vertical="center" wrapText="1"/>
    </xf>
    <xf numFmtId="0" fontId="21" fillId="24" borderId="11" xfId="0" applyFont="1" applyFill="1" applyBorder="1" applyAlignment="1">
      <alignment horizontal="center" vertical="center" wrapText="1"/>
    </xf>
    <xf numFmtId="0" fontId="21" fillId="24" borderId="13" xfId="0" applyFont="1" applyFill="1" applyBorder="1" applyAlignment="1">
      <alignment horizontal="center" vertical="center"/>
    </xf>
    <xf numFmtId="0" fontId="21" fillId="24" borderId="11" xfId="0" applyFont="1" applyFill="1" applyBorder="1" applyAlignment="1">
      <alignment horizontal="center" shrinkToFit="1"/>
    </xf>
    <xf numFmtId="176" fontId="17" fillId="25" borderId="12" xfId="0" applyNumberFormat="1" applyFont="1" applyFill="1" applyBorder="1" applyAlignment="1">
      <alignment horizontal="right" shrinkToFit="1"/>
    </xf>
    <xf numFmtId="179" fontId="21" fillId="24" borderId="11" xfId="0" applyNumberFormat="1" applyFont="1" applyFill="1" applyBorder="1" applyAlignment="1">
      <alignment horizontal="center" vertical="center" wrapText="1"/>
    </xf>
    <xf numFmtId="0" fontId="8" fillId="24" borderId="18" xfId="0" applyFont="1" applyFill="1" applyBorder="1" applyAlignment="1">
      <alignment horizontal="center" vertical="top"/>
    </xf>
    <xf numFmtId="0" fontId="8" fillId="24" borderId="19" xfId="0" applyFont="1" applyFill="1" applyBorder="1" applyAlignment="1">
      <alignment horizontal="center" vertical="top"/>
    </xf>
    <xf numFmtId="0" fontId="7" fillId="24" borderId="20" xfId="0" applyFont="1" applyFill="1" applyBorder="1" applyAlignment="1">
      <alignment vertical="top"/>
    </xf>
    <xf numFmtId="0" fontId="8" fillId="24" borderId="10" xfId="0" applyFont="1" applyFill="1" applyBorder="1" applyAlignment="1">
      <alignment vertical="top"/>
    </xf>
    <xf numFmtId="0" fontId="8" fillId="24" borderId="22" xfId="0" applyFont="1" applyFill="1" applyBorder="1" applyAlignment="1">
      <alignment horizontal="center" vertical="top"/>
    </xf>
    <xf numFmtId="40" fontId="8" fillId="24" borderId="19" xfId="0" applyNumberFormat="1" applyFont="1" applyFill="1" applyBorder="1" applyAlignment="1">
      <alignment horizontal="center" vertical="top"/>
    </xf>
    <xf numFmtId="177" fontId="7" fillId="26" borderId="23" xfId="0" applyNumberFormat="1" applyFont="1" applyFill="1" applyBorder="1" applyAlignment="1">
      <alignment vertical="top"/>
    </xf>
    <xf numFmtId="177" fontId="7" fillId="26" borderId="24" xfId="0" applyNumberFormat="1" applyFont="1" applyFill="1" applyBorder="1" applyAlignment="1">
      <alignment vertical="top"/>
    </xf>
    <xf numFmtId="0" fontId="7" fillId="0" borderId="0" xfId="0" applyFont="1" applyBorder="1" applyAlignment="1">
      <alignment horizontal="center" vertical="center"/>
    </xf>
    <xf numFmtId="0" fontId="20" fillId="27" borderId="0" xfId="34" applyFont="1" applyFill="1" applyBorder="1" applyAlignment="1" applyProtection="1">
      <alignment horizontal="right" vertical="center" wrapText="1"/>
    </xf>
    <xf numFmtId="0" fontId="13" fillId="0" borderId="0" xfId="0" applyFont="1" applyAlignment="1">
      <alignment vertical="center"/>
    </xf>
    <xf numFmtId="179" fontId="13" fillId="0" borderId="0" xfId="0" applyNumberFormat="1" applyFont="1" applyAlignment="1">
      <alignment vertical="center"/>
    </xf>
    <xf numFmtId="0" fontId="8" fillId="0" borderId="25" xfId="0" applyFont="1" applyBorder="1" applyAlignment="1">
      <alignment horizontal="center"/>
    </xf>
    <xf numFmtId="0" fontId="7" fillId="0" borderId="25" xfId="0" applyFont="1" applyBorder="1"/>
    <xf numFmtId="176" fontId="7" fillId="0" borderId="26" xfId="0" applyNumberFormat="1" applyFont="1" applyBorder="1"/>
    <xf numFmtId="0" fontId="7" fillId="0" borderId="26" xfId="0" applyFont="1" applyBorder="1"/>
    <xf numFmtId="0" fontId="7" fillId="0" borderId="0" xfId="0" applyFont="1" applyBorder="1"/>
    <xf numFmtId="0" fontId="7" fillId="0" borderId="27" xfId="0" applyFont="1" applyBorder="1"/>
    <xf numFmtId="0" fontId="7" fillId="0" borderId="28" xfId="0" applyFont="1" applyBorder="1"/>
    <xf numFmtId="0" fontId="8" fillId="0" borderId="28" xfId="0" applyFont="1" applyBorder="1" applyAlignment="1">
      <alignment horizontal="right"/>
    </xf>
    <xf numFmtId="177" fontId="8" fillId="0" borderId="28" xfId="0" applyNumberFormat="1" applyFont="1" applyFill="1" applyBorder="1" applyAlignment="1">
      <alignment horizontal="right" wrapText="1"/>
    </xf>
    <xf numFmtId="177" fontId="5" fillId="0" borderId="28" xfId="0" applyNumberFormat="1" applyFont="1" applyBorder="1"/>
    <xf numFmtId="0" fontId="7" fillId="0" borderId="29" xfId="0" applyFont="1" applyBorder="1"/>
    <xf numFmtId="176" fontId="20" fillId="27" borderId="0" xfId="34" applyNumberFormat="1" applyFont="1" applyFill="1" applyBorder="1" applyAlignment="1" applyProtection="1">
      <alignment horizontal="right" vertical="center" shrinkToFit="1"/>
    </xf>
    <xf numFmtId="0" fontId="7" fillId="24" borderId="30" xfId="0" applyFont="1" applyFill="1" applyBorder="1"/>
    <xf numFmtId="0" fontId="8" fillId="24" borderId="31" xfId="0" applyFont="1" applyFill="1" applyBorder="1"/>
    <xf numFmtId="0" fontId="8" fillId="24" borderId="31" xfId="0" applyFont="1" applyFill="1" applyBorder="1" applyAlignment="1">
      <alignment horizontal="right"/>
    </xf>
    <xf numFmtId="0" fontId="5" fillId="24" borderId="31" xfId="0" applyFont="1" applyFill="1" applyBorder="1"/>
    <xf numFmtId="0" fontId="7" fillId="24" borderId="32" xfId="0" applyFont="1" applyFill="1" applyBorder="1"/>
    <xf numFmtId="0" fontId="26" fillId="0" borderId="0" xfId="0" applyFont="1"/>
    <xf numFmtId="181" fontId="5" fillId="24" borderId="31" xfId="0" applyNumberFormat="1" applyFont="1" applyFill="1" applyBorder="1"/>
    <xf numFmtId="0" fontId="7" fillId="24" borderId="25" xfId="0" applyFont="1" applyFill="1" applyBorder="1"/>
    <xf numFmtId="0" fontId="8" fillId="24" borderId="0" xfId="0" applyFont="1" applyFill="1" applyBorder="1"/>
    <xf numFmtId="0" fontId="8" fillId="24" borderId="0" xfId="0" applyFont="1" applyFill="1" applyBorder="1" applyAlignment="1">
      <alignment horizontal="right"/>
    </xf>
    <xf numFmtId="182" fontId="5" fillId="24" borderId="0" xfId="0" applyNumberFormat="1" applyFont="1" applyFill="1" applyBorder="1"/>
    <xf numFmtId="0" fontId="5" fillId="24" borderId="0" xfId="0" applyFont="1" applyFill="1" applyBorder="1"/>
    <xf numFmtId="0" fontId="7" fillId="24" borderId="26" xfId="0" applyFont="1" applyFill="1" applyBorder="1"/>
    <xf numFmtId="0" fontId="7" fillId="24" borderId="27" xfId="0" applyFont="1" applyFill="1" applyBorder="1"/>
    <xf numFmtId="0" fontId="8" fillId="24" borderId="28" xfId="0" applyFont="1" applyFill="1" applyBorder="1"/>
    <xf numFmtId="0" fontId="8" fillId="24" borderId="28" xfId="0" applyFont="1" applyFill="1" applyBorder="1" applyAlignment="1">
      <alignment horizontal="right"/>
    </xf>
    <xf numFmtId="177" fontId="8" fillId="24" borderId="28" xfId="0" applyNumberFormat="1" applyFont="1" applyFill="1" applyBorder="1" applyAlignment="1">
      <alignment horizontal="right" wrapText="1"/>
    </xf>
    <xf numFmtId="0" fontId="5" fillId="24" borderId="28" xfId="0" applyFont="1" applyFill="1" applyBorder="1"/>
    <xf numFmtId="0" fontId="7" fillId="24" borderId="29" xfId="0" applyFont="1" applyFill="1" applyBorder="1"/>
    <xf numFmtId="0" fontId="27" fillId="0" borderId="0" xfId="39" applyFont="1"/>
    <xf numFmtId="0" fontId="29" fillId="0" borderId="0" xfId="39" applyFont="1" applyAlignment="1">
      <alignment horizontal="right" vertical="center"/>
    </xf>
    <xf numFmtId="0" fontId="30" fillId="0" borderId="0" xfId="38" applyFont="1">
      <alignment vertical="center"/>
    </xf>
    <xf numFmtId="0" fontId="27" fillId="0" borderId="0" xfId="38" applyFont="1">
      <alignment vertical="center"/>
    </xf>
    <xf numFmtId="0" fontId="32" fillId="0" borderId="0" xfId="34" applyNumberFormat="1" applyFont="1" applyFill="1" applyBorder="1" applyAlignment="1" applyProtection="1">
      <alignment vertical="center"/>
    </xf>
    <xf numFmtId="0" fontId="33" fillId="0" borderId="33" xfId="39" applyFont="1" applyBorder="1"/>
    <xf numFmtId="0" fontId="33" fillId="0" borderId="0" xfId="39" applyFont="1" applyBorder="1"/>
    <xf numFmtId="0" fontId="34" fillId="0" borderId="0" xfId="38" applyFont="1" applyBorder="1">
      <alignment vertical="center"/>
    </xf>
    <xf numFmtId="0" fontId="33" fillId="0" borderId="0" xfId="38" applyFont="1" applyBorder="1">
      <alignment vertical="center"/>
    </xf>
    <xf numFmtId="0" fontId="25" fillId="0" borderId="0" xfId="0" applyFont="1"/>
    <xf numFmtId="0" fontId="8" fillId="0" borderId="34" xfId="0" applyFont="1" applyBorder="1" applyAlignment="1">
      <alignment horizontal="center"/>
    </xf>
    <xf numFmtId="0" fontId="36" fillId="28" borderId="0" xfId="0" applyFont="1" applyFill="1" applyBorder="1" applyAlignment="1">
      <alignment horizontal="right" vertical="center" indent="1"/>
    </xf>
    <xf numFmtId="0" fontId="8" fillId="24" borderId="35" xfId="0" applyFont="1" applyFill="1" applyBorder="1" applyAlignment="1">
      <alignment vertical="top"/>
    </xf>
    <xf numFmtId="0" fontId="8" fillId="24" borderId="36" xfId="0" applyFont="1" applyFill="1" applyBorder="1" applyAlignment="1">
      <alignment vertical="top"/>
    </xf>
    <xf numFmtId="40" fontId="8" fillId="24" borderId="22" xfId="0" applyNumberFormat="1" applyFont="1" applyFill="1" applyBorder="1" applyAlignment="1">
      <alignment horizontal="center" vertical="top"/>
    </xf>
    <xf numFmtId="177" fontId="7" fillId="26" borderId="37" xfId="0" applyNumberFormat="1" applyFont="1" applyFill="1" applyBorder="1" applyAlignment="1">
      <alignment vertical="top"/>
    </xf>
    <xf numFmtId="0" fontId="13" fillId="0" borderId="0" xfId="0" applyFont="1" applyAlignment="1">
      <alignment horizontal="right"/>
    </xf>
    <xf numFmtId="0" fontId="36" fillId="28" borderId="0" xfId="0" applyFont="1" applyFill="1" applyBorder="1" applyAlignment="1">
      <alignment horizontal="right" vertical="center"/>
    </xf>
    <xf numFmtId="0" fontId="39" fillId="0" borderId="0" xfId="0" applyFont="1"/>
    <xf numFmtId="0" fontId="39" fillId="0" borderId="28" xfId="0" applyFont="1" applyFill="1" applyBorder="1" applyAlignment="1">
      <alignment horizontal="center" vertical="center"/>
    </xf>
    <xf numFmtId="0" fontId="40" fillId="0" borderId="28" xfId="0" applyFont="1" applyFill="1" applyBorder="1" applyAlignment="1">
      <alignment horizontal="right" vertical="center" indent="1"/>
    </xf>
    <xf numFmtId="14" fontId="41" fillId="0" borderId="28" xfId="0" applyNumberFormat="1" applyFont="1" applyFill="1" applyBorder="1" applyAlignment="1">
      <alignment horizontal="left" vertical="center"/>
    </xf>
    <xf numFmtId="0" fontId="40" fillId="0" borderId="28" xfId="0" applyFont="1" applyFill="1" applyBorder="1" applyAlignment="1">
      <alignment horizontal="right" vertical="center"/>
    </xf>
    <xf numFmtId="14" fontId="41" fillId="0" borderId="28" xfId="0" applyNumberFormat="1" applyFont="1" applyFill="1" applyBorder="1" applyAlignment="1">
      <alignment horizontal="left" vertical="center" indent="1"/>
    </xf>
    <xf numFmtId="0" fontId="4" fillId="0" borderId="38" xfId="0" applyFont="1" applyBorder="1"/>
    <xf numFmtId="0" fontId="39" fillId="0" borderId="28" xfId="0" applyFont="1" applyFill="1" applyBorder="1"/>
    <xf numFmtId="0" fontId="25" fillId="28" borderId="0" xfId="0" applyFont="1" applyFill="1" applyBorder="1" applyAlignment="1">
      <alignment horizontal="left" vertical="center"/>
    </xf>
    <xf numFmtId="0" fontId="25" fillId="28" borderId="0" xfId="0" applyFont="1" applyFill="1" applyBorder="1" applyAlignment="1">
      <alignment horizontal="center" vertical="center"/>
    </xf>
    <xf numFmtId="0" fontId="25" fillId="28" borderId="30" xfId="0" applyFont="1" applyFill="1" applyBorder="1"/>
    <xf numFmtId="0" fontId="25" fillId="28" borderId="31" xfId="0" applyFont="1" applyFill="1" applyBorder="1" applyAlignment="1">
      <alignment horizontal="left" vertical="center"/>
    </xf>
    <xf numFmtId="0" fontId="36" fillId="28" borderId="31" xfId="0" applyFont="1" applyFill="1" applyBorder="1" applyAlignment="1">
      <alignment horizontal="right" vertical="center" indent="1"/>
    </xf>
    <xf numFmtId="0" fontId="25" fillId="28" borderId="31" xfId="0" applyFont="1" applyFill="1" applyBorder="1" applyAlignment="1">
      <alignment horizontal="center" vertical="center"/>
    </xf>
    <xf numFmtId="0" fontId="25" fillId="28" borderId="32" xfId="0" applyFont="1" applyFill="1" applyBorder="1"/>
    <xf numFmtId="0" fontId="25" fillId="28" borderId="25" xfId="0" applyFont="1" applyFill="1" applyBorder="1"/>
    <xf numFmtId="0" fontId="25" fillId="28" borderId="26" xfId="0" applyFont="1" applyFill="1" applyBorder="1"/>
    <xf numFmtId="0" fontId="39" fillId="28" borderId="27" xfId="0" applyFont="1" applyFill="1" applyBorder="1"/>
    <xf numFmtId="0" fontId="39" fillId="28" borderId="28" xfId="0" applyFont="1" applyFill="1" applyBorder="1" applyAlignment="1">
      <alignment horizontal="center" vertical="center"/>
    </xf>
    <xf numFmtId="0" fontId="40" fillId="28" borderId="28" xfId="0" applyFont="1" applyFill="1" applyBorder="1" applyAlignment="1">
      <alignment horizontal="right" vertical="center" indent="1"/>
    </xf>
    <xf numFmtId="0" fontId="40" fillId="28" borderId="28" xfId="0" applyFont="1" applyFill="1" applyBorder="1" applyAlignment="1">
      <alignment horizontal="right" vertical="center"/>
    </xf>
    <xf numFmtId="0" fontId="39" fillId="28" borderId="29" xfId="0" applyFont="1" applyFill="1" applyBorder="1"/>
    <xf numFmtId="0" fontId="7" fillId="0" borderId="39" xfId="0" applyFont="1" applyBorder="1" applyAlignment="1">
      <alignment horizontal="right"/>
    </xf>
    <xf numFmtId="0" fontId="7" fillId="0" borderId="38" xfId="0" applyFont="1" applyBorder="1"/>
    <xf numFmtId="0" fontId="7" fillId="0" borderId="40" xfId="0" applyFont="1" applyBorder="1"/>
    <xf numFmtId="49" fontId="7" fillId="0" borderId="42" xfId="0" applyNumberFormat="1" applyFont="1" applyBorder="1" applyAlignment="1">
      <alignment vertical="center"/>
    </xf>
    <xf numFmtId="183" fontId="7" fillId="0" borderId="19" xfId="0" applyNumberFormat="1" applyFont="1" applyBorder="1" applyAlignment="1">
      <alignment vertical="center"/>
    </xf>
    <xf numFmtId="49" fontId="7" fillId="0" borderId="43" xfId="0" applyNumberFormat="1" applyFont="1" applyBorder="1" applyAlignment="1">
      <alignment vertical="center"/>
    </xf>
    <xf numFmtId="183" fontId="7" fillId="0" borderId="20" xfId="0" applyNumberFormat="1" applyFont="1" applyBorder="1" applyAlignment="1">
      <alignment vertical="center"/>
    </xf>
    <xf numFmtId="49" fontId="7" fillId="0" borderId="37" xfId="0" applyNumberFormat="1" applyFont="1" applyBorder="1" applyAlignment="1">
      <alignment vertical="center"/>
    </xf>
    <xf numFmtId="183" fontId="7" fillId="0" borderId="24" xfId="0" applyNumberFormat="1" applyFont="1" applyBorder="1" applyAlignment="1">
      <alignment vertical="center"/>
    </xf>
    <xf numFmtId="0" fontId="10" fillId="24" borderId="21" xfId="45" applyFont="1" applyFill="1" applyBorder="1" applyAlignment="1">
      <alignment horizontal="center"/>
    </xf>
    <xf numFmtId="0" fontId="46" fillId="0" borderId="21" xfId="45" applyFont="1" applyBorder="1" applyAlignment="1">
      <alignment horizontal="center" vertical="center" wrapText="1"/>
    </xf>
    <xf numFmtId="0" fontId="48" fillId="0" borderId="0" xfId="45" applyFont="1"/>
    <xf numFmtId="0" fontId="14" fillId="0" borderId="0" xfId="0" applyFont="1" applyAlignment="1"/>
    <xf numFmtId="38" fontId="21" fillId="24" borderId="14" xfId="0" applyNumberFormat="1" applyFont="1" applyFill="1" applyBorder="1" applyAlignment="1">
      <alignment horizontal="center" vertical="center" wrapText="1"/>
    </xf>
    <xf numFmtId="0" fontId="8" fillId="24" borderId="10" xfId="0" applyFont="1" applyFill="1" applyBorder="1" applyAlignment="1">
      <alignment horizontal="center" vertical="center" wrapText="1" shrinkToFit="1"/>
    </xf>
    <xf numFmtId="0" fontId="8" fillId="24" borderId="17" xfId="0" applyFont="1" applyFill="1" applyBorder="1" applyAlignment="1">
      <alignment horizontal="center" vertical="center" wrapText="1" shrinkToFit="1"/>
    </xf>
    <xf numFmtId="38" fontId="21" fillId="24" borderId="10" xfId="0" applyNumberFormat="1" applyFont="1" applyFill="1" applyBorder="1" applyAlignment="1">
      <alignment horizontal="center" vertical="center" wrapText="1"/>
    </xf>
    <xf numFmtId="38" fontId="21" fillId="24" borderId="17" xfId="0" applyNumberFormat="1" applyFont="1" applyFill="1" applyBorder="1" applyAlignment="1">
      <alignment horizontal="center" vertical="center" wrapText="1"/>
    </xf>
    <xf numFmtId="0" fontId="13" fillId="0" borderId="12" xfId="0" applyFont="1" applyBorder="1"/>
    <xf numFmtId="0" fontId="23" fillId="0" borderId="12" xfId="0" applyFont="1" applyBorder="1"/>
    <xf numFmtId="179" fontId="23" fillId="0" borderId="12" xfId="0" applyNumberFormat="1" applyFont="1" applyBorder="1"/>
    <xf numFmtId="0" fontId="13" fillId="0" borderId="0" xfId="0" applyFont="1" applyFill="1"/>
    <xf numFmtId="0" fontId="67" fillId="0" borderId="0" xfId="0" applyFont="1" applyBorder="1" applyAlignment="1">
      <alignment horizontal="center"/>
    </xf>
    <xf numFmtId="0" fontId="67" fillId="0" borderId="28" xfId="0" applyFont="1" applyBorder="1" applyAlignment="1">
      <alignment horizontal="center"/>
    </xf>
    <xf numFmtId="0" fontId="68" fillId="0" borderId="0" xfId="0" applyFont="1" applyAlignment="1">
      <alignment horizontal="right"/>
    </xf>
    <xf numFmtId="0" fontId="69" fillId="0" borderId="0" xfId="0" applyFont="1" applyAlignment="1">
      <alignment horizontal="right"/>
    </xf>
    <xf numFmtId="0" fontId="69" fillId="0" borderId="0" xfId="0" applyFont="1" applyAlignment="1">
      <alignment horizontal="center"/>
    </xf>
    <xf numFmtId="179" fontId="21" fillId="24" borderId="10" xfId="0" applyNumberFormat="1" applyFont="1" applyFill="1" applyBorder="1" applyAlignment="1">
      <alignment horizontal="center" vertical="center" wrapText="1"/>
    </xf>
    <xf numFmtId="0" fontId="13" fillId="0" borderId="44" xfId="0" applyFont="1" applyBorder="1" applyAlignment="1"/>
    <xf numFmtId="0" fontId="7" fillId="24" borderId="43" xfId="0" applyFont="1" applyFill="1" applyBorder="1" applyAlignment="1">
      <alignment vertical="top"/>
    </xf>
    <xf numFmtId="0" fontId="7" fillId="24" borderId="37" xfId="0" applyFont="1" applyFill="1" applyBorder="1" applyAlignment="1">
      <alignment vertical="top"/>
    </xf>
    <xf numFmtId="0" fontId="7" fillId="26" borderId="20" xfId="0" applyFont="1" applyFill="1" applyBorder="1" applyAlignment="1">
      <alignment vertical="top"/>
    </xf>
    <xf numFmtId="0" fontId="7" fillId="26" borderId="24" xfId="0" applyFont="1" applyFill="1" applyBorder="1" applyAlignment="1">
      <alignment vertical="top"/>
    </xf>
    <xf numFmtId="0" fontId="7" fillId="26" borderId="17" xfId="0" applyFont="1" applyFill="1" applyBorder="1" applyAlignment="1">
      <alignment vertical="top"/>
    </xf>
    <xf numFmtId="0" fontId="27" fillId="0" borderId="0" xfId="0" applyFont="1"/>
    <xf numFmtId="0" fontId="29" fillId="0" borderId="0" xfId="0" applyFont="1" applyAlignment="1">
      <alignment horizontal="right" vertical="center"/>
    </xf>
    <xf numFmtId="0" fontId="27" fillId="0" borderId="0" xfId="0" applyFont="1" applyAlignment="1">
      <alignment vertical="center"/>
    </xf>
    <xf numFmtId="0" fontId="27" fillId="0" borderId="0" xfId="38" quotePrefix="1" applyFont="1">
      <alignment vertical="center"/>
    </xf>
    <xf numFmtId="0" fontId="7" fillId="0" borderId="42" xfId="0" applyFont="1" applyBorder="1" applyAlignment="1">
      <alignment horizontal="center" vertical="top"/>
    </xf>
    <xf numFmtId="0" fontId="7" fillId="0" borderId="0" xfId="0" applyFont="1" applyBorder="1" applyAlignment="1">
      <alignment horizontal="left" vertical="top" wrapText="1"/>
    </xf>
    <xf numFmtId="176" fontId="22" fillId="0" borderId="46" xfId="0" applyNumberFormat="1" applyFont="1" applyBorder="1" applyAlignment="1">
      <alignment horizontal="right" vertical="top"/>
    </xf>
    <xf numFmtId="0" fontId="7" fillId="25" borderId="43" xfId="0" applyFont="1" applyFill="1" applyBorder="1" applyAlignment="1">
      <alignment horizontal="center" vertical="top"/>
    </xf>
    <xf numFmtId="0" fontId="7" fillId="25" borderId="21" xfId="34" applyFont="1" applyFill="1" applyBorder="1" applyAlignment="1" applyProtection="1">
      <alignment horizontal="left" vertical="top" wrapText="1"/>
    </xf>
    <xf numFmtId="0" fontId="7" fillId="0" borderId="43" xfId="0" applyFont="1" applyBorder="1" applyAlignment="1">
      <alignment horizontal="center" vertical="top"/>
    </xf>
    <xf numFmtId="0" fontId="7" fillId="0" borderId="21" xfId="34" applyFont="1" applyBorder="1" applyAlignment="1" applyProtection="1">
      <alignment horizontal="left" vertical="top" wrapText="1"/>
    </xf>
    <xf numFmtId="0" fontId="7" fillId="0" borderId="21" xfId="34" applyFont="1" applyFill="1" applyBorder="1" applyAlignment="1" applyProtection="1">
      <alignment horizontal="left" vertical="top" wrapText="1"/>
    </xf>
    <xf numFmtId="0" fontId="7" fillId="0" borderId="47" xfId="0" applyFont="1" applyBorder="1" applyAlignment="1">
      <alignment horizontal="center" vertical="top"/>
    </xf>
    <xf numFmtId="176" fontId="22" fillId="0" borderId="46" xfId="0" applyNumberFormat="1" applyFont="1" applyBorder="1" applyAlignment="1">
      <alignment horizontal="right" vertical="top" shrinkToFit="1"/>
    </xf>
    <xf numFmtId="176" fontId="22" fillId="0" borderId="49" xfId="0" applyNumberFormat="1" applyFont="1" applyBorder="1" applyAlignment="1">
      <alignment horizontal="right" vertical="top"/>
    </xf>
    <xf numFmtId="0" fontId="7" fillId="0" borderId="50" xfId="0" applyFont="1" applyBorder="1" applyAlignment="1">
      <alignment horizontal="left" vertical="top" wrapText="1"/>
    </xf>
    <xf numFmtId="0" fontId="7" fillId="25" borderId="51" xfId="0" applyFont="1" applyFill="1" applyBorder="1" applyAlignment="1">
      <alignment horizontal="center" vertical="top"/>
    </xf>
    <xf numFmtId="176" fontId="22" fillId="25" borderId="20" xfId="34" applyNumberFormat="1" applyFont="1" applyFill="1" applyBorder="1" applyAlignment="1" applyProtection="1">
      <alignment horizontal="right" vertical="top" shrinkToFit="1"/>
    </xf>
    <xf numFmtId="176" fontId="22" fillId="25" borderId="20" xfId="0" applyNumberFormat="1" applyFont="1" applyFill="1" applyBorder="1" applyAlignment="1">
      <alignment horizontal="right" vertical="top"/>
    </xf>
    <xf numFmtId="0" fontId="7" fillId="25" borderId="53" xfId="0" applyFont="1" applyFill="1" applyBorder="1" applyAlignment="1">
      <alignment horizontal="left" vertical="top" wrapText="1"/>
    </xf>
    <xf numFmtId="0" fontId="7" fillId="0" borderId="51" xfId="0" applyFont="1" applyBorder="1" applyAlignment="1">
      <alignment horizontal="center" vertical="top"/>
    </xf>
    <xf numFmtId="176" fontId="22" fillId="0" borderId="20" xfId="0" applyNumberFormat="1" applyFont="1" applyBorder="1" applyAlignment="1">
      <alignment horizontal="right" vertical="top"/>
    </xf>
    <xf numFmtId="0" fontId="7" fillId="0" borderId="53" xfId="0" applyFont="1" applyBorder="1" applyAlignment="1">
      <alignment horizontal="left" vertical="top" wrapText="1"/>
    </xf>
    <xf numFmtId="0" fontId="7" fillId="0" borderId="51" xfId="0" applyFont="1" applyFill="1" applyBorder="1" applyAlignment="1">
      <alignment horizontal="center" vertical="top"/>
    </xf>
    <xf numFmtId="0" fontId="7" fillId="25" borderId="54" xfId="0" applyFont="1" applyFill="1" applyBorder="1" applyAlignment="1">
      <alignment horizontal="center" vertical="top"/>
    </xf>
    <xf numFmtId="176" fontId="22" fillId="25" borderId="24" xfId="34" applyNumberFormat="1" applyFont="1" applyFill="1" applyBorder="1" applyAlignment="1" applyProtection="1">
      <alignment horizontal="right" vertical="top" shrinkToFit="1"/>
    </xf>
    <xf numFmtId="176" fontId="22" fillId="25" borderId="24" xfId="0" applyNumberFormat="1" applyFont="1" applyFill="1" applyBorder="1" applyAlignment="1">
      <alignment horizontal="right" vertical="top"/>
    </xf>
    <xf numFmtId="0" fontId="7" fillId="25" borderId="55" xfId="0" applyFont="1" applyFill="1" applyBorder="1" applyAlignment="1">
      <alignment horizontal="left" vertical="top" wrapText="1"/>
    </xf>
    <xf numFmtId="0" fontId="7" fillId="0" borderId="0" xfId="0" applyFont="1" applyAlignment="1">
      <alignment horizontal="left" vertical="top" wrapText="1"/>
    </xf>
    <xf numFmtId="180" fontId="7" fillId="0" borderId="48" xfId="0" applyNumberFormat="1" applyFont="1" applyBorder="1" applyAlignment="1">
      <alignment horizontal="center" vertical="top"/>
    </xf>
    <xf numFmtId="180" fontId="7" fillId="0" borderId="47" xfId="0" applyNumberFormat="1" applyFont="1" applyBorder="1" applyAlignment="1">
      <alignment horizontal="center" vertical="top"/>
    </xf>
    <xf numFmtId="176" fontId="22" fillId="0" borderId="42" xfId="0" applyNumberFormat="1" applyFont="1" applyBorder="1" applyAlignment="1">
      <alignment horizontal="right" vertical="top"/>
    </xf>
    <xf numFmtId="180" fontId="7" fillId="25" borderId="51" xfId="0" applyNumberFormat="1" applyFont="1" applyFill="1" applyBorder="1" applyAlignment="1">
      <alignment horizontal="center" vertical="top"/>
    </xf>
    <xf numFmtId="176" fontId="22" fillId="25" borderId="43" xfId="0" applyNumberFormat="1" applyFont="1" applyFill="1" applyBorder="1" applyAlignment="1">
      <alignment horizontal="right" vertical="top"/>
    </xf>
    <xf numFmtId="180" fontId="7" fillId="0" borderId="51" xfId="0" applyNumberFormat="1" applyFont="1" applyBorder="1" applyAlignment="1">
      <alignment horizontal="center" vertical="top"/>
    </xf>
    <xf numFmtId="176" fontId="22" fillId="0" borderId="43" xfId="0" applyNumberFormat="1" applyFont="1" applyBorder="1" applyAlignment="1">
      <alignment horizontal="right" vertical="top"/>
    </xf>
    <xf numFmtId="0" fontId="7" fillId="0" borderId="56" xfId="34" applyFont="1" applyBorder="1" applyAlignment="1" applyProtection="1">
      <alignment horizontal="left" vertical="top" wrapText="1"/>
    </xf>
    <xf numFmtId="0" fontId="7" fillId="25" borderId="56" xfId="34" applyFont="1" applyFill="1" applyBorder="1" applyAlignment="1" applyProtection="1">
      <alignment horizontal="left" vertical="top" wrapText="1"/>
    </xf>
    <xf numFmtId="0" fontId="7" fillId="0" borderId="56" xfId="34" applyFont="1" applyFill="1" applyBorder="1" applyAlignment="1" applyProtection="1">
      <alignment horizontal="left" vertical="top" wrapText="1"/>
    </xf>
    <xf numFmtId="0" fontId="7" fillId="25" borderId="37" xfId="0" applyFont="1" applyFill="1" applyBorder="1" applyAlignment="1">
      <alignment horizontal="center" vertical="top"/>
    </xf>
    <xf numFmtId="0" fontId="7" fillId="25" borderId="57" xfId="34" applyFont="1" applyFill="1" applyBorder="1" applyAlignment="1" applyProtection="1">
      <alignment horizontal="left" vertical="top" wrapText="1"/>
    </xf>
    <xf numFmtId="180" fontId="7" fillId="25" borderId="54" xfId="0" applyNumberFormat="1" applyFont="1" applyFill="1" applyBorder="1" applyAlignment="1">
      <alignment horizontal="center" vertical="top"/>
    </xf>
    <xf numFmtId="176" fontId="22" fillId="25" borderId="37" xfId="0" applyNumberFormat="1" applyFont="1" applyFill="1" applyBorder="1" applyAlignment="1">
      <alignment horizontal="right" vertical="top"/>
    </xf>
    <xf numFmtId="0" fontId="7" fillId="0" borderId="22" xfId="0" applyFont="1" applyBorder="1" applyAlignment="1">
      <alignment horizontal="left" vertical="top" wrapText="1"/>
    </xf>
    <xf numFmtId="0" fontId="7" fillId="0" borderId="19" xfId="0" applyFont="1" applyBorder="1" applyAlignment="1">
      <alignment horizontal="left" vertical="top" shrinkToFit="1"/>
    </xf>
    <xf numFmtId="180" fontId="7" fillId="0" borderId="58" xfId="0" applyNumberFormat="1" applyFont="1" applyBorder="1" applyAlignment="1">
      <alignment horizontal="center" vertical="top"/>
    </xf>
    <xf numFmtId="0" fontId="7" fillId="25" borderId="56" xfId="34" applyFont="1" applyFill="1" applyBorder="1" applyAlignment="1" applyProtection="1">
      <alignment horizontal="left" vertical="top" shrinkToFit="1"/>
    </xf>
    <xf numFmtId="180" fontId="7" fillId="25" borderId="52" xfId="0" applyNumberFormat="1" applyFont="1" applyFill="1" applyBorder="1" applyAlignment="1">
      <alignment horizontal="center" vertical="top"/>
    </xf>
    <xf numFmtId="0" fontId="7" fillId="0" borderId="56" xfId="34" applyFont="1" applyBorder="1" applyAlignment="1" applyProtection="1">
      <alignment horizontal="left" vertical="top" shrinkToFit="1"/>
    </xf>
    <xf numFmtId="180" fontId="7" fillId="0" borderId="52" xfId="0" applyNumberFormat="1" applyFont="1" applyBorder="1" applyAlignment="1">
      <alignment horizontal="center" vertical="top"/>
    </xf>
    <xf numFmtId="0" fontId="7" fillId="25" borderId="56" xfId="34" applyFont="1" applyFill="1" applyBorder="1" applyAlignment="1" applyProtection="1">
      <alignment horizontal="left" vertical="top" shrinkToFit="1"/>
      <protection locked="0"/>
    </xf>
    <xf numFmtId="0" fontId="7" fillId="0" borderId="56" xfId="34" applyFont="1" applyFill="1" applyBorder="1" applyAlignment="1" applyProtection="1">
      <alignment horizontal="left" vertical="top" shrinkToFit="1"/>
    </xf>
    <xf numFmtId="0" fontId="7" fillId="25" borderId="57" xfId="34" applyFont="1" applyFill="1" applyBorder="1" applyAlignment="1" applyProtection="1">
      <alignment horizontal="left" vertical="top" shrinkToFit="1"/>
    </xf>
    <xf numFmtId="180" fontId="7" fillId="25" borderId="36" xfId="0" applyNumberFormat="1" applyFont="1" applyFill="1" applyBorder="1" applyAlignment="1">
      <alignment horizontal="center" vertical="top"/>
    </xf>
    <xf numFmtId="0" fontId="7" fillId="0" borderId="48" xfId="0" applyNumberFormat="1" applyFont="1" applyBorder="1" applyAlignment="1">
      <alignment horizontal="center" vertical="top"/>
    </xf>
    <xf numFmtId="0" fontId="7" fillId="25" borderId="51" xfId="0" applyNumberFormat="1" applyFont="1" applyFill="1" applyBorder="1" applyAlignment="1">
      <alignment horizontal="center" vertical="top"/>
    </xf>
    <xf numFmtId="0" fontId="7" fillId="0" borderId="51" xfId="0" applyNumberFormat="1" applyFont="1" applyBorder="1" applyAlignment="1">
      <alignment horizontal="center" vertical="top"/>
    </xf>
    <xf numFmtId="0" fontId="7" fillId="25" borderId="54" xfId="0" applyNumberFormat="1" applyFont="1" applyFill="1" applyBorder="1" applyAlignment="1">
      <alignment horizontal="center" vertical="top"/>
    </xf>
    <xf numFmtId="178" fontId="7" fillId="0" borderId="42" xfId="0" applyNumberFormat="1" applyFont="1" applyBorder="1" applyAlignment="1">
      <alignment horizontal="right" vertical="top"/>
    </xf>
    <xf numFmtId="178" fontId="7" fillId="0" borderId="49" xfId="0" applyNumberFormat="1" applyFont="1" applyBorder="1" applyAlignment="1">
      <alignment horizontal="right" vertical="top"/>
    </xf>
    <xf numFmtId="178" fontId="7" fillId="25" borderId="43" xfId="0" applyNumberFormat="1" applyFont="1" applyFill="1" applyBorder="1" applyAlignment="1">
      <alignment horizontal="right" vertical="top"/>
    </xf>
    <xf numFmtId="178" fontId="7" fillId="25" borderId="20" xfId="0" applyNumberFormat="1" applyFont="1" applyFill="1" applyBorder="1" applyAlignment="1">
      <alignment horizontal="right" vertical="top"/>
    </xf>
    <xf numFmtId="178" fontId="7" fillId="0" borderId="43" xfId="0" applyNumberFormat="1" applyFont="1" applyBorder="1" applyAlignment="1">
      <alignment horizontal="right" vertical="top"/>
    </xf>
    <xf numFmtId="178" fontId="7" fillId="0" borderId="20" xfId="0" applyNumberFormat="1" applyFont="1" applyBorder="1" applyAlignment="1">
      <alignment horizontal="right" vertical="top"/>
    </xf>
    <xf numFmtId="178" fontId="7" fillId="25" borderId="37" xfId="0" applyNumberFormat="1" applyFont="1" applyFill="1" applyBorder="1" applyAlignment="1">
      <alignment horizontal="right" vertical="top"/>
    </xf>
    <xf numFmtId="178" fontId="7" fillId="25" borderId="24" xfId="0" applyNumberFormat="1" applyFont="1" applyFill="1" applyBorder="1" applyAlignment="1">
      <alignment horizontal="right" vertical="top"/>
    </xf>
    <xf numFmtId="176" fontId="22" fillId="0" borderId="51" xfId="0" applyNumberFormat="1" applyFont="1" applyBorder="1" applyAlignment="1">
      <alignment horizontal="right" vertical="top"/>
    </xf>
    <xf numFmtId="176" fontId="22" fillId="0" borderId="28" xfId="0" applyNumberFormat="1" applyFont="1" applyBorder="1" applyAlignment="1">
      <alignment horizontal="right" vertical="top"/>
    </xf>
    <xf numFmtId="176" fontId="22" fillId="0" borderId="27" xfId="0" applyNumberFormat="1" applyFont="1" applyBorder="1" applyAlignment="1">
      <alignment horizontal="right" vertical="top"/>
    </xf>
    <xf numFmtId="176" fontId="22" fillId="25" borderId="51" xfId="0" applyNumberFormat="1" applyFont="1" applyFill="1" applyBorder="1" applyAlignment="1">
      <alignment horizontal="right" vertical="top"/>
    </xf>
    <xf numFmtId="176" fontId="22" fillId="25" borderId="59" xfId="0" applyNumberFormat="1" applyFont="1" applyFill="1" applyBorder="1" applyAlignment="1">
      <alignment horizontal="right" vertical="top"/>
    </xf>
    <xf numFmtId="176" fontId="22" fillId="0" borderId="59" xfId="0" applyNumberFormat="1" applyFont="1" applyBorder="1" applyAlignment="1">
      <alignment horizontal="right" vertical="top"/>
    </xf>
    <xf numFmtId="0" fontId="7" fillId="25" borderId="60" xfId="0" applyFont="1" applyFill="1" applyBorder="1" applyAlignment="1">
      <alignment horizontal="center" vertical="top"/>
    </xf>
    <xf numFmtId="0" fontId="7" fillId="25" borderId="30" xfId="34" applyFont="1" applyFill="1" applyBorder="1" applyAlignment="1" applyProtection="1">
      <alignment horizontal="left" vertical="top" wrapText="1"/>
    </xf>
    <xf numFmtId="180" fontId="7" fillId="25" borderId="61" xfId="0" applyNumberFormat="1" applyFont="1" applyFill="1" applyBorder="1" applyAlignment="1">
      <alignment horizontal="center" vertical="top"/>
    </xf>
    <xf numFmtId="176" fontId="22" fillId="25" borderId="60" xfId="0" applyNumberFormat="1" applyFont="1" applyFill="1" applyBorder="1" applyAlignment="1">
      <alignment horizontal="right" vertical="top"/>
    </xf>
    <xf numFmtId="176" fontId="22" fillId="25" borderId="62" xfId="0" applyNumberFormat="1" applyFont="1" applyFill="1" applyBorder="1" applyAlignment="1">
      <alignment horizontal="right" vertical="top"/>
    </xf>
    <xf numFmtId="176" fontId="22" fillId="25" borderId="63" xfId="0" applyNumberFormat="1" applyFont="1" applyFill="1" applyBorder="1" applyAlignment="1">
      <alignment horizontal="right" vertical="top"/>
    </xf>
    <xf numFmtId="176" fontId="22" fillId="25" borderId="31" xfId="0" applyNumberFormat="1" applyFont="1" applyFill="1" applyBorder="1" applyAlignment="1">
      <alignment horizontal="right" vertical="top"/>
    </xf>
    <xf numFmtId="176" fontId="22" fillId="0" borderId="64" xfId="0" applyNumberFormat="1" applyFont="1" applyBorder="1" applyAlignment="1">
      <alignment horizontal="right" vertical="top"/>
    </xf>
    <xf numFmtId="176" fontId="22" fillId="0" borderId="65" xfId="0" applyNumberFormat="1" applyFont="1" applyBorder="1" applyAlignment="1">
      <alignment horizontal="right" vertical="top"/>
    </xf>
    <xf numFmtId="176" fontId="22" fillId="0" borderId="25" xfId="0" applyNumberFormat="1" applyFont="1" applyBorder="1" applyAlignment="1">
      <alignment horizontal="right" vertical="top"/>
    </xf>
    <xf numFmtId="176" fontId="22" fillId="0" borderId="66" xfId="0" applyNumberFormat="1" applyFont="1" applyBorder="1" applyAlignment="1">
      <alignment horizontal="right" vertical="top"/>
    </xf>
    <xf numFmtId="0" fontId="7" fillId="25" borderId="67" xfId="0" applyFont="1" applyFill="1" applyBorder="1" applyAlignment="1">
      <alignment horizontal="left" vertical="top" wrapText="1"/>
    </xf>
    <xf numFmtId="176" fontId="7" fillId="0" borderId="18" xfId="0" applyNumberFormat="1" applyFont="1" applyBorder="1" applyAlignment="1">
      <alignment horizontal="right" vertical="top"/>
    </xf>
    <xf numFmtId="176" fontId="7" fillId="0" borderId="22" xfId="0" applyNumberFormat="1" applyFont="1" applyBorder="1" applyAlignment="1">
      <alignment horizontal="right" vertical="top"/>
    </xf>
    <xf numFmtId="176" fontId="7" fillId="0" borderId="29" xfId="0" applyNumberFormat="1" applyFont="1" applyBorder="1" applyAlignment="1">
      <alignment horizontal="right" vertical="top"/>
    </xf>
    <xf numFmtId="176" fontId="7" fillId="25" borderId="43" xfId="0" applyNumberFormat="1" applyFont="1" applyFill="1" applyBorder="1" applyAlignment="1">
      <alignment horizontal="right" vertical="top"/>
    </xf>
    <xf numFmtId="176" fontId="7" fillId="25" borderId="21" xfId="0" applyNumberFormat="1" applyFont="1" applyFill="1" applyBorder="1" applyAlignment="1">
      <alignment horizontal="right" vertical="top"/>
    </xf>
    <xf numFmtId="176" fontId="7" fillId="25" borderId="68" xfId="0" applyNumberFormat="1" applyFont="1" applyFill="1" applyBorder="1" applyAlignment="1">
      <alignment horizontal="right" vertical="top"/>
    </xf>
    <xf numFmtId="176" fontId="7" fillId="0" borderId="43" xfId="0" applyNumberFormat="1" applyFont="1" applyBorder="1" applyAlignment="1">
      <alignment horizontal="right" vertical="top"/>
    </xf>
    <xf numFmtId="176" fontId="7" fillId="0" borderId="21" xfId="0" applyNumberFormat="1" applyFont="1" applyBorder="1" applyAlignment="1">
      <alignment horizontal="right" vertical="top"/>
    </xf>
    <xf numFmtId="176" fontId="7" fillId="0" borderId="68" xfId="0" applyNumberFormat="1" applyFont="1" applyBorder="1" applyAlignment="1">
      <alignment horizontal="right" vertical="top"/>
    </xf>
    <xf numFmtId="176" fontId="7" fillId="25" borderId="37" xfId="0" applyNumberFormat="1" applyFont="1" applyFill="1" applyBorder="1" applyAlignment="1">
      <alignment horizontal="right" vertical="top"/>
    </xf>
    <xf numFmtId="176" fontId="7" fillId="25" borderId="23" xfId="0" applyNumberFormat="1" applyFont="1" applyFill="1" applyBorder="1" applyAlignment="1">
      <alignment horizontal="right" vertical="top"/>
    </xf>
    <xf numFmtId="176" fontId="7" fillId="25" borderId="69" xfId="0" applyNumberFormat="1" applyFont="1" applyFill="1" applyBorder="1" applyAlignment="1">
      <alignment horizontal="right" vertical="top"/>
    </xf>
    <xf numFmtId="0" fontId="7" fillId="0" borderId="47" xfId="0" applyFont="1" applyBorder="1" applyAlignment="1">
      <alignment horizontal="left" vertical="top" wrapText="1"/>
    </xf>
    <xf numFmtId="176" fontId="22" fillId="0" borderId="47" xfId="0" applyNumberFormat="1" applyFont="1" applyBorder="1" applyAlignment="1">
      <alignment horizontal="right" vertical="top" shrinkToFit="1"/>
    </xf>
    <xf numFmtId="0" fontId="7" fillId="25" borderId="51" xfId="34" applyFont="1" applyFill="1" applyBorder="1" applyAlignment="1" applyProtection="1">
      <alignment horizontal="left" vertical="top" wrapText="1"/>
    </xf>
    <xf numFmtId="176" fontId="22" fillId="25" borderId="51" xfId="34" applyNumberFormat="1" applyFont="1" applyFill="1" applyBorder="1" applyAlignment="1" applyProtection="1">
      <alignment horizontal="right" vertical="top" shrinkToFit="1"/>
    </xf>
    <xf numFmtId="0" fontId="7" fillId="0" borderId="51" xfId="34" applyFont="1" applyBorder="1" applyAlignment="1" applyProtection="1">
      <alignment horizontal="left" vertical="top" wrapText="1"/>
    </xf>
    <xf numFmtId="176" fontId="22" fillId="0" borderId="51" xfId="34" applyNumberFormat="1" applyFont="1" applyBorder="1" applyAlignment="1" applyProtection="1">
      <alignment horizontal="right" vertical="top" shrinkToFit="1"/>
    </xf>
    <xf numFmtId="0" fontId="7" fillId="0" borderId="51" xfId="34" applyFont="1" applyFill="1" applyBorder="1" applyAlignment="1" applyProtection="1">
      <alignment horizontal="left" vertical="top" wrapText="1"/>
    </xf>
    <xf numFmtId="176" fontId="22" fillId="0" borderId="51" xfId="34" applyNumberFormat="1" applyFont="1" applyFill="1" applyBorder="1" applyAlignment="1" applyProtection="1">
      <alignment horizontal="right" vertical="top" shrinkToFit="1"/>
    </xf>
    <xf numFmtId="0" fontId="7" fillId="25" borderId="54" xfId="34" applyFont="1" applyFill="1" applyBorder="1" applyAlignment="1" applyProtection="1">
      <alignment horizontal="left" vertical="top" wrapText="1"/>
    </xf>
    <xf numFmtId="176" fontId="22" fillId="25" borderId="54" xfId="34" applyNumberFormat="1" applyFont="1" applyFill="1" applyBorder="1" applyAlignment="1" applyProtection="1">
      <alignment horizontal="right" vertical="top" shrinkToFit="1"/>
    </xf>
    <xf numFmtId="180" fontId="14" fillId="0" borderId="0" xfId="0" applyNumberFormat="1" applyFont="1" applyFill="1" applyAlignment="1">
      <alignment horizontal="center"/>
    </xf>
    <xf numFmtId="2" fontId="7" fillId="26" borderId="24" xfId="0" applyNumberFormat="1" applyFont="1" applyFill="1" applyBorder="1" applyAlignment="1">
      <alignment vertical="top"/>
    </xf>
    <xf numFmtId="0" fontId="66" fillId="0" borderId="0" xfId="0" applyFont="1" applyBorder="1" applyAlignment="1">
      <alignment horizontal="left" wrapText="1"/>
    </xf>
    <xf numFmtId="0" fontId="66" fillId="0" borderId="28" xfId="0" applyFont="1" applyBorder="1" applyAlignment="1">
      <alignment horizontal="left" wrapText="1"/>
    </xf>
    <xf numFmtId="0" fontId="21" fillId="24" borderId="13" xfId="0" applyFont="1" applyFill="1" applyBorder="1" applyAlignment="1">
      <alignment horizontal="center" shrinkToFit="1"/>
    </xf>
    <xf numFmtId="176" fontId="22" fillId="25" borderId="56" xfId="0" applyNumberFormat="1" applyFont="1" applyFill="1" applyBorder="1" applyAlignment="1">
      <alignment horizontal="right" vertical="top"/>
    </xf>
    <xf numFmtId="176" fontId="22" fillId="0" borderId="56" xfId="0" applyNumberFormat="1" applyFont="1" applyBorder="1" applyAlignment="1">
      <alignment horizontal="right" vertical="top"/>
    </xf>
    <xf numFmtId="0" fontId="25" fillId="28" borderId="31" xfId="0" applyFont="1" applyFill="1" applyBorder="1"/>
    <xf numFmtId="0" fontId="25" fillId="28" borderId="0" xfId="0" applyFont="1" applyFill="1" applyBorder="1"/>
    <xf numFmtId="0" fontId="39" fillId="28" borderId="28" xfId="0" applyFont="1" applyFill="1" applyBorder="1"/>
    <xf numFmtId="0" fontId="7" fillId="24" borderId="31" xfId="0" applyFont="1" applyFill="1" applyBorder="1"/>
    <xf numFmtId="0" fontId="7" fillId="24" borderId="0" xfId="0" applyFont="1" applyFill="1" applyBorder="1"/>
    <xf numFmtId="0" fontId="7" fillId="24" borderId="28" xfId="0" applyFont="1" applyFill="1" applyBorder="1"/>
    <xf numFmtId="0" fontId="5" fillId="0" borderId="0" xfId="0" applyFont="1" applyBorder="1" applyAlignment="1">
      <alignment horizontal="left" shrinkToFit="1"/>
    </xf>
    <xf numFmtId="0" fontId="5" fillId="0" borderId="26" xfId="0" applyFont="1" applyBorder="1" applyAlignment="1">
      <alignment horizontal="left" shrinkToFit="1"/>
    </xf>
    <xf numFmtId="0" fontId="10" fillId="0" borderId="0" xfId="0" applyNumberFormat="1" applyFont="1" applyFill="1" applyBorder="1" applyAlignment="1">
      <alignment horizontal="right"/>
    </xf>
    <xf numFmtId="40" fontId="18" fillId="0" borderId="0" xfId="0" applyNumberFormat="1" applyFont="1" applyFill="1" applyBorder="1" applyAlignment="1">
      <alignment horizontal="right" shrinkToFit="1"/>
    </xf>
    <xf numFmtId="176" fontId="21" fillId="0" borderId="0" xfId="0" applyNumberFormat="1" applyFont="1" applyFill="1" applyBorder="1"/>
    <xf numFmtId="40" fontId="73" fillId="0" borderId="0" xfId="0" applyNumberFormat="1" applyFont="1" applyFill="1" applyBorder="1" applyAlignment="1">
      <alignment horizontal="right" shrinkToFit="1"/>
    </xf>
    <xf numFmtId="0" fontId="12" fillId="30" borderId="0" xfId="0" applyNumberFormat="1" applyFont="1" applyFill="1" applyBorder="1" applyAlignment="1">
      <alignment horizontal="right"/>
    </xf>
    <xf numFmtId="0" fontId="12" fillId="26" borderId="0" xfId="0" applyNumberFormat="1" applyFont="1" applyFill="1" applyBorder="1" applyAlignment="1">
      <alignment horizontal="right"/>
    </xf>
    <xf numFmtId="176" fontId="17" fillId="0" borderId="12" xfId="0" applyNumberFormat="1" applyFont="1" applyFill="1" applyBorder="1" applyAlignment="1">
      <alignment shrinkToFit="1"/>
    </xf>
    <xf numFmtId="0" fontId="6" fillId="0" borderId="26" xfId="0" applyFont="1" applyBorder="1" applyAlignment="1">
      <alignment shrinkToFit="1"/>
    </xf>
    <xf numFmtId="0" fontId="76" fillId="0" borderId="0" xfId="0" applyFont="1" applyBorder="1" applyAlignment="1">
      <alignment shrinkToFit="1"/>
    </xf>
    <xf numFmtId="0" fontId="5" fillId="0" borderId="0" xfId="0" applyFont="1" applyBorder="1" applyAlignment="1">
      <alignment shrinkToFit="1"/>
    </xf>
    <xf numFmtId="0" fontId="5" fillId="0" borderId="26" xfId="0" applyFont="1" applyBorder="1" applyAlignment="1">
      <alignment shrinkToFit="1"/>
    </xf>
    <xf numFmtId="0" fontId="74" fillId="0" borderId="0" xfId="0" applyFont="1" applyFill="1" applyBorder="1" applyAlignment="1">
      <alignment shrinkToFit="1"/>
    </xf>
    <xf numFmtId="0" fontId="74" fillId="0" borderId="26" xfId="0" applyFont="1" applyFill="1" applyBorder="1" applyAlignment="1">
      <alignment shrinkToFit="1"/>
    </xf>
    <xf numFmtId="0" fontId="7" fillId="30" borderId="0" xfId="0" applyFont="1" applyFill="1" applyBorder="1"/>
    <xf numFmtId="0" fontId="7" fillId="26" borderId="0" xfId="0" applyFont="1" applyFill="1" applyBorder="1"/>
    <xf numFmtId="0" fontId="10" fillId="24" borderId="0" xfId="0" applyNumberFormat="1" applyFont="1" applyFill="1" applyBorder="1" applyAlignment="1">
      <alignment horizontal="right" shrinkToFit="1"/>
    </xf>
    <xf numFmtId="177" fontId="10" fillId="24" borderId="28" xfId="0" applyNumberFormat="1" applyFont="1" applyFill="1" applyBorder="1" applyAlignment="1"/>
    <xf numFmtId="182" fontId="5" fillId="24" borderId="0" xfId="0" applyNumberFormat="1" applyFont="1" applyFill="1" applyBorder="1" applyAlignment="1">
      <alignment horizontal="right"/>
    </xf>
    <xf numFmtId="176" fontId="7" fillId="25" borderId="59" xfId="0" applyNumberFormat="1" applyFont="1" applyFill="1" applyBorder="1" applyAlignment="1">
      <alignment horizontal="right" vertical="top"/>
    </xf>
    <xf numFmtId="0" fontId="8" fillId="24" borderId="15" xfId="0" applyFont="1" applyFill="1" applyBorder="1" applyAlignment="1">
      <alignment horizontal="center" vertical="center" wrapText="1"/>
    </xf>
    <xf numFmtId="0" fontId="8" fillId="24" borderId="70" xfId="0" applyFont="1" applyFill="1" applyBorder="1" applyAlignment="1">
      <alignment horizontal="center" vertical="center" wrapText="1"/>
    </xf>
    <xf numFmtId="0" fontId="7" fillId="25" borderId="21" xfId="34" applyFont="1" applyFill="1" applyBorder="1" applyAlignment="1" applyProtection="1">
      <alignment horizontal="left" vertical="top" shrinkToFit="1"/>
    </xf>
    <xf numFmtId="0" fontId="7" fillId="0" borderId="21" xfId="34" applyFont="1" applyBorder="1" applyAlignment="1" applyProtection="1">
      <alignment horizontal="left" vertical="top" shrinkToFit="1"/>
    </xf>
    <xf numFmtId="0" fontId="7" fillId="25" borderId="21" xfId="34" applyFont="1" applyFill="1" applyBorder="1" applyAlignment="1" applyProtection="1">
      <alignment horizontal="left" vertical="top" shrinkToFit="1"/>
      <protection locked="0"/>
    </xf>
    <xf numFmtId="0" fontId="7" fillId="0" borderId="21" xfId="34" applyFont="1" applyFill="1" applyBorder="1" applyAlignment="1" applyProtection="1">
      <alignment horizontal="left" vertical="top" shrinkToFit="1"/>
    </xf>
    <xf numFmtId="0" fontId="7" fillId="25" borderId="23" xfId="34" applyFont="1" applyFill="1" applyBorder="1" applyAlignment="1" applyProtection="1">
      <alignment horizontal="left" vertical="top" wrapText="1"/>
    </xf>
    <xf numFmtId="176" fontId="22" fillId="25" borderId="19" xfId="34" applyNumberFormat="1" applyFont="1" applyFill="1" applyBorder="1" applyAlignment="1" applyProtection="1">
      <alignment horizontal="right" vertical="top" shrinkToFit="1"/>
    </xf>
    <xf numFmtId="179" fontId="21" fillId="24" borderId="71" xfId="0" applyNumberFormat="1" applyFont="1" applyFill="1" applyBorder="1" applyAlignment="1">
      <alignment horizontal="center" vertical="center" wrapText="1"/>
    </xf>
    <xf numFmtId="179" fontId="21" fillId="24" borderId="17" xfId="0" applyNumberFormat="1" applyFont="1" applyFill="1" applyBorder="1" applyAlignment="1">
      <alignment horizontal="center" vertical="center" wrapText="1"/>
    </xf>
    <xf numFmtId="176" fontId="22" fillId="25" borderId="49" xfId="0" applyNumberFormat="1" applyFont="1" applyFill="1" applyBorder="1" applyAlignment="1">
      <alignment horizontal="right" vertical="top"/>
    </xf>
    <xf numFmtId="176" fontId="22" fillId="25" borderId="72" xfId="0" applyNumberFormat="1" applyFont="1" applyFill="1" applyBorder="1" applyAlignment="1">
      <alignment horizontal="right" vertical="top"/>
    </xf>
    <xf numFmtId="0" fontId="8" fillId="24" borderId="71" xfId="0" applyFont="1" applyFill="1" applyBorder="1" applyAlignment="1">
      <alignment horizontal="center"/>
    </xf>
    <xf numFmtId="0" fontId="8" fillId="24" borderId="70" xfId="0" applyFont="1" applyFill="1" applyBorder="1" applyAlignment="1">
      <alignment horizontal="center"/>
    </xf>
    <xf numFmtId="176" fontId="7" fillId="0" borderId="73" xfId="0" applyNumberFormat="1" applyFont="1" applyBorder="1" applyAlignment="1">
      <alignment horizontal="right" vertical="top"/>
    </xf>
    <xf numFmtId="0" fontId="7" fillId="0" borderId="74" xfId="0" applyFont="1" applyBorder="1" applyAlignment="1">
      <alignment horizontal="left" vertical="top" shrinkToFit="1"/>
    </xf>
    <xf numFmtId="0" fontId="8" fillId="24" borderId="17" xfId="0" applyFont="1" applyFill="1" applyBorder="1" applyAlignment="1">
      <alignment horizontal="center"/>
    </xf>
    <xf numFmtId="0" fontId="29" fillId="0" borderId="0" xfId="0" applyFont="1" applyAlignment="1">
      <alignment vertical="center"/>
    </xf>
    <xf numFmtId="0" fontId="29" fillId="0" borderId="0" xfId="0" applyFont="1"/>
    <xf numFmtId="0" fontId="29" fillId="0" borderId="0" xfId="39" applyFont="1"/>
    <xf numFmtId="0" fontId="78" fillId="0" borderId="0" xfId="39" applyFont="1" applyBorder="1"/>
    <xf numFmtId="0" fontId="8" fillId="0" borderId="0" xfId="0" applyFont="1"/>
    <xf numFmtId="0" fontId="25" fillId="0" borderId="21" xfId="0" applyFont="1" applyBorder="1" applyAlignment="1">
      <alignment horizontal="center"/>
    </xf>
    <xf numFmtId="49" fontId="79" fillId="0" borderId="21" xfId="0" applyNumberFormat="1" applyFont="1" applyBorder="1" applyAlignment="1">
      <alignment horizontal="center" vertical="center"/>
    </xf>
    <xf numFmtId="0" fontId="80" fillId="0" borderId="0" xfId="0" applyFont="1"/>
    <xf numFmtId="176" fontId="22" fillId="25" borderId="46" xfId="0" applyNumberFormat="1" applyFont="1" applyFill="1" applyBorder="1" applyAlignment="1">
      <alignment horizontal="right" vertical="top"/>
    </xf>
    <xf numFmtId="176" fontId="22" fillId="25" borderId="45" xfId="0" applyNumberFormat="1" applyFont="1" applyFill="1" applyBorder="1" applyAlignment="1">
      <alignment horizontal="right" vertical="top"/>
    </xf>
    <xf numFmtId="0" fontId="21" fillId="24" borderId="13" xfId="0" applyFont="1" applyFill="1" applyBorder="1" applyAlignment="1">
      <alignment horizontal="center" vertical="center" wrapText="1"/>
    </xf>
    <xf numFmtId="179" fontId="21" fillId="24" borderId="13" xfId="0" applyNumberFormat="1" applyFont="1" applyFill="1" applyBorder="1" applyAlignment="1">
      <alignment horizontal="center" vertical="center" wrapText="1"/>
    </xf>
    <xf numFmtId="176" fontId="22" fillId="25" borderId="27" xfId="0" applyNumberFormat="1" applyFont="1" applyFill="1" applyBorder="1" applyAlignment="1">
      <alignment horizontal="right" vertical="top"/>
    </xf>
    <xf numFmtId="176" fontId="22" fillId="25" borderId="75" xfId="0" applyNumberFormat="1" applyFont="1" applyFill="1" applyBorder="1" applyAlignment="1">
      <alignment horizontal="right" vertical="top"/>
    </xf>
    <xf numFmtId="176" fontId="13" fillId="0" borderId="0" xfId="0" applyNumberFormat="1" applyFont="1"/>
    <xf numFmtId="0" fontId="13" fillId="0" borderId="0" xfId="0" applyFont="1" applyAlignment="1">
      <alignment horizontal="right" vertical="center"/>
    </xf>
    <xf numFmtId="0" fontId="8" fillId="24" borderId="43" xfId="0" applyFont="1" applyFill="1" applyBorder="1" applyAlignment="1">
      <alignment vertical="top"/>
    </xf>
    <xf numFmtId="0" fontId="8" fillId="24" borderId="37" xfId="0" applyFont="1" applyFill="1" applyBorder="1" applyAlignment="1">
      <alignment vertical="top"/>
    </xf>
    <xf numFmtId="182" fontId="5" fillId="24" borderId="71" xfId="0" applyNumberFormat="1" applyFont="1" applyFill="1" applyBorder="1"/>
    <xf numFmtId="0" fontId="21" fillId="24" borderId="17" xfId="0" applyFont="1" applyFill="1" applyBorder="1" applyAlignment="1">
      <alignment horizontal="center" vertical="center" wrapText="1"/>
    </xf>
    <xf numFmtId="0" fontId="8" fillId="24" borderId="78" xfId="0" applyFont="1" applyFill="1" applyBorder="1" applyAlignment="1">
      <alignment vertical="top"/>
    </xf>
    <xf numFmtId="9" fontId="7" fillId="26" borderId="41" xfId="0" applyNumberFormat="1" applyFont="1" applyFill="1" applyBorder="1" applyAlignment="1">
      <alignment vertical="top"/>
    </xf>
    <xf numFmtId="9" fontId="7" fillId="26" borderId="24" xfId="0" applyNumberFormat="1" applyFont="1" applyFill="1" applyBorder="1" applyAlignment="1">
      <alignment vertical="top"/>
    </xf>
    <xf numFmtId="38" fontId="21" fillId="24" borderId="13" xfId="0" applyNumberFormat="1" applyFont="1" applyFill="1" applyBorder="1" applyAlignment="1">
      <alignment horizontal="center" vertical="center" wrapText="1"/>
    </xf>
    <xf numFmtId="176" fontId="22" fillId="25" borderId="57" xfId="0" applyNumberFormat="1" applyFont="1" applyFill="1" applyBorder="1" applyAlignment="1">
      <alignment horizontal="right" vertical="top"/>
    </xf>
    <xf numFmtId="0" fontId="8" fillId="24" borderId="51" xfId="0" applyFont="1" applyFill="1" applyBorder="1" applyAlignment="1">
      <alignment vertical="top"/>
    </xf>
    <xf numFmtId="0" fontId="8" fillId="24" borderId="18" xfId="0" applyFont="1" applyFill="1" applyBorder="1" applyAlignment="1">
      <alignment horizontal="center" vertical="top" wrapText="1"/>
    </xf>
    <xf numFmtId="40" fontId="8" fillId="24" borderId="19" xfId="0" applyNumberFormat="1" applyFont="1" applyFill="1" applyBorder="1" applyAlignment="1">
      <alignment horizontal="center" vertical="center"/>
    </xf>
    <xf numFmtId="2" fontId="7" fillId="26" borderId="20" xfId="0" applyNumberFormat="1" applyFont="1" applyFill="1" applyBorder="1" applyAlignment="1">
      <alignment vertical="top"/>
    </xf>
    <xf numFmtId="0" fontId="8" fillId="31" borderId="43" xfId="0" applyFont="1" applyFill="1" applyBorder="1" applyAlignment="1">
      <alignment vertical="top"/>
    </xf>
    <xf numFmtId="0" fontId="8" fillId="31" borderId="37" xfId="0" applyFont="1" applyFill="1" applyBorder="1" applyAlignment="1">
      <alignment vertical="top"/>
    </xf>
    <xf numFmtId="38" fontId="14" fillId="31" borderId="0" xfId="0" applyNumberFormat="1" applyFont="1" applyFill="1"/>
    <xf numFmtId="4" fontId="25" fillId="0" borderId="21" xfId="0" applyNumberFormat="1" applyFont="1" applyBorder="1"/>
    <xf numFmtId="0" fontId="25" fillId="0" borderId="21" xfId="0" applyFont="1" applyBorder="1" applyAlignment="1">
      <alignment horizontal="center" shrinkToFit="1"/>
    </xf>
    <xf numFmtId="0" fontId="39" fillId="0" borderId="0" xfId="0" applyFont="1" applyAlignment="1">
      <alignment horizontal="right"/>
    </xf>
    <xf numFmtId="0" fontId="39" fillId="0" borderId="83" xfId="0" applyFont="1" applyBorder="1"/>
    <xf numFmtId="0" fontId="39" fillId="0" borderId="21" xfId="0" applyFont="1" applyBorder="1" applyAlignment="1">
      <alignment horizontal="center" shrinkToFit="1"/>
    </xf>
    <xf numFmtId="1" fontId="39" fillId="0" borderId="21" xfId="0" applyNumberFormat="1" applyFont="1" applyBorder="1"/>
    <xf numFmtId="2" fontId="39" fillId="0" borderId="83" xfId="0" applyNumberFormat="1" applyFont="1" applyBorder="1"/>
    <xf numFmtId="0" fontId="8" fillId="0" borderId="21" xfId="0" applyFont="1" applyBorder="1" applyAlignment="1">
      <alignment horizontal="center"/>
    </xf>
    <xf numFmtId="0" fontId="29" fillId="0" borderId="21" xfId="38" applyFont="1" applyBorder="1" applyAlignment="1">
      <alignment horizontal="right" vertical="center"/>
    </xf>
    <xf numFmtId="0" fontId="29" fillId="0" borderId="21" xfId="38" applyFont="1" applyBorder="1">
      <alignment vertical="center"/>
    </xf>
    <xf numFmtId="0" fontId="82" fillId="0" borderId="0" xfId="0" applyFont="1" applyAlignment="1">
      <alignment horizontal="center"/>
    </xf>
    <xf numFmtId="0" fontId="8" fillId="24" borderId="10" xfId="0" applyNumberFormat="1" applyFont="1" applyFill="1" applyBorder="1" applyAlignment="1">
      <alignment vertical="top" shrinkToFit="1"/>
    </xf>
    <xf numFmtId="40" fontId="18" fillId="26" borderId="0" xfId="0" applyNumberFormat="1" applyFont="1" applyFill="1" applyBorder="1" applyAlignment="1">
      <alignment horizontal="right" shrinkToFit="1"/>
    </xf>
    <xf numFmtId="2" fontId="39" fillId="0" borderId="68" xfId="0" applyNumberFormat="1" applyFont="1" applyBorder="1"/>
    <xf numFmtId="0" fontId="83" fillId="0" borderId="0" xfId="0" applyFont="1" applyBorder="1" applyAlignment="1">
      <alignment horizontal="center" shrinkToFit="1"/>
    </xf>
    <xf numFmtId="0" fontId="83" fillId="0" borderId="46" xfId="0" applyFont="1" applyBorder="1" applyAlignment="1"/>
    <xf numFmtId="0" fontId="83" fillId="0" borderId="31" xfId="0" applyFont="1" applyBorder="1" applyAlignment="1"/>
    <xf numFmtId="0" fontId="7" fillId="0" borderId="21" xfId="0" applyFont="1" applyBorder="1" applyAlignment="1">
      <alignment shrinkToFit="1"/>
    </xf>
    <xf numFmtId="176" fontId="22" fillId="0" borderId="27" xfId="0" applyNumberFormat="1" applyFont="1" applyBorder="1" applyAlignment="1">
      <alignment horizontal="right" vertical="top" shrinkToFit="1"/>
    </xf>
    <xf numFmtId="176" fontId="22" fillId="25" borderId="21" xfId="0" applyNumberFormat="1" applyFont="1" applyFill="1" applyBorder="1" applyAlignment="1">
      <alignment horizontal="right" vertical="top" shrinkToFit="1"/>
    </xf>
    <xf numFmtId="176" fontId="22" fillId="25" borderId="56" xfId="0" applyNumberFormat="1" applyFont="1" applyFill="1" applyBorder="1" applyAlignment="1">
      <alignment horizontal="right" vertical="top" shrinkToFit="1"/>
    </xf>
    <xf numFmtId="176" fontId="22" fillId="0" borderId="21" xfId="0" applyNumberFormat="1" applyFont="1" applyFill="1" applyBorder="1" applyAlignment="1">
      <alignment horizontal="right" vertical="top" shrinkToFit="1"/>
    </xf>
    <xf numFmtId="176" fontId="22" fillId="0" borderId="21" xfId="0" applyNumberFormat="1" applyFont="1" applyBorder="1" applyAlignment="1">
      <alignment horizontal="right" vertical="top" shrinkToFit="1"/>
    </xf>
    <xf numFmtId="176" fontId="22" fillId="0" borderId="56" xfId="0" applyNumberFormat="1" applyFont="1" applyBorder="1" applyAlignment="1">
      <alignment horizontal="right" vertical="top" shrinkToFit="1"/>
    </xf>
    <xf numFmtId="176" fontId="22" fillId="0" borderId="30" xfId="0" applyNumberFormat="1" applyFont="1" applyBorder="1" applyAlignment="1">
      <alignment horizontal="right" vertical="top" shrinkToFit="1"/>
    </xf>
    <xf numFmtId="0" fontId="25" fillId="0" borderId="21" xfId="0" applyFont="1" applyBorder="1" applyAlignment="1">
      <alignment horizontal="center"/>
    </xf>
    <xf numFmtId="0" fontId="8" fillId="24" borderId="78" xfId="0" applyFont="1" applyFill="1" applyBorder="1" applyAlignment="1">
      <alignment horizontal="center" vertical="top"/>
    </xf>
    <xf numFmtId="40" fontId="8" fillId="24" borderId="41" xfId="0" applyNumberFormat="1" applyFont="1" applyFill="1" applyBorder="1" applyAlignment="1">
      <alignment horizontal="center" vertical="top"/>
    </xf>
    <xf numFmtId="179" fontId="21" fillId="24" borderId="14" xfId="0" applyNumberFormat="1" applyFont="1" applyFill="1" applyBorder="1" applyAlignment="1">
      <alignment horizontal="center" vertical="center" wrapText="1"/>
    </xf>
    <xf numFmtId="0" fontId="81" fillId="0" borderId="0" xfId="0" applyFont="1" applyBorder="1" applyAlignment="1">
      <alignment horizontal="left" vertical="center" wrapText="1"/>
    </xf>
    <xf numFmtId="0" fontId="8" fillId="24" borderId="18" xfId="0" applyFont="1" applyFill="1" applyBorder="1" applyAlignment="1">
      <alignment horizontal="center" vertical="center"/>
    </xf>
    <xf numFmtId="0" fontId="8" fillId="24" borderId="19" xfId="0" applyFont="1" applyFill="1" applyBorder="1" applyAlignment="1">
      <alignment horizontal="center" vertical="center" wrapText="1"/>
    </xf>
    <xf numFmtId="184" fontId="7" fillId="26" borderId="20" xfId="0" applyNumberFormat="1" applyFont="1" applyFill="1" applyBorder="1" applyAlignment="1">
      <alignment vertical="top"/>
    </xf>
    <xf numFmtId="184" fontId="7" fillId="26" borderId="24" xfId="0" applyNumberFormat="1" applyFont="1" applyFill="1" applyBorder="1" applyAlignment="1">
      <alignment vertical="top"/>
    </xf>
    <xf numFmtId="0" fontId="8" fillId="24" borderId="22" xfId="0" applyFont="1" applyFill="1" applyBorder="1" applyAlignment="1">
      <alignment horizontal="center" vertical="center"/>
    </xf>
    <xf numFmtId="0" fontId="8" fillId="24" borderId="19" xfId="0" applyFont="1" applyFill="1" applyBorder="1" applyAlignment="1">
      <alignment horizontal="center" vertical="center"/>
    </xf>
    <xf numFmtId="0" fontId="8" fillId="24" borderId="18" xfId="0" applyFont="1" applyFill="1" applyBorder="1" applyAlignment="1">
      <alignment horizontal="center" vertical="center" wrapText="1"/>
    </xf>
    <xf numFmtId="0" fontId="8" fillId="24" borderId="22" xfId="0" applyFont="1" applyFill="1" applyBorder="1" applyAlignment="1">
      <alignment horizontal="center" vertical="center" wrapText="1"/>
    </xf>
    <xf numFmtId="182" fontId="5" fillId="31" borderId="16" xfId="0" applyNumberFormat="1" applyFont="1" applyFill="1" applyBorder="1"/>
    <xf numFmtId="182" fontId="5" fillId="31" borderId="71" xfId="0" applyNumberFormat="1" applyFont="1" applyFill="1" applyBorder="1"/>
    <xf numFmtId="182" fontId="5" fillId="31" borderId="15" xfId="0" applyNumberFormat="1" applyFont="1" applyFill="1" applyBorder="1"/>
    <xf numFmtId="180" fontId="8" fillId="31" borderId="0" xfId="0" applyNumberFormat="1" applyFont="1" applyFill="1" applyBorder="1"/>
    <xf numFmtId="0" fontId="13" fillId="0" borderId="0" xfId="0" applyFont="1" applyProtection="1">
      <protection locked="0"/>
    </xf>
    <xf numFmtId="0" fontId="14" fillId="0" borderId="0" xfId="0" applyFont="1" applyAlignment="1" applyProtection="1">
      <alignment horizontal="left"/>
      <protection locked="0"/>
    </xf>
    <xf numFmtId="0" fontId="26" fillId="0" borderId="0" xfId="0" applyFont="1" applyProtection="1">
      <protection locked="0"/>
    </xf>
    <xf numFmtId="0" fontId="8" fillId="24" borderId="10" xfId="0" applyFont="1" applyFill="1" applyBorder="1" applyAlignment="1" applyProtection="1">
      <alignment horizontal="center" vertical="center"/>
      <protection locked="0"/>
    </xf>
    <xf numFmtId="0" fontId="8" fillId="24" borderId="13" xfId="0" applyFont="1" applyFill="1" applyBorder="1" applyAlignment="1" applyProtection="1">
      <alignment horizontal="center" vertical="center"/>
      <protection locked="0"/>
    </xf>
    <xf numFmtId="0" fontId="8" fillId="24" borderId="14" xfId="0" applyFont="1" applyFill="1" applyBorder="1" applyAlignment="1" applyProtection="1">
      <alignment horizontal="center" vertical="center"/>
      <protection locked="0"/>
    </xf>
    <xf numFmtId="0" fontId="8" fillId="24" borderId="16" xfId="0" applyFont="1" applyFill="1" applyBorder="1" applyAlignment="1" applyProtection="1">
      <alignment horizontal="center" vertical="center" wrapText="1"/>
      <protection locked="0"/>
    </xf>
    <xf numFmtId="179" fontId="21" fillId="24" borderId="11" xfId="0" applyNumberFormat="1" applyFont="1" applyFill="1" applyBorder="1" applyAlignment="1" applyProtection="1">
      <alignment horizontal="center" vertical="center" wrapText="1"/>
      <protection locked="0"/>
    </xf>
    <xf numFmtId="179" fontId="21" fillId="24" borderId="16" xfId="0" applyNumberFormat="1" applyFont="1" applyFill="1" applyBorder="1" applyAlignment="1" applyProtection="1">
      <alignment horizontal="center" vertical="center" wrapText="1"/>
      <protection locked="0"/>
    </xf>
    <xf numFmtId="179" fontId="21" fillId="24" borderId="17" xfId="0" applyNumberFormat="1" applyFont="1" applyFill="1" applyBorder="1" applyAlignment="1" applyProtection="1">
      <alignment horizontal="center" vertical="center" wrapText="1"/>
      <protection locked="0"/>
    </xf>
    <xf numFmtId="0" fontId="21" fillId="24" borderId="15" xfId="0" applyFont="1" applyFill="1" applyBorder="1" applyAlignment="1" applyProtection="1">
      <alignment horizontal="center" vertical="center"/>
      <protection locked="0"/>
    </xf>
    <xf numFmtId="0" fontId="8" fillId="24" borderId="15" xfId="0" applyFont="1" applyFill="1" applyBorder="1" applyAlignment="1" applyProtection="1">
      <alignment horizontal="center" vertical="center"/>
      <protection locked="0"/>
    </xf>
    <xf numFmtId="0" fontId="7" fillId="0" borderId="47" xfId="0" applyFont="1" applyBorder="1" applyAlignment="1" applyProtection="1">
      <alignment horizontal="center" vertical="top"/>
      <protection locked="0"/>
    </xf>
    <xf numFmtId="0" fontId="7" fillId="0" borderId="35" xfId="0" applyFont="1" applyBorder="1" applyAlignment="1" applyProtection="1">
      <alignment horizontal="left" vertical="top" wrapText="1"/>
      <protection locked="0"/>
    </xf>
    <xf numFmtId="49" fontId="7" fillId="0" borderId="48" xfId="0" applyNumberFormat="1" applyFont="1" applyBorder="1" applyAlignment="1" applyProtection="1">
      <alignment horizontal="center" vertical="top"/>
      <protection locked="0"/>
    </xf>
    <xf numFmtId="9" fontId="7" fillId="0" borderId="47" xfId="0" applyNumberFormat="1" applyFont="1" applyBorder="1" applyAlignment="1" applyProtection="1">
      <alignment horizontal="center" vertical="top"/>
      <protection locked="0"/>
    </xf>
    <xf numFmtId="176" fontId="22" fillId="0" borderId="46" xfId="0" applyNumberFormat="1" applyFont="1" applyBorder="1" applyAlignment="1" applyProtection="1">
      <alignment horizontal="right" vertical="top" shrinkToFit="1"/>
      <protection locked="0"/>
    </xf>
    <xf numFmtId="176" fontId="22" fillId="0" borderId="42" xfId="0" applyNumberFormat="1" applyFont="1" applyBorder="1" applyAlignment="1" applyProtection="1">
      <alignment horizontal="right" vertical="top" shrinkToFit="1"/>
      <protection locked="0"/>
    </xf>
    <xf numFmtId="176" fontId="22" fillId="0" borderId="49" xfId="0" applyNumberFormat="1" applyFont="1" applyBorder="1" applyAlignment="1" applyProtection="1">
      <alignment horizontal="right" vertical="top" shrinkToFit="1"/>
      <protection locked="0"/>
    </xf>
    <xf numFmtId="176" fontId="22" fillId="0" borderId="49" xfId="0" applyNumberFormat="1" applyFont="1" applyBorder="1" applyAlignment="1" applyProtection="1">
      <alignment horizontal="right" vertical="top"/>
      <protection locked="0"/>
    </xf>
    <xf numFmtId="0" fontId="7" fillId="0" borderId="50" xfId="0" applyFont="1" applyBorder="1" applyAlignment="1" applyProtection="1">
      <alignment horizontal="left" vertical="top" wrapText="1"/>
      <protection locked="0"/>
    </xf>
    <xf numFmtId="0" fontId="7" fillId="25" borderId="51" xfId="0" applyFont="1" applyFill="1" applyBorder="1" applyAlignment="1" applyProtection="1">
      <alignment horizontal="center" vertical="top"/>
      <protection locked="0"/>
    </xf>
    <xf numFmtId="0" fontId="7" fillId="25" borderId="52" xfId="34" applyFont="1" applyFill="1" applyBorder="1" applyAlignment="1" applyProtection="1">
      <alignment horizontal="left" vertical="top" wrapText="1"/>
      <protection locked="0"/>
    </xf>
    <xf numFmtId="49" fontId="7" fillId="25" borderId="51" xfId="0" applyNumberFormat="1" applyFont="1" applyFill="1" applyBorder="1" applyAlignment="1" applyProtection="1">
      <alignment horizontal="center" vertical="top"/>
      <protection locked="0"/>
    </xf>
    <xf numFmtId="9" fontId="7" fillId="25" borderId="51" xfId="0" applyNumberFormat="1" applyFont="1" applyFill="1" applyBorder="1" applyAlignment="1" applyProtection="1">
      <alignment horizontal="center" vertical="top"/>
      <protection locked="0"/>
    </xf>
    <xf numFmtId="176" fontId="22" fillId="25" borderId="21" xfId="34" applyNumberFormat="1" applyFont="1" applyFill="1" applyBorder="1" applyAlignment="1" applyProtection="1">
      <alignment horizontal="right" vertical="top" shrinkToFit="1"/>
      <protection locked="0"/>
    </xf>
    <xf numFmtId="176" fontId="22" fillId="25" borderId="43" xfId="34" applyNumberFormat="1" applyFont="1" applyFill="1" applyBorder="1" applyAlignment="1" applyProtection="1">
      <alignment horizontal="right" vertical="top" shrinkToFit="1"/>
      <protection locked="0"/>
    </xf>
    <xf numFmtId="176" fontId="22" fillId="25" borderId="20" xfId="34" applyNumberFormat="1" applyFont="1" applyFill="1" applyBorder="1" applyAlignment="1" applyProtection="1">
      <alignment horizontal="right" vertical="top" shrinkToFit="1"/>
      <protection locked="0"/>
    </xf>
    <xf numFmtId="176" fontId="22" fillId="25" borderId="20" xfId="0" applyNumberFormat="1" applyFont="1" applyFill="1" applyBorder="1" applyAlignment="1" applyProtection="1">
      <alignment horizontal="right" vertical="top"/>
      <protection locked="0"/>
    </xf>
    <xf numFmtId="0" fontId="7" fillId="25" borderId="53" xfId="0" applyFont="1" applyFill="1" applyBorder="1" applyAlignment="1" applyProtection="1">
      <alignment horizontal="left" vertical="top" wrapText="1"/>
      <protection locked="0"/>
    </xf>
    <xf numFmtId="0" fontId="7" fillId="0" borderId="51" xfId="0" applyFont="1" applyBorder="1" applyAlignment="1" applyProtection="1">
      <alignment horizontal="center" vertical="top"/>
      <protection locked="0"/>
    </xf>
    <xf numFmtId="0" fontId="7" fillId="0" borderId="52" xfId="34" applyFont="1" applyBorder="1" applyAlignment="1" applyProtection="1">
      <alignment horizontal="left" vertical="top" wrapText="1"/>
      <protection locked="0"/>
    </xf>
    <xf numFmtId="49" fontId="7" fillId="0" borderId="51" xfId="0" applyNumberFormat="1" applyFont="1" applyBorder="1" applyAlignment="1" applyProtection="1">
      <alignment horizontal="center" vertical="top"/>
      <protection locked="0"/>
    </xf>
    <xf numFmtId="9" fontId="7" fillId="0" borderId="51" xfId="0" applyNumberFormat="1" applyFont="1" applyBorder="1" applyAlignment="1" applyProtection="1">
      <alignment horizontal="center" vertical="top"/>
      <protection locked="0"/>
    </xf>
    <xf numFmtId="176" fontId="22" fillId="0" borderId="21" xfId="34" applyNumberFormat="1" applyFont="1" applyBorder="1" applyAlignment="1" applyProtection="1">
      <alignment horizontal="right" vertical="top" shrinkToFit="1"/>
      <protection locked="0"/>
    </xf>
    <xf numFmtId="176" fontId="22" fillId="0" borderId="43" xfId="34" applyNumberFormat="1" applyFont="1" applyBorder="1" applyAlignment="1" applyProtection="1">
      <alignment horizontal="right" vertical="top" shrinkToFit="1"/>
      <protection locked="0"/>
    </xf>
    <xf numFmtId="176" fontId="22" fillId="0" borderId="20" xfId="34" applyNumberFormat="1" applyFont="1" applyBorder="1" applyAlignment="1" applyProtection="1">
      <alignment horizontal="right" vertical="top" shrinkToFit="1"/>
      <protection locked="0"/>
    </xf>
    <xf numFmtId="176" fontId="22" fillId="0" borderId="20" xfId="0" applyNumberFormat="1" applyFont="1" applyBorder="1" applyAlignment="1" applyProtection="1">
      <alignment horizontal="right" vertical="top"/>
      <protection locked="0"/>
    </xf>
    <xf numFmtId="0" fontId="7" fillId="0" borderId="53" xfId="0" applyFont="1" applyBorder="1" applyAlignment="1" applyProtection="1">
      <alignment horizontal="left" vertical="top" wrapText="1"/>
      <protection locked="0"/>
    </xf>
    <xf numFmtId="0" fontId="7" fillId="0" borderId="51" xfId="0" applyFont="1" applyFill="1" applyBorder="1" applyAlignment="1" applyProtection="1">
      <alignment horizontal="center" vertical="top"/>
      <protection locked="0"/>
    </xf>
    <xf numFmtId="0" fontId="7" fillId="0" borderId="52" xfId="34" applyFont="1" applyFill="1" applyBorder="1" applyAlignment="1" applyProtection="1">
      <alignment horizontal="left" vertical="top" wrapText="1"/>
      <protection locked="0"/>
    </xf>
    <xf numFmtId="176" fontId="22" fillId="0" borderId="21" xfId="34" applyNumberFormat="1" applyFont="1" applyFill="1" applyBorder="1" applyAlignment="1" applyProtection="1">
      <alignment horizontal="right" vertical="top" shrinkToFit="1"/>
      <protection locked="0"/>
    </xf>
    <xf numFmtId="176" fontId="22" fillId="0" borderId="43" xfId="34" applyNumberFormat="1" applyFont="1" applyFill="1" applyBorder="1" applyAlignment="1" applyProtection="1">
      <alignment horizontal="right" vertical="top" shrinkToFit="1"/>
      <protection locked="0"/>
    </xf>
    <xf numFmtId="176" fontId="22" fillId="0" borderId="20" xfId="34" applyNumberFormat="1" applyFont="1" applyFill="1" applyBorder="1" applyAlignment="1" applyProtection="1">
      <alignment horizontal="right" vertical="top" shrinkToFit="1"/>
      <protection locked="0"/>
    </xf>
    <xf numFmtId="0" fontId="7" fillId="25" borderId="54" xfId="0" applyFont="1" applyFill="1" applyBorder="1" applyAlignment="1" applyProtection="1">
      <alignment horizontal="center" vertical="top"/>
      <protection locked="0"/>
    </xf>
    <xf numFmtId="0" fontId="7" fillId="25" borderId="36" xfId="34" applyFont="1" applyFill="1" applyBorder="1" applyAlignment="1" applyProtection="1">
      <alignment horizontal="left" vertical="top" wrapText="1"/>
      <protection locked="0"/>
    </xf>
    <xf numFmtId="49" fontId="7" fillId="25" borderId="54" xfId="0" applyNumberFormat="1" applyFont="1" applyFill="1" applyBorder="1" applyAlignment="1" applyProtection="1">
      <alignment horizontal="center" vertical="top"/>
      <protection locked="0"/>
    </xf>
    <xf numFmtId="9" fontId="7" fillId="25" borderId="54" xfId="0" applyNumberFormat="1" applyFont="1" applyFill="1" applyBorder="1" applyAlignment="1" applyProtection="1">
      <alignment horizontal="center" vertical="top"/>
      <protection locked="0"/>
    </xf>
    <xf numFmtId="176" fontId="22" fillId="25" borderId="23" xfId="34" applyNumberFormat="1" applyFont="1" applyFill="1" applyBorder="1" applyAlignment="1" applyProtection="1">
      <alignment horizontal="right" vertical="top" shrinkToFit="1"/>
      <protection locked="0"/>
    </xf>
    <xf numFmtId="176" fontId="22" fillId="25" borderId="37" xfId="34" applyNumberFormat="1" applyFont="1" applyFill="1" applyBorder="1" applyAlignment="1" applyProtection="1">
      <alignment horizontal="right" vertical="top" shrinkToFit="1"/>
      <protection locked="0"/>
    </xf>
    <xf numFmtId="176" fontId="22" fillId="25" borderId="24" xfId="34" applyNumberFormat="1" applyFont="1" applyFill="1" applyBorder="1" applyAlignment="1" applyProtection="1">
      <alignment horizontal="right" vertical="top" shrinkToFit="1"/>
      <protection locked="0"/>
    </xf>
    <xf numFmtId="176" fontId="22" fillId="25" borderId="24" xfId="0" applyNumberFormat="1" applyFont="1" applyFill="1" applyBorder="1" applyAlignment="1" applyProtection="1">
      <alignment horizontal="right" vertical="top"/>
      <protection locked="0"/>
    </xf>
    <xf numFmtId="0" fontId="7" fillId="25" borderId="55" xfId="0" applyFont="1" applyFill="1" applyBorder="1" applyAlignment="1" applyProtection="1">
      <alignment horizontal="left" vertical="top" wrapText="1"/>
      <protection locked="0"/>
    </xf>
    <xf numFmtId="0" fontId="7" fillId="0" borderId="0" xfId="0" applyFont="1" applyBorder="1" applyAlignment="1" applyProtection="1">
      <alignment horizontal="center"/>
      <protection locked="0"/>
    </xf>
    <xf numFmtId="0" fontId="7" fillId="0" borderId="0" xfId="34" applyFont="1" applyBorder="1" applyAlignment="1" applyProtection="1">
      <alignment horizontal="left" wrapText="1"/>
      <protection locked="0"/>
    </xf>
    <xf numFmtId="179" fontId="7" fillId="0" borderId="0" xfId="34" applyNumberFormat="1" applyFont="1" applyBorder="1" applyAlignment="1" applyProtection="1">
      <alignment horizontal="left" shrinkToFit="1"/>
      <protection locked="0"/>
    </xf>
    <xf numFmtId="0" fontId="23" fillId="0" borderId="0" xfId="0" applyFont="1" applyProtection="1">
      <protection locked="0"/>
    </xf>
    <xf numFmtId="179" fontId="13" fillId="0" borderId="0" xfId="0" applyNumberFormat="1" applyFont="1" applyProtection="1">
      <protection locked="0"/>
    </xf>
    <xf numFmtId="180" fontId="8" fillId="31" borderId="0" xfId="0" applyNumberFormat="1" applyFont="1" applyFill="1" applyBorder="1" applyProtection="1"/>
    <xf numFmtId="0" fontId="8" fillId="0" borderId="68" xfId="0" applyFont="1" applyFill="1" applyBorder="1" applyAlignment="1" applyProtection="1">
      <alignment horizontal="center" vertical="top"/>
      <protection locked="0"/>
    </xf>
    <xf numFmtId="0" fontId="8" fillId="0" borderId="21" xfId="0" applyFont="1" applyFill="1" applyBorder="1" applyAlignment="1" applyProtection="1">
      <alignment horizontal="center" vertical="top"/>
      <protection locked="0"/>
    </xf>
    <xf numFmtId="40" fontId="8" fillId="0" borderId="21" xfId="0" applyNumberFormat="1" applyFont="1" applyFill="1" applyBorder="1" applyAlignment="1" applyProtection="1">
      <alignment horizontal="center" vertical="top"/>
      <protection locked="0"/>
    </xf>
    <xf numFmtId="40" fontId="8" fillId="0" borderId="20" xfId="0" applyNumberFormat="1" applyFont="1" applyFill="1" applyBorder="1" applyAlignment="1" applyProtection="1">
      <alignment horizontal="center" vertical="top"/>
      <protection locked="0"/>
    </xf>
    <xf numFmtId="0" fontId="8" fillId="24" borderId="17" xfId="0" applyFont="1" applyFill="1" applyBorder="1" applyAlignment="1">
      <alignment horizontal="center" vertical="center"/>
    </xf>
    <xf numFmtId="0" fontId="7" fillId="0" borderId="0" xfId="0" applyFont="1" applyAlignment="1" applyProtection="1">
      <alignment vertical="top"/>
    </xf>
    <xf numFmtId="40" fontId="7" fillId="0" borderId="0" xfId="0" applyNumberFormat="1" applyFont="1" applyAlignment="1" applyProtection="1">
      <alignment vertical="top"/>
    </xf>
    <xf numFmtId="0" fontId="8" fillId="24" borderId="35" xfId="0" applyFont="1" applyFill="1" applyBorder="1" applyAlignment="1" applyProtection="1">
      <alignment vertical="top"/>
    </xf>
    <xf numFmtId="0" fontId="8" fillId="24" borderId="18" xfId="0" applyFont="1" applyFill="1" applyBorder="1" applyAlignment="1" applyProtection="1">
      <alignment horizontal="center" vertical="top"/>
    </xf>
    <xf numFmtId="0" fontId="8" fillId="24" borderId="22" xfId="0" applyFont="1" applyFill="1" applyBorder="1" applyAlignment="1" applyProtection="1">
      <alignment horizontal="center" vertical="top"/>
    </xf>
    <xf numFmtId="40" fontId="8" fillId="24" borderId="22" xfId="0" applyNumberFormat="1" applyFont="1" applyFill="1" applyBorder="1" applyAlignment="1" applyProtection="1">
      <alignment horizontal="center" vertical="top"/>
    </xf>
    <xf numFmtId="40" fontId="8" fillId="24" borderId="19" xfId="0" applyNumberFormat="1" applyFont="1" applyFill="1" applyBorder="1" applyAlignment="1" applyProtection="1">
      <alignment horizontal="center" vertical="top"/>
    </xf>
    <xf numFmtId="0" fontId="8" fillId="24" borderId="51" xfId="0" applyFont="1" applyFill="1" applyBorder="1" applyAlignment="1" applyProtection="1">
      <alignment vertical="top"/>
    </xf>
    <xf numFmtId="0" fontId="8" fillId="24" borderId="36" xfId="0" applyFont="1" applyFill="1" applyBorder="1" applyAlignment="1" applyProtection="1">
      <alignment vertical="top"/>
    </xf>
    <xf numFmtId="177" fontId="7" fillId="26" borderId="37" xfId="0" applyNumberFormat="1" applyFont="1" applyFill="1" applyBorder="1" applyAlignment="1" applyProtection="1">
      <alignment vertical="top"/>
    </xf>
    <xf numFmtId="177" fontId="7" fillId="26" borderId="23" xfId="0" applyNumberFormat="1" applyFont="1" applyFill="1" applyBorder="1" applyAlignment="1" applyProtection="1">
      <alignment vertical="top"/>
    </xf>
    <xf numFmtId="177" fontId="7" fillId="26" borderId="24" xfId="0" applyNumberFormat="1" applyFont="1" applyFill="1" applyBorder="1" applyAlignment="1" applyProtection="1">
      <alignment vertical="top"/>
    </xf>
    <xf numFmtId="0" fontId="8" fillId="24" borderId="19" xfId="0" applyFont="1" applyFill="1" applyBorder="1" applyAlignment="1" applyProtection="1">
      <alignment horizontal="center" vertical="top"/>
    </xf>
    <xf numFmtId="0" fontId="8" fillId="24" borderId="78" xfId="0" applyFont="1" applyFill="1" applyBorder="1" applyAlignment="1" applyProtection="1">
      <alignment horizontal="center" vertical="top"/>
    </xf>
    <xf numFmtId="40" fontId="8" fillId="24" borderId="41" xfId="0" applyNumberFormat="1" applyFont="1" applyFill="1" applyBorder="1" applyAlignment="1" applyProtection="1">
      <alignment horizontal="center" vertical="top"/>
    </xf>
    <xf numFmtId="0" fontId="7" fillId="24" borderId="43" xfId="0" applyFont="1" applyFill="1" applyBorder="1" applyAlignment="1" applyProtection="1">
      <alignment vertical="top"/>
    </xf>
    <xf numFmtId="0" fontId="7" fillId="26" borderId="20" xfId="0" applyFont="1" applyFill="1" applyBorder="1" applyAlignment="1" applyProtection="1">
      <alignment vertical="top"/>
    </xf>
    <xf numFmtId="0" fontId="7" fillId="24" borderId="37" xfId="0" applyFont="1" applyFill="1" applyBorder="1" applyAlignment="1" applyProtection="1">
      <alignment vertical="top"/>
    </xf>
    <xf numFmtId="9" fontId="7" fillId="26" borderId="24" xfId="0" applyNumberFormat="1" applyFont="1" applyFill="1" applyBorder="1" applyAlignment="1" applyProtection="1">
      <alignment vertical="top"/>
    </xf>
    <xf numFmtId="0" fontId="7" fillId="24" borderId="20" xfId="0" applyFont="1" applyFill="1" applyBorder="1" applyAlignment="1" applyProtection="1">
      <alignment vertical="top"/>
    </xf>
    <xf numFmtId="0" fontId="7" fillId="26" borderId="24" xfId="0" applyFont="1" applyFill="1" applyBorder="1" applyAlignment="1" applyProtection="1">
      <alignment vertical="top"/>
    </xf>
    <xf numFmtId="0" fontId="81" fillId="0" borderId="0" xfId="0" applyFont="1" applyBorder="1" applyAlignment="1" applyProtection="1">
      <alignment horizontal="left" vertical="center" wrapText="1"/>
    </xf>
    <xf numFmtId="0" fontId="8" fillId="31" borderId="43" xfId="0" applyFont="1" applyFill="1" applyBorder="1" applyAlignment="1" applyProtection="1">
      <alignment vertical="top"/>
    </xf>
    <xf numFmtId="0" fontId="8" fillId="24" borderId="68" xfId="0" applyFont="1" applyFill="1" applyBorder="1" applyAlignment="1" applyProtection="1">
      <alignment vertical="top"/>
    </xf>
    <xf numFmtId="0" fontId="8" fillId="24" borderId="78" xfId="0" applyFont="1" applyFill="1" applyBorder="1" applyAlignment="1" applyProtection="1">
      <alignment vertical="top"/>
    </xf>
    <xf numFmtId="9" fontId="7" fillId="26" borderId="41" xfId="0" applyNumberFormat="1" applyFont="1" applyFill="1" applyBorder="1" applyAlignment="1" applyProtection="1">
      <alignment vertical="top"/>
    </xf>
    <xf numFmtId="0" fontId="8" fillId="24" borderId="43" xfId="0" applyFont="1" applyFill="1" applyBorder="1" applyAlignment="1" applyProtection="1">
      <alignment vertical="top"/>
    </xf>
    <xf numFmtId="0" fontId="8" fillId="24" borderId="37" xfId="0" applyFont="1" applyFill="1" applyBorder="1" applyAlignment="1" applyProtection="1">
      <alignment vertical="top"/>
    </xf>
    <xf numFmtId="0" fontId="8" fillId="31" borderId="37" xfId="0" applyFont="1" applyFill="1" applyBorder="1" applyAlignment="1" applyProtection="1">
      <alignment vertical="top"/>
    </xf>
    <xf numFmtId="0" fontId="8" fillId="24" borderId="84" xfId="0" applyFont="1" applyFill="1" applyBorder="1" applyAlignment="1" applyProtection="1">
      <alignment vertical="top"/>
    </xf>
    <xf numFmtId="0" fontId="8" fillId="24" borderId="10" xfId="0" applyFont="1" applyFill="1" applyBorder="1" applyAlignment="1" applyProtection="1">
      <alignment vertical="top"/>
    </xf>
    <xf numFmtId="0" fontId="7" fillId="26" borderId="17" xfId="0" applyFont="1" applyFill="1" applyBorder="1" applyAlignment="1" applyProtection="1">
      <alignment vertical="top"/>
    </xf>
    <xf numFmtId="0" fontId="8" fillId="24" borderId="18" xfId="0" applyFont="1" applyFill="1" applyBorder="1" applyAlignment="1" applyProtection="1">
      <alignment horizontal="center" vertical="center" wrapText="1"/>
    </xf>
    <xf numFmtId="0" fontId="8" fillId="24" borderId="22" xfId="0" applyFont="1" applyFill="1" applyBorder="1" applyAlignment="1" applyProtection="1">
      <alignment horizontal="center" vertical="center"/>
    </xf>
    <xf numFmtId="0" fontId="8" fillId="24" borderId="19" xfId="0" applyFont="1" applyFill="1" applyBorder="1" applyAlignment="1" applyProtection="1">
      <alignment horizontal="center" vertical="center"/>
    </xf>
    <xf numFmtId="0" fontId="7" fillId="26" borderId="20" xfId="0" applyNumberFormat="1" applyFont="1" applyFill="1" applyBorder="1" applyAlignment="1" applyProtection="1">
      <alignment vertical="top"/>
    </xf>
    <xf numFmtId="0" fontId="8" fillId="24" borderId="10" xfId="0" applyNumberFormat="1" applyFont="1" applyFill="1" applyBorder="1" applyAlignment="1" applyProtection="1">
      <alignment vertical="top" shrinkToFit="1"/>
    </xf>
    <xf numFmtId="0" fontId="0" fillId="0" borderId="0" xfId="0" applyProtection="1"/>
    <xf numFmtId="0" fontId="7" fillId="26" borderId="24" xfId="0" applyNumberFormat="1" applyFont="1" applyFill="1" applyBorder="1" applyAlignment="1" applyProtection="1">
      <alignment vertical="top"/>
    </xf>
    <xf numFmtId="0" fontId="8" fillId="24" borderId="18" xfId="0" applyFont="1" applyFill="1" applyBorder="1" applyAlignment="1" applyProtection="1">
      <alignment horizontal="center" vertical="top" wrapText="1"/>
    </xf>
    <xf numFmtId="40" fontId="8" fillId="24" borderId="19" xfId="0" applyNumberFormat="1" applyFont="1" applyFill="1" applyBorder="1" applyAlignment="1" applyProtection="1">
      <alignment horizontal="center" vertical="center"/>
    </xf>
    <xf numFmtId="0" fontId="8" fillId="24" borderId="18" xfId="0" applyFont="1" applyFill="1" applyBorder="1" applyAlignment="1" applyProtection="1">
      <alignment horizontal="center" vertical="center"/>
    </xf>
    <xf numFmtId="0" fontId="8" fillId="24" borderId="19" xfId="0" applyFont="1" applyFill="1" applyBorder="1" applyAlignment="1" applyProtection="1">
      <alignment horizontal="center" vertical="center" wrapText="1"/>
    </xf>
    <xf numFmtId="0" fontId="8" fillId="24" borderId="22" xfId="0" applyFont="1" applyFill="1" applyBorder="1" applyAlignment="1" applyProtection="1">
      <alignment horizontal="center" vertical="center" wrapText="1"/>
    </xf>
    <xf numFmtId="2" fontId="7" fillId="26" borderId="20" xfId="0" applyNumberFormat="1" applyFont="1" applyFill="1" applyBorder="1" applyAlignment="1" applyProtection="1">
      <alignment vertical="top"/>
    </xf>
    <xf numFmtId="0" fontId="8" fillId="24" borderId="85" xfId="0" applyFont="1" applyFill="1" applyBorder="1" applyAlignment="1">
      <alignment vertical="top"/>
    </xf>
    <xf numFmtId="9" fontId="7" fillId="26" borderId="21" xfId="46" applyFont="1" applyFill="1" applyBorder="1" applyAlignment="1">
      <alignment horizontal="center" vertical="top"/>
    </xf>
    <xf numFmtId="9" fontId="7" fillId="26" borderId="23" xfId="46" applyFont="1" applyFill="1" applyBorder="1" applyAlignment="1">
      <alignment horizontal="center" vertical="top"/>
    </xf>
    <xf numFmtId="9" fontId="7" fillId="0" borderId="21" xfId="46" applyFont="1" applyFill="1" applyBorder="1" applyAlignment="1" applyProtection="1">
      <alignment horizontal="center" vertical="top"/>
      <protection locked="0"/>
    </xf>
    <xf numFmtId="9" fontId="7" fillId="0" borderId="20" xfId="46" applyFont="1" applyFill="1" applyBorder="1" applyAlignment="1" applyProtection="1">
      <alignment horizontal="center" vertical="top"/>
      <protection locked="0"/>
    </xf>
    <xf numFmtId="9" fontId="7" fillId="0" borderId="23" xfId="46" applyFont="1" applyFill="1" applyBorder="1" applyAlignment="1" applyProtection="1">
      <alignment horizontal="center" vertical="top"/>
      <protection locked="0"/>
    </xf>
    <xf numFmtId="9" fontId="7" fillId="0" borderId="24" xfId="46" applyFont="1" applyFill="1" applyBorder="1" applyAlignment="1" applyProtection="1">
      <alignment horizontal="center" vertical="top"/>
      <protection locked="0"/>
    </xf>
    <xf numFmtId="0" fontId="7" fillId="0" borderId="21" xfId="0" applyFont="1" applyFill="1" applyBorder="1" applyAlignment="1" applyProtection="1">
      <alignment horizontal="center" vertical="top"/>
      <protection locked="0"/>
    </xf>
    <xf numFmtId="0" fontId="7" fillId="0" borderId="20" xfId="0" applyFont="1" applyFill="1" applyBorder="1" applyAlignment="1" applyProtection="1">
      <alignment horizontal="center" vertical="top"/>
      <protection locked="0"/>
    </xf>
    <xf numFmtId="0" fontId="7" fillId="0" borderId="23" xfId="0" applyFont="1" applyFill="1" applyBorder="1" applyAlignment="1" applyProtection="1">
      <alignment horizontal="center" vertical="top"/>
      <protection locked="0"/>
    </xf>
    <xf numFmtId="0" fontId="7" fillId="0" borderId="24" xfId="0" applyFont="1" applyFill="1" applyBorder="1" applyAlignment="1" applyProtection="1">
      <alignment horizontal="center" vertical="top"/>
      <protection locked="0"/>
    </xf>
    <xf numFmtId="1" fontId="7" fillId="33" borderId="20" xfId="0" applyNumberFormat="1" applyFont="1" applyFill="1" applyBorder="1" applyAlignment="1" applyProtection="1">
      <alignment vertical="top"/>
    </xf>
    <xf numFmtId="1" fontId="7" fillId="33" borderId="24" xfId="0" applyNumberFormat="1" applyFont="1" applyFill="1" applyBorder="1" applyAlignment="1" applyProtection="1">
      <alignment vertical="top"/>
    </xf>
    <xf numFmtId="0" fontId="7" fillId="33" borderId="20" xfId="0" applyNumberFormat="1" applyFont="1" applyFill="1" applyBorder="1" applyAlignment="1" applyProtection="1">
      <alignment vertical="top"/>
    </xf>
    <xf numFmtId="0" fontId="7" fillId="33" borderId="72" xfId="0" applyNumberFormat="1" applyFont="1" applyFill="1" applyBorder="1" applyAlignment="1" applyProtection="1">
      <alignment vertical="top"/>
    </xf>
    <xf numFmtId="0" fontId="7" fillId="33" borderId="21" xfId="0" applyFont="1" applyFill="1" applyBorder="1" applyAlignment="1" applyProtection="1">
      <alignment vertical="top"/>
    </xf>
    <xf numFmtId="0" fontId="7" fillId="33" borderId="20" xfId="0" applyFont="1" applyFill="1" applyBorder="1" applyAlignment="1" applyProtection="1">
      <alignment vertical="top"/>
    </xf>
    <xf numFmtId="0" fontId="7" fillId="33" borderId="23" xfId="0" applyFont="1" applyFill="1" applyBorder="1" applyAlignment="1" applyProtection="1">
      <alignment vertical="top"/>
    </xf>
    <xf numFmtId="0" fontId="7" fillId="33" borderId="24" xfId="0" applyFont="1" applyFill="1" applyBorder="1" applyAlignment="1" applyProtection="1">
      <alignment vertical="top"/>
    </xf>
    <xf numFmtId="9" fontId="7" fillId="33" borderId="21" xfId="46" applyFont="1" applyFill="1" applyBorder="1" applyAlignment="1" applyProtection="1">
      <alignment vertical="top"/>
    </xf>
    <xf numFmtId="9" fontId="7" fillId="33" borderId="53" xfId="46" applyFont="1" applyFill="1" applyBorder="1" applyAlignment="1" applyProtection="1">
      <alignment vertical="top"/>
    </xf>
    <xf numFmtId="9" fontId="7" fillId="33" borderId="23" xfId="46" applyFont="1" applyFill="1" applyBorder="1" applyAlignment="1" applyProtection="1">
      <alignment vertical="top"/>
    </xf>
    <xf numFmtId="9" fontId="7" fillId="33" borderId="55" xfId="46" applyFont="1" applyFill="1" applyBorder="1" applyAlignment="1" applyProtection="1">
      <alignment vertical="top"/>
    </xf>
    <xf numFmtId="0" fontId="8" fillId="33" borderId="68" xfId="0" applyFont="1" applyFill="1" applyBorder="1" applyAlignment="1" applyProtection="1">
      <alignment horizontal="center" vertical="top"/>
    </xf>
    <xf numFmtId="0" fontId="8" fillId="33" borderId="21" xfId="0" applyFont="1" applyFill="1" applyBorder="1" applyAlignment="1" applyProtection="1">
      <alignment horizontal="center" vertical="top"/>
    </xf>
    <xf numFmtId="40" fontId="8" fillId="33" borderId="21" xfId="0" applyNumberFormat="1" applyFont="1" applyFill="1" applyBorder="1" applyAlignment="1" applyProtection="1">
      <alignment horizontal="center" vertical="top"/>
    </xf>
    <xf numFmtId="40" fontId="8" fillId="33" borderId="20" xfId="0" applyNumberFormat="1" applyFont="1" applyFill="1" applyBorder="1" applyAlignment="1" applyProtection="1">
      <alignment horizontal="center" vertical="top"/>
    </xf>
    <xf numFmtId="184" fontId="7" fillId="33" borderId="20" xfId="0" applyNumberFormat="1" applyFont="1" applyFill="1" applyBorder="1" applyAlignment="1" applyProtection="1">
      <alignment vertical="top"/>
    </xf>
    <xf numFmtId="184" fontId="7" fillId="33" borderId="24" xfId="0" applyNumberFormat="1" applyFont="1" applyFill="1" applyBorder="1" applyAlignment="1" applyProtection="1">
      <alignment vertical="top"/>
    </xf>
    <xf numFmtId="9" fontId="7" fillId="33" borderId="17" xfId="0" applyNumberFormat="1" applyFont="1" applyFill="1" applyBorder="1" applyAlignment="1" applyProtection="1">
      <alignment vertical="top"/>
    </xf>
    <xf numFmtId="9" fontId="7" fillId="0" borderId="17" xfId="46" applyFont="1" applyFill="1" applyBorder="1" applyAlignment="1" applyProtection="1">
      <alignment horizontal="center" vertical="top"/>
      <protection locked="0"/>
    </xf>
    <xf numFmtId="184" fontId="7" fillId="0" borderId="20" xfId="0" applyNumberFormat="1" applyFont="1" applyFill="1" applyBorder="1" applyAlignment="1" applyProtection="1">
      <alignment horizontal="center" vertical="top"/>
      <protection locked="0"/>
    </xf>
    <xf numFmtId="184" fontId="7" fillId="0" borderId="24" xfId="0" applyNumberFormat="1" applyFont="1" applyFill="1" applyBorder="1" applyAlignment="1" applyProtection="1">
      <alignment horizontal="center" vertical="top"/>
      <protection locked="0"/>
    </xf>
    <xf numFmtId="0" fontId="7" fillId="0" borderId="0" xfId="0" applyFont="1" applyProtection="1"/>
    <xf numFmtId="0" fontId="7" fillId="34" borderId="43" xfId="0" applyFont="1" applyFill="1" applyBorder="1" applyAlignment="1" applyProtection="1">
      <alignment horizontal="center" shrinkToFit="1"/>
    </xf>
    <xf numFmtId="0" fontId="7" fillId="34" borderId="21" xfId="0" applyFont="1" applyFill="1" applyBorder="1" applyAlignment="1" applyProtection="1">
      <alignment horizontal="center"/>
    </xf>
    <xf numFmtId="0" fontId="7" fillId="34" borderId="20" xfId="0" applyFont="1" applyFill="1" applyBorder="1" applyAlignment="1" applyProtection="1">
      <alignment horizontal="center"/>
    </xf>
    <xf numFmtId="0" fontId="7" fillId="33" borderId="43" xfId="0" applyFont="1" applyFill="1" applyBorder="1" applyAlignment="1" applyProtection="1">
      <alignment vertical="top"/>
    </xf>
    <xf numFmtId="0" fontId="7" fillId="33" borderId="85" xfId="0" applyFont="1" applyFill="1" applyBorder="1" applyAlignment="1" applyProtection="1">
      <alignment vertical="top"/>
    </xf>
    <xf numFmtId="0" fontId="7" fillId="33" borderId="45" xfId="0" applyFont="1" applyFill="1" applyBorder="1" applyAlignment="1" applyProtection="1">
      <alignment vertical="top"/>
    </xf>
    <xf numFmtId="0" fontId="7" fillId="33" borderId="72" xfId="0" applyFont="1" applyFill="1" applyBorder="1" applyAlignment="1" applyProtection="1">
      <alignment vertical="top"/>
    </xf>
    <xf numFmtId="0" fontId="7" fillId="33" borderId="20" xfId="0" applyFont="1" applyFill="1" applyBorder="1" applyAlignment="1" applyProtection="1">
      <alignment horizontal="center" vertical="top"/>
    </xf>
    <xf numFmtId="0" fontId="7" fillId="33" borderId="72" xfId="0" applyFont="1" applyFill="1" applyBorder="1" applyAlignment="1" applyProtection="1">
      <alignment horizontal="center" vertical="top"/>
    </xf>
    <xf numFmtId="0" fontId="8" fillId="24" borderId="14" xfId="0" applyFont="1" applyFill="1" applyBorder="1" applyAlignment="1">
      <alignment horizontal="center" vertical="center"/>
    </xf>
    <xf numFmtId="0" fontId="7" fillId="0" borderId="48" xfId="0" applyFont="1" applyBorder="1" applyAlignment="1">
      <alignment horizontal="left" vertical="top" wrapText="1"/>
    </xf>
    <xf numFmtId="0" fontId="7" fillId="25" borderId="51" xfId="0" applyFont="1" applyFill="1" applyBorder="1" applyAlignment="1">
      <alignment horizontal="left" vertical="top" wrapText="1"/>
    </xf>
    <xf numFmtId="0" fontId="7" fillId="0" borderId="51" xfId="0" applyFont="1" applyBorder="1" applyAlignment="1">
      <alignment horizontal="left" vertical="top" wrapText="1"/>
    </xf>
    <xf numFmtId="0" fontId="7" fillId="25" borderId="54" xfId="0" applyFont="1" applyFill="1" applyBorder="1" applyAlignment="1">
      <alignment horizontal="left" vertical="top" wrapText="1"/>
    </xf>
    <xf numFmtId="179" fontId="21" fillId="24" borderId="16" xfId="0" applyNumberFormat="1" applyFont="1" applyFill="1" applyBorder="1" applyAlignment="1">
      <alignment horizontal="center" vertical="center" wrapText="1"/>
    </xf>
    <xf numFmtId="176" fontId="22" fillId="0" borderId="58" xfId="0" applyNumberFormat="1" applyFont="1" applyBorder="1" applyAlignment="1">
      <alignment horizontal="right" vertical="top"/>
    </xf>
    <xf numFmtId="176" fontId="22" fillId="25" borderId="52" xfId="0" applyNumberFormat="1" applyFont="1" applyFill="1" applyBorder="1" applyAlignment="1">
      <alignment horizontal="right" vertical="top"/>
    </xf>
    <xf numFmtId="176" fontId="22" fillId="0" borderId="52" xfId="0" applyNumberFormat="1" applyFont="1" applyBorder="1" applyAlignment="1">
      <alignment horizontal="right" vertical="top"/>
    </xf>
    <xf numFmtId="176" fontId="22" fillId="25" borderId="36" xfId="0" applyNumberFormat="1" applyFont="1" applyFill="1" applyBorder="1" applyAlignment="1">
      <alignment horizontal="right" vertical="top"/>
    </xf>
    <xf numFmtId="176" fontId="22" fillId="25" borderId="21" xfId="0" applyNumberFormat="1" applyFont="1" applyFill="1" applyBorder="1" applyAlignment="1">
      <alignment horizontal="right" vertical="top"/>
    </xf>
    <xf numFmtId="176" fontId="22" fillId="0" borderId="21" xfId="0" applyNumberFormat="1" applyFont="1" applyBorder="1" applyAlignment="1">
      <alignment horizontal="right" vertical="top"/>
    </xf>
    <xf numFmtId="176" fontId="22" fillId="25" borderId="23" xfId="0" applyNumberFormat="1" applyFont="1" applyFill="1" applyBorder="1" applyAlignment="1">
      <alignment horizontal="right" vertical="top"/>
    </xf>
    <xf numFmtId="0" fontId="21" fillId="24" borderId="70" xfId="0" applyFont="1" applyFill="1" applyBorder="1" applyAlignment="1">
      <alignment horizontal="center" vertical="center" wrapText="1"/>
    </xf>
    <xf numFmtId="176" fontId="22" fillId="0" borderId="29" xfId="0" applyNumberFormat="1" applyFont="1" applyBorder="1" applyAlignment="1">
      <alignment horizontal="right" vertical="top"/>
    </xf>
    <xf numFmtId="176" fontId="22" fillId="25" borderId="68" xfId="0" applyNumberFormat="1" applyFont="1" applyFill="1" applyBorder="1" applyAlignment="1">
      <alignment horizontal="right" vertical="top"/>
    </xf>
    <xf numFmtId="176" fontId="22" fillId="0" borderId="68" xfId="0" applyNumberFormat="1" applyFont="1" applyBorder="1" applyAlignment="1">
      <alignment horizontal="right" vertical="top"/>
    </xf>
    <xf numFmtId="176" fontId="22" fillId="25" borderId="69" xfId="0" applyNumberFormat="1" applyFont="1" applyFill="1" applyBorder="1" applyAlignment="1">
      <alignment horizontal="right" vertical="top"/>
    </xf>
    <xf numFmtId="0" fontId="88" fillId="25" borderId="56" xfId="34" applyFont="1" applyFill="1" applyBorder="1" applyAlignment="1" applyProtection="1">
      <alignment horizontal="left" vertical="top" wrapText="1"/>
    </xf>
    <xf numFmtId="0" fontId="88" fillId="0" borderId="56" xfId="34" applyFont="1" applyBorder="1" applyAlignment="1" applyProtection="1">
      <alignment horizontal="left" vertical="top" wrapText="1"/>
    </xf>
    <xf numFmtId="0" fontId="88" fillId="0" borderId="21" xfId="34" applyFont="1" applyBorder="1" applyAlignment="1" applyProtection="1">
      <alignment horizontal="left" vertical="top" wrapText="1"/>
    </xf>
    <xf numFmtId="0" fontId="88" fillId="0" borderId="56" xfId="34" applyFont="1" applyFill="1" applyBorder="1" applyAlignment="1" applyProtection="1">
      <alignment horizontal="left" vertical="top" wrapText="1"/>
    </xf>
    <xf numFmtId="0" fontId="88" fillId="25" borderId="56" xfId="34" applyFont="1" applyFill="1" applyBorder="1" applyAlignment="1" applyProtection="1">
      <alignment horizontal="left" vertical="top" shrinkToFit="1"/>
    </xf>
    <xf numFmtId="0" fontId="88" fillId="0" borderId="56" xfId="34" applyFont="1" applyBorder="1" applyAlignment="1" applyProtection="1">
      <alignment horizontal="left" vertical="top" shrinkToFit="1"/>
    </xf>
    <xf numFmtId="0" fontId="88" fillId="25" borderId="56" xfId="34" applyFont="1" applyFill="1" applyBorder="1" applyAlignment="1" applyProtection="1">
      <alignment horizontal="left" vertical="top" shrinkToFit="1"/>
      <protection locked="0"/>
    </xf>
    <xf numFmtId="0" fontId="88" fillId="0" borderId="56" xfId="34" applyFont="1" applyFill="1" applyBorder="1" applyAlignment="1" applyProtection="1">
      <alignment horizontal="left" vertical="top" shrinkToFit="1"/>
    </xf>
    <xf numFmtId="0" fontId="86" fillId="0" borderId="28" xfId="0" applyFont="1" applyBorder="1" applyAlignment="1">
      <alignment horizontal="center" wrapText="1"/>
    </xf>
    <xf numFmtId="0" fontId="8" fillId="34" borderId="18" xfId="0" applyFont="1" applyFill="1" applyBorder="1" applyAlignment="1" applyProtection="1">
      <alignment horizontal="center"/>
    </xf>
    <xf numFmtId="0" fontId="8" fillId="34" borderId="22" xfId="0" applyFont="1" applyFill="1" applyBorder="1" applyAlignment="1" applyProtection="1">
      <alignment horizontal="center"/>
    </xf>
    <xf numFmtId="0" fontId="8" fillId="34" borderId="19" xfId="0" applyFont="1" applyFill="1" applyBorder="1" applyAlignment="1" applyProtection="1">
      <alignment horizontal="center"/>
    </xf>
    <xf numFmtId="176" fontId="7" fillId="25" borderId="56" xfId="0" applyNumberFormat="1" applyFont="1" applyFill="1" applyBorder="1" applyAlignment="1">
      <alignment horizontal="left" vertical="top"/>
    </xf>
    <xf numFmtId="176" fontId="7" fillId="25" borderId="59" xfId="0" applyNumberFormat="1" applyFont="1" applyFill="1" applyBorder="1" applyAlignment="1">
      <alignment horizontal="left" vertical="top"/>
    </xf>
    <xf numFmtId="176" fontId="7" fillId="25" borderId="53" xfId="0" applyNumberFormat="1" applyFont="1" applyFill="1" applyBorder="1" applyAlignment="1">
      <alignment horizontal="left" vertical="top"/>
    </xf>
    <xf numFmtId="0" fontId="83" fillId="0" borderId="27" xfId="0" applyFont="1" applyBorder="1" applyAlignment="1">
      <alignment horizontal="center" shrinkToFit="1"/>
    </xf>
    <xf numFmtId="0" fontId="83" fillId="0" borderId="28" xfId="0" applyFont="1" applyBorder="1" applyAlignment="1">
      <alignment horizontal="center" shrinkToFit="1"/>
    </xf>
    <xf numFmtId="0" fontId="83" fillId="0" borderId="29" xfId="0" applyFont="1" applyBorder="1" applyAlignment="1">
      <alignment horizontal="center" shrinkToFit="1"/>
    </xf>
    <xf numFmtId="0" fontId="83" fillId="0" borderId="56" xfId="0" applyFont="1" applyBorder="1" applyAlignment="1">
      <alignment horizontal="center" shrinkToFit="1"/>
    </xf>
    <xf numFmtId="0" fontId="83" fillId="0" borderId="68" xfId="0" applyFont="1" applyBorder="1" applyAlignment="1">
      <alignment horizontal="center" shrinkToFit="1"/>
    </xf>
    <xf numFmtId="176" fontId="7" fillId="0" borderId="56" xfId="0" applyNumberFormat="1" applyFont="1" applyBorder="1" applyAlignment="1">
      <alignment horizontal="left" vertical="top"/>
    </xf>
    <xf numFmtId="176" fontId="7" fillId="0" borderId="59" xfId="0" applyNumberFormat="1" applyFont="1" applyBorder="1" applyAlignment="1">
      <alignment horizontal="left" vertical="top"/>
    </xf>
    <xf numFmtId="176" fontId="7" fillId="0" borderId="53" xfId="0" applyNumberFormat="1" applyFont="1" applyBorder="1" applyAlignment="1">
      <alignment horizontal="left" vertical="top"/>
    </xf>
    <xf numFmtId="0" fontId="83" fillId="0" borderId="59" xfId="0" applyFont="1" applyBorder="1" applyAlignment="1">
      <alignment horizontal="center" shrinkToFit="1"/>
    </xf>
    <xf numFmtId="0" fontId="39" fillId="0" borderId="21" xfId="0" applyFont="1" applyBorder="1" applyAlignment="1">
      <alignment horizontal="center"/>
    </xf>
    <xf numFmtId="0" fontId="25" fillId="0" borderId="56" xfId="0" applyFont="1" applyBorder="1" applyAlignment="1">
      <alignment horizontal="center"/>
    </xf>
    <xf numFmtId="0" fontId="25" fillId="0" borderId="59" xfId="0" applyFont="1" applyBorder="1" applyAlignment="1">
      <alignment horizontal="center"/>
    </xf>
    <xf numFmtId="0" fontId="25" fillId="0" borderId="68" xfId="0" applyFont="1" applyBorder="1" applyAlignment="1">
      <alignment horizontal="center"/>
    </xf>
    <xf numFmtId="0" fontId="75" fillId="29" borderId="0" xfId="0" applyFont="1" applyFill="1" applyBorder="1" applyAlignment="1">
      <alignment horizontal="right"/>
    </xf>
    <xf numFmtId="40" fontId="24" fillId="29" borderId="0" xfId="0" applyNumberFormat="1" applyFont="1" applyFill="1" applyBorder="1" applyAlignment="1">
      <alignment horizontal="right" shrinkToFit="1"/>
    </xf>
    <xf numFmtId="0" fontId="75" fillId="29" borderId="0" xfId="0" applyFont="1" applyFill="1" applyBorder="1" applyAlignment="1">
      <alignment horizontal="center" shrinkToFit="1"/>
    </xf>
    <xf numFmtId="38" fontId="18" fillId="26" borderId="0" xfId="0" applyNumberFormat="1" applyFont="1" applyFill="1" applyBorder="1" applyAlignment="1">
      <alignment horizontal="right" shrinkToFit="1"/>
    </xf>
    <xf numFmtId="38" fontId="18" fillId="30" borderId="0" xfId="0" applyNumberFormat="1" applyFont="1" applyFill="1" applyBorder="1" applyAlignment="1">
      <alignment horizontal="right" shrinkToFit="1"/>
    </xf>
    <xf numFmtId="0" fontId="38" fillId="28" borderId="31" xfId="0" applyFont="1" applyFill="1" applyBorder="1" applyAlignment="1">
      <alignment horizontal="left" vertical="center"/>
    </xf>
    <xf numFmtId="0" fontId="38" fillId="28" borderId="0" xfId="0" applyFont="1" applyFill="1" applyBorder="1" applyAlignment="1">
      <alignment horizontal="left" vertical="center"/>
    </xf>
    <xf numFmtId="14" fontId="41" fillId="28" borderId="28" xfId="0" applyNumberFormat="1" applyFont="1" applyFill="1" applyBorder="1" applyAlignment="1">
      <alignment horizontal="left" vertical="center"/>
    </xf>
    <xf numFmtId="14" fontId="41" fillId="28" borderId="28" xfId="0" applyNumberFormat="1" applyFont="1" applyFill="1" applyBorder="1" applyAlignment="1">
      <alignment horizontal="left" vertical="center" indent="1"/>
    </xf>
    <xf numFmtId="0" fontId="37" fillId="28" borderId="0" xfId="0" applyFont="1" applyFill="1" applyBorder="1" applyAlignment="1">
      <alignment horizontal="left" vertical="center"/>
    </xf>
    <xf numFmtId="40" fontId="10" fillId="24" borderId="0" xfId="0" applyNumberFormat="1" applyFont="1" applyFill="1" applyBorder="1" applyAlignment="1">
      <alignment horizontal="right" shrinkToFit="1"/>
    </xf>
    <xf numFmtId="40" fontId="8" fillId="24" borderId="0" xfId="0" applyNumberFormat="1" applyFont="1" applyFill="1" applyBorder="1" applyAlignment="1">
      <alignment horizontal="right" shrinkToFit="1"/>
    </xf>
    <xf numFmtId="40" fontId="18" fillId="30" borderId="0" xfId="0" applyNumberFormat="1" applyFont="1" applyFill="1" applyBorder="1" applyAlignment="1">
      <alignment horizontal="right" shrinkToFit="1"/>
    </xf>
    <xf numFmtId="0" fontId="37" fillId="28" borderId="0" xfId="0" applyFont="1" applyFill="1" applyBorder="1" applyAlignment="1">
      <alignment horizontal="left" vertical="center" indent="1"/>
    </xf>
    <xf numFmtId="0" fontId="10" fillId="24" borderId="0" xfId="0" applyFont="1" applyFill="1" applyBorder="1" applyAlignment="1">
      <alignment horizontal="right" shrinkToFit="1"/>
    </xf>
    <xf numFmtId="0" fontId="66" fillId="0" borderId="28" xfId="0" applyFont="1" applyBorder="1" applyAlignment="1">
      <alignment horizontal="left" wrapText="1"/>
    </xf>
    <xf numFmtId="177" fontId="8" fillId="24" borderId="31" xfId="0" applyNumberFormat="1" applyFont="1" applyFill="1" applyBorder="1" applyAlignment="1">
      <alignment horizontal="right"/>
    </xf>
    <xf numFmtId="0" fontId="66" fillId="0" borderId="0" xfId="0" applyFont="1" applyBorder="1" applyAlignment="1">
      <alignment horizontal="left" wrapText="1"/>
    </xf>
    <xf numFmtId="40" fontId="18" fillId="26" borderId="0" xfId="0" applyNumberFormat="1" applyFont="1" applyFill="1" applyBorder="1" applyAlignment="1">
      <alignment horizontal="right" shrinkToFit="1"/>
    </xf>
    <xf numFmtId="176" fontId="7" fillId="0" borderId="57" xfId="0" applyNumberFormat="1" applyFont="1" applyBorder="1" applyAlignment="1">
      <alignment horizontal="left" vertical="top"/>
    </xf>
    <xf numFmtId="176" fontId="7" fillId="0" borderId="82" xfId="0" applyNumberFormat="1" applyFont="1" applyBorder="1" applyAlignment="1">
      <alignment horizontal="left" vertical="top"/>
    </xf>
    <xf numFmtId="176" fontId="7" fillId="0" borderId="55" xfId="0" applyNumberFormat="1" applyFont="1" applyBorder="1" applyAlignment="1">
      <alignment horizontal="left" vertical="top"/>
    </xf>
    <xf numFmtId="177" fontId="10" fillId="24" borderId="0" xfId="0" applyNumberFormat="1" applyFont="1" applyFill="1" applyBorder="1" applyAlignment="1">
      <alignment horizontal="right"/>
    </xf>
    <xf numFmtId="177" fontId="8" fillId="24" borderId="0" xfId="0" applyNumberFormat="1" applyFont="1" applyFill="1" applyBorder="1" applyAlignment="1">
      <alignment horizontal="right"/>
    </xf>
    <xf numFmtId="0" fontId="25" fillId="0" borderId="21" xfId="0" applyFont="1" applyBorder="1" applyAlignment="1">
      <alignment horizontal="center"/>
    </xf>
    <xf numFmtId="0" fontId="8" fillId="24" borderId="13" xfId="0" applyFont="1" applyFill="1" applyBorder="1" applyAlignment="1">
      <alignment horizontal="center" shrinkToFit="1"/>
    </xf>
    <xf numFmtId="0" fontId="8" fillId="24" borderId="71" xfId="0" applyFont="1" applyFill="1" applyBorder="1" applyAlignment="1">
      <alignment horizontal="center" shrinkToFit="1"/>
    </xf>
    <xf numFmtId="0" fontId="8" fillId="24" borderId="15" xfId="0" applyFont="1" applyFill="1" applyBorder="1" applyAlignment="1">
      <alignment horizontal="center" shrinkToFit="1"/>
    </xf>
    <xf numFmtId="49" fontId="7" fillId="0" borderId="74" xfId="0" applyNumberFormat="1" applyFont="1" applyBorder="1" applyAlignment="1">
      <alignment horizontal="left" vertical="top" wrapText="1"/>
    </xf>
    <xf numFmtId="49" fontId="7" fillId="0" borderId="79" xfId="0" applyNumberFormat="1" applyFont="1" applyBorder="1" applyAlignment="1">
      <alignment horizontal="left" vertical="top" wrapText="1"/>
    </xf>
    <xf numFmtId="49" fontId="7" fillId="0" borderId="81" xfId="0" applyNumberFormat="1" applyFont="1" applyBorder="1" applyAlignment="1">
      <alignment horizontal="left" vertical="top" wrapText="1"/>
    </xf>
    <xf numFmtId="49" fontId="7" fillId="25" borderId="56" xfId="0" applyNumberFormat="1" applyFont="1" applyFill="1" applyBorder="1" applyAlignment="1">
      <alignment horizontal="left" vertical="top" wrapText="1"/>
    </xf>
    <xf numFmtId="49" fontId="7" fillId="25" borderId="59" xfId="0" applyNumberFormat="1" applyFont="1" applyFill="1" applyBorder="1" applyAlignment="1">
      <alignment horizontal="left" vertical="top" wrapText="1"/>
    </xf>
    <xf numFmtId="49" fontId="7" fillId="25" borderId="53" xfId="0" applyNumberFormat="1" applyFont="1" applyFill="1" applyBorder="1" applyAlignment="1">
      <alignment horizontal="left" vertical="top" wrapText="1"/>
    </xf>
    <xf numFmtId="0" fontId="35" fillId="0" borderId="0" xfId="0" applyFont="1" applyBorder="1" applyAlignment="1">
      <alignment horizontal="center" vertical="center" wrapText="1"/>
    </xf>
    <xf numFmtId="0" fontId="35" fillId="0" borderId="0" xfId="0" applyFont="1" applyBorder="1" applyAlignment="1">
      <alignment horizontal="center" vertical="center"/>
    </xf>
    <xf numFmtId="0" fontId="35" fillId="0" borderId="28" xfId="0" applyFont="1" applyBorder="1" applyAlignment="1">
      <alignment horizontal="center" vertical="center"/>
    </xf>
    <xf numFmtId="0" fontId="14" fillId="0" borderId="0" xfId="0" applyFont="1" applyAlignment="1">
      <alignment horizontal="left"/>
    </xf>
    <xf numFmtId="0" fontId="13" fillId="0" borderId="44" xfId="0" applyFont="1" applyBorder="1" applyAlignment="1">
      <alignment horizontal="right"/>
    </xf>
    <xf numFmtId="38" fontId="13" fillId="0" borderId="44" xfId="0" applyNumberFormat="1" applyFont="1" applyBorder="1" applyAlignment="1">
      <alignment horizontal="right"/>
    </xf>
    <xf numFmtId="0" fontId="85" fillId="0" borderId="25" xfId="0" quotePrefix="1" applyFont="1" applyBorder="1" applyAlignment="1">
      <alignment horizontal="left" vertical="top"/>
    </xf>
    <xf numFmtId="0" fontId="85" fillId="0" borderId="0" xfId="0" applyFont="1" applyBorder="1" applyAlignment="1">
      <alignment horizontal="left" vertical="top"/>
    </xf>
    <xf numFmtId="0" fontId="85" fillId="0" borderId="26" xfId="0" applyFont="1" applyBorder="1" applyAlignment="1">
      <alignment horizontal="left" vertical="top"/>
    </xf>
    <xf numFmtId="0" fontId="84" fillId="0" borderId="30" xfId="0" applyFont="1" applyBorder="1" applyAlignment="1">
      <alignment horizontal="center" vertical="top"/>
    </xf>
    <xf numFmtId="0" fontId="84" fillId="0" borderId="31" xfId="0" applyFont="1" applyBorder="1" applyAlignment="1">
      <alignment horizontal="center" vertical="top"/>
    </xf>
    <xf numFmtId="0" fontId="84" fillId="0" borderId="32" xfId="0" applyFont="1" applyBorder="1" applyAlignment="1">
      <alignment horizontal="center" vertical="top"/>
    </xf>
    <xf numFmtId="0" fontId="85" fillId="0" borderId="25" xfId="0" applyFont="1" applyBorder="1" applyAlignment="1">
      <alignment horizontal="left" vertical="top"/>
    </xf>
    <xf numFmtId="0" fontId="7" fillId="0" borderId="21" xfId="0" applyFont="1" applyBorder="1" applyAlignment="1">
      <alignment horizontal="left" vertical="center" wrapText="1"/>
    </xf>
    <xf numFmtId="0" fontId="7" fillId="0" borderId="21" xfId="0" applyFont="1" applyBorder="1" applyAlignment="1">
      <alignment horizontal="left" vertical="center"/>
    </xf>
    <xf numFmtId="0" fontId="0" fillId="0" borderId="56" xfId="0" applyBorder="1" applyAlignment="1">
      <alignment horizontal="left" vertical="center"/>
    </xf>
    <xf numFmtId="0" fontId="0" fillId="0" borderId="56" xfId="0" applyBorder="1" applyAlignment="1">
      <alignment horizontal="left" vertical="center" wrapText="1"/>
    </xf>
    <xf numFmtId="0" fontId="85" fillId="0" borderId="25" xfId="0" applyFont="1" applyBorder="1" applyAlignment="1">
      <alignment horizontal="left" vertical="top" wrapText="1"/>
    </xf>
    <xf numFmtId="0" fontId="85" fillId="0" borderId="0" xfId="0" applyFont="1" applyBorder="1" applyAlignment="1">
      <alignment horizontal="left" vertical="top" wrapText="1"/>
    </xf>
    <xf numFmtId="0" fontId="85" fillId="0" borderId="26" xfId="0" applyFont="1" applyBorder="1" applyAlignment="1">
      <alignment horizontal="left" vertical="top" wrapText="1"/>
    </xf>
    <xf numFmtId="0" fontId="84" fillId="0" borderId="25" xfId="0" applyFont="1" applyBorder="1" applyAlignment="1">
      <alignment horizontal="left" vertical="top"/>
    </xf>
    <xf numFmtId="0" fontId="84" fillId="0" borderId="0" xfId="0" applyFont="1" applyBorder="1" applyAlignment="1">
      <alignment horizontal="left" vertical="top"/>
    </xf>
    <xf numFmtId="0" fontId="84" fillId="0" borderId="26" xfId="0" applyFont="1" applyBorder="1" applyAlignment="1">
      <alignment horizontal="left" vertical="top"/>
    </xf>
    <xf numFmtId="0" fontId="85" fillId="0" borderId="25" xfId="0" quotePrefix="1" applyFont="1" applyBorder="1" applyAlignment="1">
      <alignment horizontal="left" vertical="top" wrapText="1"/>
    </xf>
    <xf numFmtId="0" fontId="85" fillId="0" borderId="27" xfId="0" applyFont="1" applyBorder="1" applyAlignment="1">
      <alignment horizontal="left" vertical="top"/>
    </xf>
    <xf numFmtId="0" fontId="85" fillId="0" borderId="28" xfId="0" applyFont="1" applyBorder="1" applyAlignment="1">
      <alignment horizontal="left" vertical="top"/>
    </xf>
    <xf numFmtId="0" fontId="85" fillId="0" borderId="29" xfId="0" applyFont="1" applyBorder="1" applyAlignment="1">
      <alignment horizontal="left" vertical="top"/>
    </xf>
    <xf numFmtId="0" fontId="81" fillId="0" borderId="80" xfId="0" applyFont="1" applyBorder="1" applyAlignment="1">
      <alignment horizontal="left" vertical="center" wrapText="1"/>
    </xf>
    <xf numFmtId="0" fontId="81" fillId="0" borderId="0" xfId="0" applyFont="1" applyBorder="1" applyAlignment="1">
      <alignment horizontal="left" vertical="center" wrapText="1"/>
    </xf>
    <xf numFmtId="0" fontId="8" fillId="31" borderId="77" xfId="0" applyFont="1" applyFill="1" applyBorder="1" applyAlignment="1">
      <alignment horizontal="left" vertical="top"/>
    </xf>
    <xf numFmtId="0" fontId="8" fillId="31" borderId="76" xfId="0" applyFont="1" applyFill="1" applyBorder="1" applyAlignment="1">
      <alignment horizontal="left" vertical="top"/>
    </xf>
    <xf numFmtId="0" fontId="8" fillId="24" borderId="11" xfId="0" applyFont="1" applyFill="1" applyBorder="1" applyAlignment="1">
      <alignment horizontal="center" vertical="center"/>
    </xf>
    <xf numFmtId="0" fontId="8" fillId="24" borderId="13" xfId="0" applyFont="1" applyFill="1" applyBorder="1" applyAlignment="1">
      <alignment horizontal="center" vertical="center"/>
    </xf>
    <xf numFmtId="0" fontId="7" fillId="0" borderId="46" xfId="0" applyFont="1" applyBorder="1" applyAlignment="1">
      <alignment horizontal="left" vertical="center" wrapText="1"/>
    </xf>
    <xf numFmtId="0" fontId="7" fillId="0" borderId="27" xfId="0" applyFont="1" applyBorder="1" applyAlignment="1">
      <alignment horizontal="left" vertical="center" wrapText="1"/>
    </xf>
    <xf numFmtId="0" fontId="8" fillId="24" borderId="35" xfId="0" applyFont="1" applyFill="1" applyBorder="1" applyAlignment="1">
      <alignment horizontal="left" vertical="top"/>
    </xf>
    <xf numFmtId="0" fontId="8" fillId="24" borderId="81" xfId="0" applyFont="1" applyFill="1" applyBorder="1" applyAlignment="1">
      <alignment horizontal="left" vertical="top"/>
    </xf>
    <xf numFmtId="0" fontId="8" fillId="24" borderId="35" xfId="0" applyFont="1" applyFill="1" applyBorder="1" applyAlignment="1">
      <alignment horizontal="left" vertical="center"/>
    </xf>
    <xf numFmtId="0" fontId="8" fillId="24" borderId="81" xfId="0" applyFont="1" applyFill="1" applyBorder="1" applyAlignment="1">
      <alignment horizontal="left" vertical="center"/>
    </xf>
    <xf numFmtId="0" fontId="7" fillId="0" borderId="56" xfId="0" applyFont="1" applyBorder="1" applyAlignment="1">
      <alignment horizontal="left" vertical="center"/>
    </xf>
    <xf numFmtId="0" fontId="7" fillId="0" borderId="23" xfId="0" applyFont="1" applyBorder="1" applyAlignment="1">
      <alignment horizontal="left" vertical="center"/>
    </xf>
    <xf numFmtId="0" fontId="0" fillId="0" borderId="57" xfId="0" applyBorder="1" applyAlignment="1">
      <alignment horizontal="left" vertical="center"/>
    </xf>
    <xf numFmtId="0" fontId="8" fillId="31" borderId="77" xfId="0" applyFont="1" applyFill="1" applyBorder="1" applyAlignment="1" applyProtection="1">
      <alignment horizontal="left" vertical="top"/>
    </xf>
    <xf numFmtId="0" fontId="8" fillId="31" borderId="76" xfId="0" applyFont="1" applyFill="1" applyBorder="1" applyAlignment="1" applyProtection="1">
      <alignment horizontal="left" vertical="top"/>
    </xf>
    <xf numFmtId="0" fontId="8" fillId="24" borderId="35" xfId="0" applyFont="1" applyFill="1" applyBorder="1" applyAlignment="1" applyProtection="1">
      <alignment horizontal="left" vertical="top"/>
    </xf>
    <xf numFmtId="0" fontId="8" fillId="24" borderId="81" xfId="0" applyFont="1" applyFill="1" applyBorder="1" applyAlignment="1" applyProtection="1">
      <alignment horizontal="left" vertical="top"/>
    </xf>
    <xf numFmtId="0" fontId="81" fillId="0" borderId="80" xfId="0" applyFont="1" applyBorder="1" applyAlignment="1" applyProtection="1">
      <alignment horizontal="left" vertical="center" wrapText="1"/>
    </xf>
    <xf numFmtId="0" fontId="81" fillId="0" borderId="0" xfId="0" applyFont="1" applyBorder="1" applyAlignment="1" applyProtection="1">
      <alignment horizontal="left" vertical="center" wrapText="1"/>
    </xf>
    <xf numFmtId="0" fontId="8" fillId="24" borderId="35" xfId="0" applyFont="1" applyFill="1" applyBorder="1" applyAlignment="1" applyProtection="1">
      <alignment horizontal="left" vertical="center"/>
    </xf>
    <xf numFmtId="0" fontId="8" fillId="24" borderId="81" xfId="0" applyFont="1" applyFill="1" applyBorder="1" applyAlignment="1" applyProtection="1">
      <alignment horizontal="left" vertical="center"/>
    </xf>
    <xf numFmtId="0" fontId="8" fillId="32" borderId="0" xfId="0" applyFont="1" applyFill="1" applyAlignment="1" applyProtection="1">
      <alignment horizontal="center" vertical="top"/>
    </xf>
    <xf numFmtId="0" fontId="47" fillId="0" borderId="21" xfId="45" applyFont="1" applyBorder="1" applyAlignment="1">
      <alignment horizontal="left" vertical="center" wrapText="1"/>
    </xf>
    <xf numFmtId="0" fontId="65" fillId="0" borderId="28" xfId="0" applyFont="1" applyBorder="1" applyAlignment="1">
      <alignment horizontal="center"/>
    </xf>
    <xf numFmtId="0" fontId="43" fillId="0" borderId="28" xfId="0" applyFont="1" applyBorder="1" applyAlignment="1">
      <alignment horizontal="center"/>
    </xf>
    <xf numFmtId="0" fontId="46" fillId="0" borderId="21" xfId="45" applyFont="1" applyBorder="1" applyAlignment="1">
      <alignment vertical="center" wrapText="1"/>
    </xf>
    <xf numFmtId="0" fontId="47" fillId="0" borderId="21" xfId="45" applyFont="1" applyBorder="1" applyAlignment="1">
      <alignment vertical="center" wrapText="1"/>
    </xf>
    <xf numFmtId="0" fontId="89" fillId="0" borderId="21" xfId="45" applyFont="1" applyBorder="1" applyAlignment="1">
      <alignment vertical="center" wrapText="1"/>
    </xf>
    <xf numFmtId="0" fontId="46" fillId="0" borderId="21" xfId="45" applyFont="1" applyBorder="1" applyAlignment="1">
      <alignment horizontal="left" vertical="center" wrapText="1"/>
    </xf>
    <xf numFmtId="0" fontId="44" fillId="24" borderId="21" xfId="45" applyFont="1" applyFill="1" applyBorder="1" applyAlignment="1">
      <alignment horizontal="center"/>
    </xf>
    <xf numFmtId="0" fontId="45" fillId="24" borderId="21" xfId="45" applyFont="1" applyFill="1" applyBorder="1" applyAlignment="1">
      <alignment horizontal="center"/>
    </xf>
    <xf numFmtId="0" fontId="46" fillId="0" borderId="56" xfId="45" applyFont="1" applyBorder="1" applyAlignment="1">
      <alignment horizontal="left" vertical="center" wrapText="1"/>
    </xf>
    <xf numFmtId="0" fontId="46" fillId="0" borderId="59" xfId="45" applyFont="1" applyBorder="1" applyAlignment="1">
      <alignment horizontal="left" vertical="center" wrapText="1"/>
    </xf>
    <xf numFmtId="0" fontId="46" fillId="0" borderId="68" xfId="45" applyFont="1" applyBorder="1" applyAlignment="1">
      <alignment horizontal="left" vertical="center" wrapText="1"/>
    </xf>
    <xf numFmtId="0" fontId="45" fillId="0" borderId="56" xfId="45" applyFont="1" applyBorder="1" applyAlignment="1">
      <alignment horizontal="left" vertical="center" wrapText="1"/>
    </xf>
    <xf numFmtId="0" fontId="45" fillId="0" borderId="59" xfId="45" applyFont="1" applyBorder="1" applyAlignment="1">
      <alignment horizontal="left" vertical="center" wrapText="1"/>
    </xf>
    <xf numFmtId="0" fontId="45" fillId="0" borderId="68" xfId="45" applyFont="1" applyBorder="1" applyAlignment="1">
      <alignment horizontal="left" vertical="center" wrapText="1"/>
    </xf>
    <xf numFmtId="0" fontId="14" fillId="0" borderId="0" xfId="0" applyFont="1" applyAlignment="1" applyProtection="1">
      <alignment horizontal="left"/>
      <protection locked="0"/>
    </xf>
    <xf numFmtId="0" fontId="13" fillId="0" borderId="44" xfId="0" applyFont="1" applyBorder="1" applyAlignment="1" applyProtection="1">
      <alignment horizontal="right"/>
      <protection locked="0"/>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_FJN-DEV-REF-2007-0002 (Requirements Elicitation Checklist_CustomerName_ProjectName_(YYYYMMDD)) (Rev. 1.00)" xfId="38"/>
    <cellStyle name="Normal_FJN-DEV-REF-2007-xxxx (ProjectID_ProjectManagementChecklist_YYYYMMDD) (Rev. 1.00)" xfId="39"/>
    <cellStyle name="Note" xfId="40" builtinId="10" customBuiltin="1"/>
    <cellStyle name="Output" xfId="41" builtinId="21" customBuiltin="1"/>
    <cellStyle name="Percent" xfId="46" builtinId="5"/>
    <cellStyle name="Title" xfId="42" builtinId="15" customBuiltin="1"/>
    <cellStyle name="Total" xfId="43" builtinId="25" customBuiltin="1"/>
    <cellStyle name="Warning Text" xfId="44" builtinId="11" customBuiltin="1"/>
    <cellStyle name="標準_Sheet1" xfId="45"/>
  </cellStyles>
  <dxfs count="89">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solid">
          <bgColor indexed="22"/>
        </patternFill>
      </fill>
    </dxf>
    <dxf>
      <fill>
        <patternFill>
          <bgColor indexed="55"/>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solid">
          <bgColor indexed="22"/>
        </patternFill>
      </fill>
    </dxf>
    <dxf>
      <fill>
        <patternFill>
          <bgColor indexed="55"/>
        </patternFill>
      </fill>
    </dxf>
    <dxf>
      <fill>
        <patternFill patternType="none">
          <bgColor indexed="65"/>
        </patternFill>
      </fill>
    </dxf>
    <dxf>
      <fill>
        <patternFill>
          <bgColor indexed="41"/>
        </patternFill>
      </fill>
    </dxf>
    <dxf>
      <fill>
        <patternFill>
          <bgColor rgb="FFFF0000"/>
        </patternFill>
      </fill>
    </dxf>
    <dxf>
      <fill>
        <patternFill patternType="none">
          <bgColor indexed="65"/>
        </patternFill>
      </fill>
    </dxf>
    <dxf>
      <fill>
        <patternFill>
          <bgColor indexed="41"/>
        </patternFill>
      </fill>
    </dxf>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2</xdr:col>
      <xdr:colOff>1466850</xdr:colOff>
      <xdr:row>0</xdr:row>
      <xdr:rowOff>47625</xdr:rowOff>
    </xdr:from>
    <xdr:to>
      <xdr:col>3</xdr:col>
      <xdr:colOff>190500</xdr:colOff>
      <xdr:row>4</xdr:row>
      <xdr:rowOff>95250</xdr:rowOff>
    </xdr:to>
    <xdr:pic>
      <xdr:nvPicPr>
        <xdr:cNvPr id="1597" name="Picture 13" descr="CMMI_Logo"/>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1809750" y="47625"/>
          <a:ext cx="714375" cy="5810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2</xdr:col>
      <xdr:colOff>1381125</xdr:colOff>
      <xdr:row>5</xdr:row>
      <xdr:rowOff>19050</xdr:rowOff>
    </xdr:to>
    <xdr:pic>
      <xdr:nvPicPr>
        <xdr:cNvPr id="1598" name="Picture 15" descr="Logo"/>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t="8154" b="13295"/>
        <a:stretch>
          <a:fillRect/>
        </a:stretch>
      </xdr:blipFill>
      <xdr:spPr bwMode="auto">
        <a:xfrm>
          <a:off x="0" y="0"/>
          <a:ext cx="1724025" cy="6858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3</xdr:col>
      <xdr:colOff>200025</xdr:colOff>
      <xdr:row>0</xdr:row>
      <xdr:rowOff>9525</xdr:rowOff>
    </xdr:from>
    <xdr:to>
      <xdr:col>5</xdr:col>
      <xdr:colOff>285750</xdr:colOff>
      <xdr:row>4</xdr:row>
      <xdr:rowOff>114300</xdr:rowOff>
    </xdr:to>
    <xdr:pic>
      <xdr:nvPicPr>
        <xdr:cNvPr id="1599" name="Picture 5" descr="9105052233_037233_small"/>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2533650" y="9525"/>
          <a:ext cx="1190625" cy="6381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comments" Target="../comments1.xml"/><Relationship Id="rId2" Type="http://schemas.openxmlformats.org/officeDocument/2006/relationships/hyperlink" Target="http://www.fujinet.net/" TargetMode="External"/><Relationship Id="rId1" Type="http://schemas.openxmlformats.org/officeDocument/2006/relationships/hyperlink" Target="mailto:info@fujinet.net" TargetMode="External"/><Relationship Id="rId6" Type="http://schemas.openxmlformats.org/officeDocument/2006/relationships/oleObject" Target="../embeddings/oleObject1.bin"/><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sheetPr codeName="Sheet1"/>
  <dimension ref="A1:AO152"/>
  <sheetViews>
    <sheetView tabSelected="1" view="pageBreakPreview" zoomScaleNormal="100" zoomScaleSheetLayoutView="100" workbookViewId="0"/>
  </sheetViews>
  <sheetFormatPr defaultRowHeight="15.75"/>
  <cols>
    <col min="1" max="1" width="0.75" style="1" customWidth="1"/>
    <col min="2" max="2" width="3.75" style="1" bestFit="1" customWidth="1"/>
    <col min="3" max="3" width="26.125" style="1" customWidth="1"/>
    <col min="4" max="5" width="7.25" style="1" customWidth="1"/>
    <col min="6" max="6" width="6.75" style="1" customWidth="1"/>
    <col min="7" max="7" width="6.625" style="1" customWidth="1"/>
    <col min="8" max="10" width="7.375" style="1" customWidth="1"/>
    <col min="11" max="11" width="6.75" style="1" customWidth="1"/>
    <col min="12" max="12" width="6.25" style="1" customWidth="1"/>
    <col min="13" max="13" width="1.125" style="1" customWidth="1"/>
    <col min="14" max="14" width="9" style="1"/>
    <col min="15" max="15" width="4.5" style="88" bestFit="1" customWidth="1"/>
    <col min="16" max="16" width="4.375" style="88" bestFit="1" customWidth="1"/>
    <col min="17" max="17" width="4.5" style="88" bestFit="1" customWidth="1"/>
    <col min="18" max="20" width="4.125" style="88" bestFit="1" customWidth="1"/>
    <col min="21" max="21" width="3.875" style="88" bestFit="1" customWidth="1"/>
    <col min="22" max="22" width="4.125" style="88" bestFit="1" customWidth="1"/>
    <col min="23" max="23" width="3.125" style="1" customWidth="1"/>
    <col min="24" max="28" width="9" style="1"/>
    <col min="29" max="29" width="2.625" style="1" customWidth="1"/>
    <col min="30" max="16384" width="9" style="1"/>
  </cols>
  <sheetData>
    <row r="1" spans="1:41" s="81" customFormat="1" ht="11.1" customHeight="1">
      <c r="A1" s="79"/>
      <c r="B1" s="79"/>
      <c r="C1" s="79"/>
      <c r="D1" s="79"/>
      <c r="E1" s="79"/>
      <c r="G1" s="154" t="s">
        <v>216</v>
      </c>
      <c r="H1" s="156" t="s">
        <v>217</v>
      </c>
      <c r="I1" s="156"/>
      <c r="J1" s="155"/>
      <c r="K1" s="155"/>
      <c r="L1" s="155"/>
      <c r="M1" s="155"/>
      <c r="N1" s="155"/>
      <c r="O1" s="310"/>
      <c r="P1" s="310"/>
      <c r="Q1" s="310"/>
      <c r="R1" s="310"/>
      <c r="S1" s="310"/>
      <c r="T1" s="310"/>
      <c r="U1" s="310"/>
      <c r="V1" s="310"/>
      <c r="W1" s="155"/>
      <c r="X1" s="155"/>
      <c r="AD1" s="82"/>
      <c r="AE1" s="82"/>
      <c r="AF1" s="82"/>
      <c r="AG1" s="82"/>
      <c r="AH1" s="82"/>
      <c r="AI1" s="82"/>
    </row>
    <row r="2" spans="1:41" s="81" customFormat="1" ht="11.1" customHeight="1">
      <c r="A2" s="79"/>
      <c r="B2" s="79"/>
      <c r="C2" s="79"/>
      <c r="D2" s="79"/>
      <c r="E2" s="79"/>
      <c r="G2" s="154" t="s">
        <v>138</v>
      </c>
      <c r="H2" s="83" t="s">
        <v>139</v>
      </c>
      <c r="I2" s="83"/>
      <c r="K2" s="155"/>
      <c r="L2" s="155"/>
      <c r="M2" s="155"/>
      <c r="N2" s="155"/>
      <c r="O2" s="310"/>
      <c r="P2" s="310"/>
      <c r="Q2" s="310"/>
      <c r="R2" s="310"/>
      <c r="S2" s="310"/>
      <c r="T2" s="310"/>
      <c r="U2" s="310"/>
      <c r="V2" s="310"/>
      <c r="W2" s="155"/>
      <c r="X2" s="155"/>
      <c r="AD2" s="82"/>
      <c r="AE2" s="82"/>
      <c r="AF2" s="82"/>
      <c r="AG2" s="82"/>
      <c r="AH2" s="82"/>
      <c r="AI2" s="82"/>
    </row>
    <row r="3" spans="1:41" s="81" customFormat="1" ht="11.1" customHeight="1">
      <c r="A3" s="79"/>
      <c r="B3" s="79"/>
      <c r="C3" s="79"/>
      <c r="D3" s="79"/>
      <c r="E3" s="79"/>
      <c r="G3" s="154" t="s">
        <v>140</v>
      </c>
      <c r="H3" s="83" t="s">
        <v>141</v>
      </c>
      <c r="I3" s="83"/>
      <c r="K3" s="153"/>
      <c r="L3" s="153"/>
      <c r="M3" s="153"/>
      <c r="N3" s="153"/>
      <c r="O3" s="311"/>
      <c r="P3" s="311"/>
      <c r="Q3" s="311"/>
      <c r="R3" s="311"/>
      <c r="S3" s="311"/>
      <c r="T3" s="311"/>
      <c r="U3" s="311"/>
      <c r="V3" s="311"/>
      <c r="W3" s="153"/>
      <c r="X3" s="153"/>
      <c r="AD3" s="82"/>
      <c r="AE3" s="82"/>
      <c r="AF3" s="82"/>
      <c r="AG3" s="82"/>
      <c r="AH3" s="82"/>
      <c r="AI3" s="82"/>
    </row>
    <row r="4" spans="1:41" s="81" customFormat="1" ht="11.1" customHeight="1">
      <c r="A4" s="79"/>
      <c r="B4" s="79"/>
      <c r="C4" s="80"/>
      <c r="D4" s="79"/>
      <c r="E4" s="79"/>
      <c r="F4" s="80"/>
      <c r="G4" s="83"/>
      <c r="H4" s="83"/>
      <c r="I4" s="79"/>
      <c r="J4" s="79"/>
      <c r="K4" s="79"/>
      <c r="L4" s="79"/>
      <c r="M4" s="79"/>
      <c r="N4" s="79"/>
      <c r="O4" s="312"/>
      <c r="P4" s="312"/>
      <c r="Q4" s="312"/>
      <c r="R4" s="312"/>
      <c r="S4" s="312"/>
      <c r="T4" s="312"/>
      <c r="U4" s="312"/>
      <c r="V4" s="312"/>
      <c r="W4" s="79"/>
      <c r="AG4" s="82"/>
      <c r="AH4" s="82"/>
      <c r="AI4" s="82"/>
    </row>
    <row r="5" spans="1:41" s="81" customFormat="1" ht="11.1" customHeight="1">
      <c r="A5" s="79"/>
      <c r="B5" s="79"/>
      <c r="C5" s="80"/>
      <c r="D5" s="79"/>
      <c r="E5" s="79"/>
      <c r="F5" s="79"/>
      <c r="G5" s="79"/>
      <c r="H5" s="79"/>
      <c r="I5" s="79"/>
      <c r="J5" s="79"/>
      <c r="K5" s="79"/>
      <c r="L5" s="79"/>
      <c r="M5" s="79"/>
      <c r="N5" s="79"/>
      <c r="O5" s="312"/>
      <c r="P5" s="312"/>
      <c r="Q5" s="312"/>
      <c r="R5" s="312"/>
      <c r="S5" s="312"/>
      <c r="T5" s="312"/>
      <c r="U5" s="312"/>
      <c r="V5" s="312"/>
      <c r="W5" s="79"/>
      <c r="AG5" s="82"/>
      <c r="AH5" s="82"/>
      <c r="AI5" s="82"/>
    </row>
    <row r="6" spans="1:41" s="86" customFormat="1" ht="4.7" customHeight="1">
      <c r="A6" s="84"/>
      <c r="B6" s="84"/>
      <c r="C6" s="84"/>
      <c r="D6" s="84"/>
      <c r="E6" s="84"/>
      <c r="F6" s="84"/>
      <c r="G6" s="84"/>
      <c r="H6" s="84"/>
      <c r="I6" s="84"/>
      <c r="J6" s="84"/>
      <c r="K6" s="84"/>
      <c r="L6" s="84"/>
      <c r="M6" s="84"/>
      <c r="N6" s="85"/>
      <c r="O6" s="313"/>
      <c r="P6" s="313"/>
      <c r="Q6" s="313"/>
      <c r="R6" s="313"/>
      <c r="S6" s="313"/>
      <c r="T6" s="313"/>
      <c r="U6" s="313"/>
      <c r="V6" s="313"/>
      <c r="W6" s="85"/>
      <c r="X6" s="85"/>
      <c r="Y6" s="85"/>
      <c r="AG6" s="87"/>
      <c r="AH6" s="87"/>
      <c r="AI6" s="87"/>
      <c r="AJ6" s="87"/>
      <c r="AK6" s="87"/>
      <c r="AL6" s="87"/>
      <c r="AM6" s="87"/>
      <c r="AN6" s="87"/>
    </row>
    <row r="7" spans="1:41" ht="9.9499999999999993" customHeight="1">
      <c r="A7" s="103"/>
      <c r="B7" s="103"/>
      <c r="C7" s="103"/>
      <c r="D7" s="103"/>
      <c r="E7" s="103"/>
      <c r="F7" s="103"/>
      <c r="G7" s="103"/>
      <c r="H7" s="103"/>
      <c r="I7" s="103"/>
      <c r="J7" s="103"/>
      <c r="K7" s="103"/>
      <c r="L7" s="103"/>
      <c r="M7" s="103"/>
    </row>
    <row r="8" spans="1:41" ht="28.5" customHeight="1">
      <c r="A8" s="616" t="s">
        <v>350</v>
      </c>
      <c r="B8" s="617"/>
      <c r="C8" s="617"/>
      <c r="D8" s="617"/>
      <c r="E8" s="617"/>
      <c r="F8" s="617"/>
      <c r="G8" s="617"/>
      <c r="H8" s="617"/>
      <c r="I8" s="617"/>
      <c r="J8" s="617"/>
      <c r="K8" s="617"/>
      <c r="L8" s="617"/>
      <c r="M8" s="617"/>
      <c r="X8" s="562" t="s">
        <v>441</v>
      </c>
      <c r="Y8" s="562"/>
      <c r="Z8" s="562"/>
      <c r="AA8" s="562"/>
      <c r="AB8" s="562"/>
    </row>
    <row r="9" spans="1:41" ht="18" customHeight="1">
      <c r="A9" s="618"/>
      <c r="B9" s="618"/>
      <c r="C9" s="618"/>
      <c r="D9" s="618"/>
      <c r="E9" s="618"/>
      <c r="F9" s="618"/>
      <c r="G9" s="618"/>
      <c r="H9" s="618"/>
      <c r="I9" s="618"/>
      <c r="J9" s="618"/>
      <c r="K9" s="618"/>
      <c r="L9" s="618"/>
      <c r="M9" s="618"/>
      <c r="O9" s="606" t="s">
        <v>285</v>
      </c>
      <c r="P9" s="606"/>
      <c r="Q9" s="606"/>
      <c r="R9" s="606"/>
      <c r="S9" s="606"/>
      <c r="T9" s="606"/>
      <c r="U9" s="606"/>
      <c r="V9" s="606"/>
      <c r="X9" s="579" t="s">
        <v>359</v>
      </c>
      <c r="Y9" s="580"/>
      <c r="Z9" s="580"/>
      <c r="AA9" s="580"/>
      <c r="AB9" s="581"/>
      <c r="AD9" s="578" t="s">
        <v>360</v>
      </c>
      <c r="AE9" s="578"/>
      <c r="AF9" s="578"/>
      <c r="AG9" s="578"/>
      <c r="AH9" s="578"/>
      <c r="AI9" s="578"/>
      <c r="AJ9" s="578"/>
      <c r="AK9" s="578"/>
      <c r="AL9" s="578"/>
      <c r="AM9" s="578"/>
      <c r="AN9" s="578"/>
      <c r="AO9" s="578"/>
    </row>
    <row r="10" spans="1:41" s="88" customFormat="1" ht="24">
      <c r="A10" s="107"/>
      <c r="B10" s="108"/>
      <c r="C10" s="109" t="s">
        <v>142</v>
      </c>
      <c r="D10" s="587" t="s">
        <v>451</v>
      </c>
      <c r="E10" s="587"/>
      <c r="F10" s="587"/>
      <c r="G10" s="587"/>
      <c r="H10" s="587"/>
      <c r="I10" s="587"/>
      <c r="J10" s="110"/>
      <c r="K10" s="110"/>
      <c r="L10" s="266"/>
      <c r="M10" s="111"/>
      <c r="O10" s="315" t="s">
        <v>276</v>
      </c>
      <c r="P10" s="315" t="s">
        <v>277</v>
      </c>
      <c r="Q10" s="315" t="s">
        <v>278</v>
      </c>
      <c r="R10" s="315" t="s">
        <v>279</v>
      </c>
      <c r="S10" s="315" t="s">
        <v>280</v>
      </c>
      <c r="T10" s="315" t="s">
        <v>281</v>
      </c>
      <c r="U10" s="315" t="s">
        <v>282</v>
      </c>
      <c r="V10" s="315" t="s">
        <v>283</v>
      </c>
      <c r="X10" s="343" t="s">
        <v>351</v>
      </c>
      <c r="Y10" s="315" t="s">
        <v>352</v>
      </c>
      <c r="Z10" s="315" t="s">
        <v>353</v>
      </c>
      <c r="AA10" s="315" t="s">
        <v>354</v>
      </c>
      <c r="AB10" s="367" t="s">
        <v>355</v>
      </c>
      <c r="AD10" s="346" t="s">
        <v>361</v>
      </c>
      <c r="AE10" s="346" t="s">
        <v>392</v>
      </c>
      <c r="AF10" s="346" t="s">
        <v>362</v>
      </c>
      <c r="AG10" s="346" t="s">
        <v>364</v>
      </c>
      <c r="AH10" s="346" t="s">
        <v>363</v>
      </c>
      <c r="AI10" s="346" t="s">
        <v>365</v>
      </c>
      <c r="AJ10" s="346" t="s">
        <v>366</v>
      </c>
      <c r="AK10" s="346" t="s">
        <v>309</v>
      </c>
      <c r="AL10" s="346" t="s">
        <v>367</v>
      </c>
      <c r="AM10" s="346" t="s">
        <v>310</v>
      </c>
      <c r="AN10" s="346" t="s">
        <v>371</v>
      </c>
      <c r="AO10" s="346" t="s">
        <v>311</v>
      </c>
    </row>
    <row r="11" spans="1:41" s="88" customFormat="1" ht="24">
      <c r="A11" s="112"/>
      <c r="B11" s="105"/>
      <c r="C11" s="90" t="s">
        <v>143</v>
      </c>
      <c r="D11" s="588" t="s">
        <v>449</v>
      </c>
      <c r="E11" s="588"/>
      <c r="F11" s="588"/>
      <c r="G11" s="588"/>
      <c r="H11" s="588"/>
      <c r="I11" s="588"/>
      <c r="J11" s="106"/>
      <c r="K11" s="106"/>
      <c r="L11" s="267"/>
      <c r="M11" s="113"/>
      <c r="O11" s="316"/>
      <c r="P11" s="316"/>
      <c r="Q11" s="316"/>
      <c r="R11" s="316" t="s">
        <v>284</v>
      </c>
      <c r="S11" s="316" t="s">
        <v>356</v>
      </c>
      <c r="T11" s="316" t="s">
        <v>356</v>
      </c>
      <c r="U11" s="316"/>
      <c r="V11" s="316"/>
      <c r="X11" s="342">
        <f>((SUM('PG1'!$L$4:$L$53,'PG2'!$E$4:$E$53,'PG3'!$E$4:$E$53)+SUM('PG2'!$F$4:$F$53,'PG3'!$F$4:$F$53)*SampleLOCConvRate)/1000)/(SUM($F$17:$F$47)/MM_Rate)</f>
        <v>4.7528745980707408</v>
      </c>
      <c r="Y11" s="342">
        <f>IF(IsEstimateUT=0,"",((SUM('PG1'!$L$4:$L$53,'PG2'!$E$4:$E$53,'PG3'!$E$4:$E$53)+SUM('PG2'!$F$4:$F$53,'PG3'!$F$4:$F$53)*SampleLOCConvRate)/1000)/(SUM($F$17:$G$47)/MM_Rate))</f>
        <v>1.8833858568698243</v>
      </c>
      <c r="Z11" s="342">
        <f>IF(IsEstimateCT=0,"",((SUM('PG1'!$L$4:$L$53,'PG2'!$E$4:$E$53,'PG3'!$E$4:$E$53)+SUM('PG2'!$F$4:$F$53,'PG3'!$F$4:$F$53)*SampleLOCConvRate)/1000)/(SUM($E$17:$H$47)/MM_Rate))</f>
        <v>1.3132831842681991</v>
      </c>
      <c r="AA11" s="342" t="str">
        <f>IF(IsEstimateST=0,"",((SUM('PG1'!$L$4:$L$53,'PG2'!$E$4:$E$53,'PG3'!$E$4:$E$53)+SUM('PG2'!$F$4:$F$53,'PG3'!$F$4:$F$53)*SampleLOCConvRate)/1000)/(SUM($D$17:$I$47)/MM_Rate))</f>
        <v/>
      </c>
      <c r="AB11" s="342">
        <f>((SUM('PG1'!$L$4:$L$53,'PG2'!$E$4:$E$53,'PG3'!$E$4:$E$53)+SUM('PG2'!$F$4:$F$53,'PG3'!$F$4:$F$53)*SampleLOCConvRate)/1000)/(SUM($D$17:$I$47)/MM_Rate)</f>
        <v>1.3132831842681991</v>
      </c>
      <c r="AD11" s="347">
        <f>IFERROR(SUM(BD!D4:D33)/(SUM(BD!G4:G33)/MM_Rate),"")</f>
        <v>40</v>
      </c>
      <c r="AE11" s="347">
        <f>IFERROR(SUM(BD!D4:D33)/(SUM(BD!H4:H33)/MM_Rate),"")</f>
        <v>200</v>
      </c>
      <c r="AF11" s="347">
        <f>IFERROR(SUM(DD!E4:E53)/(SUM(DD!H4:H53)/MM_Rate),"")</f>
        <v>80</v>
      </c>
      <c r="AG11" s="347">
        <f>IFERROR(SUM(DD!E4:E53)/(SUM(DD!I4:I53)/MM_Rate),"")</f>
        <v>400</v>
      </c>
      <c r="AH11" s="355">
        <f>IFERROR(((SUM('PG1'!L4:L53,'PG2'!E4:E53,'PG3'!E4:E53)+SUM('PG2'!F4:F53,'PG3'!F4:F53)*SampleLOCConvRate)/1000)/((SUM('PG2'!J4:J53,'PG3'!J4:J53,'PG1'!H4:H53))/MM_Rate),"")</f>
        <v>4.9853086003372695</v>
      </c>
      <c r="AI11" s="347">
        <f>IFERROR(((SUM('PG1'!L4:L53,'PG2'!E4:E53,'PG3'!E4:E53)+SUM('PG2'!F4:F53,'PG3'!F4:F53)*SampleLOCConvRate)/1000)/(SUM('PG2'!K4:K53,'PG3'!K4:K53)/MM_Rate),"")</f>
        <v>27.121908256880737</v>
      </c>
      <c r="AJ11" s="347">
        <f>IFERROR(SUM('PT1(UT)'!H4:H53)/(SUM('PT1(UT)'!K4:K53)/MM_Rate),"")</f>
        <v>477.70219198790625</v>
      </c>
      <c r="AK11" s="347">
        <f>IFERROR(SUM('PT1(UT)'!H4:H53)/(SUM('PT1(UT)'!L4:O53)/MM_Rate),"")</f>
        <v>415.78343388274982</v>
      </c>
      <c r="AL11" s="347" t="str">
        <f>IFERROR(SUM('PT2(CT)'!H4:H53)/(SUM('PT2(CT)'!K4:K53)/MM_Rate),"")</f>
        <v/>
      </c>
      <c r="AM11" s="347">
        <f>IFERROR(SUM('PT2(CT)'!H4:H53)/(SUM('PT2(CT)'!L4:O53)/MM_Rate),"")</f>
        <v>129.42131669708473</v>
      </c>
      <c r="AN11" s="347">
        <f>IFERROR(SUM('PT2(ST)'!H4:H53)/(SUM('PT2(ST)'!K4:K53)/MM_Rate),"")</f>
        <v>626.93877551020398</v>
      </c>
      <c r="AO11" s="347">
        <f>IFERROR(SUM('PT2(ST)'!H4:H53)/(SUM('PT2(ST)'!L4:O53)/MM_Rate),"")</f>
        <v>305.02819922154259</v>
      </c>
    </row>
    <row r="12" spans="1:41" s="88" customFormat="1">
      <c r="A12" s="112"/>
      <c r="B12" s="106"/>
      <c r="C12" s="90" t="s">
        <v>144</v>
      </c>
      <c r="D12" s="591" t="s">
        <v>450</v>
      </c>
      <c r="E12" s="591"/>
      <c r="F12" s="96" t="s">
        <v>145</v>
      </c>
      <c r="G12" s="595" t="s">
        <v>474</v>
      </c>
      <c r="H12" s="595"/>
      <c r="I12" s="595"/>
      <c r="J12" s="106"/>
      <c r="K12" s="106"/>
      <c r="L12" s="267"/>
      <c r="M12" s="113"/>
      <c r="O12" s="317">
        <f>IF(O11&lt;&gt;"",1,0)</f>
        <v>0</v>
      </c>
      <c r="P12" s="317">
        <f t="shared" ref="P12:V12" si="0">IF(P11&lt;&gt;"",1,0)</f>
        <v>0</v>
      </c>
      <c r="Q12" s="317">
        <f t="shared" si="0"/>
        <v>0</v>
      </c>
      <c r="R12" s="317">
        <f t="shared" si="0"/>
        <v>1</v>
      </c>
      <c r="S12" s="317">
        <f t="shared" si="0"/>
        <v>1</v>
      </c>
      <c r="T12" s="317">
        <f t="shared" si="0"/>
        <v>1</v>
      </c>
      <c r="U12" s="317">
        <f t="shared" si="0"/>
        <v>0</v>
      </c>
      <c r="V12" s="317">
        <f t="shared" si="0"/>
        <v>0</v>
      </c>
      <c r="AD12" s="569" t="s">
        <v>368</v>
      </c>
      <c r="AE12" s="570"/>
      <c r="AF12" s="570"/>
      <c r="AG12" s="571"/>
      <c r="AH12" s="572" t="s">
        <v>369</v>
      </c>
      <c r="AI12" s="573"/>
      <c r="AJ12" s="572" t="s">
        <v>370</v>
      </c>
      <c r="AK12" s="577"/>
      <c r="AL12" s="577"/>
      <c r="AM12" s="577"/>
      <c r="AN12" s="577"/>
      <c r="AO12" s="573"/>
    </row>
    <row r="13" spans="1:41" s="97" customFormat="1">
      <c r="A13" s="114"/>
      <c r="B13" s="115"/>
      <c r="C13" s="116"/>
      <c r="D13" s="589">
        <v>42976</v>
      </c>
      <c r="E13" s="589"/>
      <c r="F13" s="117"/>
      <c r="G13" s="590">
        <v>42977</v>
      </c>
      <c r="H13" s="590"/>
      <c r="I13" s="590"/>
      <c r="J13" s="115"/>
      <c r="K13" s="115"/>
      <c r="L13" s="268"/>
      <c r="M13" s="118"/>
      <c r="X13" s="88"/>
      <c r="Y13" s="88"/>
      <c r="Z13" s="88"/>
      <c r="AA13" s="88"/>
      <c r="AB13" s="88"/>
      <c r="AC13" s="88"/>
      <c r="AD13" s="356"/>
      <c r="AE13" s="356"/>
      <c r="AF13" s="356"/>
      <c r="AG13" s="356"/>
      <c r="AH13" s="356"/>
      <c r="AI13" s="356"/>
      <c r="AJ13" s="356"/>
      <c r="AK13" s="356"/>
      <c r="AL13" s="356"/>
      <c r="AM13" s="356"/>
      <c r="AN13" s="356"/>
      <c r="AO13" s="356"/>
    </row>
    <row r="14" spans="1:41" s="97" customFormat="1" ht="6" customHeight="1">
      <c r="A14" s="104"/>
      <c r="B14" s="98"/>
      <c r="C14" s="99"/>
      <c r="D14" s="100"/>
      <c r="E14" s="100"/>
      <c r="F14" s="101"/>
      <c r="G14" s="102"/>
      <c r="H14" s="102"/>
      <c r="I14" s="102"/>
      <c r="J14" s="98"/>
      <c r="K14" s="98"/>
      <c r="L14" s="104"/>
      <c r="M14" s="104"/>
      <c r="AB14" s="88"/>
      <c r="AC14" s="88"/>
      <c r="AD14" s="356"/>
      <c r="AE14" s="356"/>
      <c r="AF14" s="356"/>
      <c r="AG14" s="356"/>
      <c r="AH14" s="356"/>
      <c r="AI14" s="356"/>
      <c r="AJ14" s="356"/>
      <c r="AK14" s="356"/>
      <c r="AL14" s="356"/>
      <c r="AM14" s="356"/>
      <c r="AN14" s="356"/>
      <c r="AO14" s="356"/>
    </row>
    <row r="15" spans="1:41" s="2" customFormat="1" ht="9.9499999999999993" customHeight="1" thickBot="1">
      <c r="A15" s="119"/>
      <c r="B15" s="120"/>
      <c r="C15" s="120"/>
      <c r="D15" s="120"/>
      <c r="E15" s="120"/>
      <c r="F15" s="120"/>
      <c r="G15" s="120"/>
      <c r="H15" s="120"/>
      <c r="I15" s="120"/>
      <c r="J15" s="120"/>
      <c r="K15" s="120"/>
      <c r="L15" s="120"/>
      <c r="M15" s="121"/>
      <c r="O15" s="314"/>
      <c r="P15" s="314"/>
      <c r="Q15" s="314"/>
      <c r="R15" s="314"/>
      <c r="S15" s="314"/>
      <c r="T15" s="314"/>
      <c r="U15" s="314"/>
      <c r="V15" s="314"/>
      <c r="AB15" s="88"/>
      <c r="AC15" s="88"/>
      <c r="AD15" s="356"/>
      <c r="AE15" s="356"/>
      <c r="AF15" s="356"/>
      <c r="AG15" s="356"/>
      <c r="AH15" s="356"/>
      <c r="AI15" s="356"/>
      <c r="AJ15" s="356"/>
      <c r="AK15" s="356"/>
      <c r="AL15" s="356"/>
      <c r="AM15" s="356"/>
      <c r="AN15" s="356"/>
      <c r="AO15" s="356"/>
    </row>
    <row r="16" spans="1:41" s="3" customFormat="1" ht="15" customHeight="1" thickBot="1">
      <c r="A16" s="48"/>
      <c r="B16" s="4" t="s">
        <v>1</v>
      </c>
      <c r="C16" s="5" t="s">
        <v>2</v>
      </c>
      <c r="D16" s="33" t="s">
        <v>249</v>
      </c>
      <c r="E16" s="33" t="s">
        <v>263</v>
      </c>
      <c r="F16" s="33" t="s">
        <v>103</v>
      </c>
      <c r="G16" s="33" t="s">
        <v>243</v>
      </c>
      <c r="H16" s="263" t="s">
        <v>244</v>
      </c>
      <c r="I16" s="263" t="s">
        <v>245</v>
      </c>
      <c r="J16" s="607" t="s">
        <v>3</v>
      </c>
      <c r="K16" s="608"/>
      <c r="L16" s="609"/>
      <c r="M16" s="89"/>
      <c r="S16" s="3" t="s">
        <v>349</v>
      </c>
      <c r="X16" s="563" t="s">
        <v>436</v>
      </c>
      <c r="Y16" s="564"/>
      <c r="Z16" s="564"/>
      <c r="AA16" s="564"/>
      <c r="AB16" s="565"/>
      <c r="AC16" s="88"/>
      <c r="AD16" s="578" t="s">
        <v>376</v>
      </c>
      <c r="AE16" s="578"/>
      <c r="AF16" s="578"/>
      <c r="AG16" s="578"/>
      <c r="AH16" s="578"/>
      <c r="AI16" s="578"/>
      <c r="AJ16" s="578"/>
      <c r="AK16" s="578"/>
      <c r="AL16" s="578"/>
      <c r="AM16" s="578"/>
      <c r="AN16" s="578"/>
      <c r="AO16" s="578"/>
    </row>
    <row r="17" spans="1:41" s="2" customFormat="1" ht="14.25" customHeight="1">
      <c r="A17" s="49"/>
      <c r="B17" s="157">
        <f>ROW() - 16</f>
        <v>1</v>
      </c>
      <c r="C17" s="158" t="s">
        <v>452</v>
      </c>
      <c r="D17" s="166">
        <f>IF(TRIM(C17)="","",ROUND(SUMIF(BD!$C$4:$C$33,C17,BD!$G$4:$G$33)+SUMIF(BD!$C$4:$C$33,C17,BD!$H$4:$H$33)+SUMIF(RQ!$C$4:$C$33,C17,RQ!$H$4:$H$33)+SUMIF(RQ!$C$4:$C$33,C17,RQ!$I$4:$I$33)+SUMIF(CH!$C$4:$C$33,C17,CH!$F$4:$F$33),1))</f>
        <v>0</v>
      </c>
      <c r="E17" s="166">
        <f>IF(TRIM(C17)="","",ROUND(SUMIF(DD!$C$4:$C$53,C17,DD!$H$4:$H$53)+SUMIF(DD!$C$4:$C$53,C17,DD!$I$4:$I$53)+SUMIF(CH!$C$4:$C$33,C17,CH!$H$4:$H$33),1))</f>
        <v>0</v>
      </c>
      <c r="F17" s="166">
        <f>IF(TRIM(C17)="","",ROUND(SUMIF('PG1'!$C$4:$C$53,C17,'PG1'!$H$4:$H$53) + SUMIF('PG1'!$C$4:$C$53,C17,'PG1'!$I$4:$I$53) + SUMIF('PG2'!$C$4:$C$53,C17,'PG2'!$J$4:$J$53)+ SUMIF('PG2'!$C$4:$C$53,C17,'PG2'!$K$4:$K$53) + SUMIF('PG3'!$C$4:$C$53,C17,'PG3'!$J$4:$J$53)+ SUMIF('PG3'!$C$4:$C$53,C17,'PG3'!$K$4:$K$53) + SUMIF(CH!$C$4:$C$33,C17,CH!$J$4:$J$33)+(1-IsEstimateUT)*SUMIF(FxB!$C$4:$C$53,C17,FxB!$J$4:$J$53)+(1-IsEstimateUT)*(1-IsEstimateCT)*SUMIF(FxB!$C$4:$C$53,C17,FxB!$K$4:$K$53)+(1-IsEstimateUT)*(1-IsEstimateCT)*(1-IsEstimateST)*SUMIF(FxB!$C$4:$C$53,C17,FxB!$L$4:$L$53),1))</f>
        <v>140</v>
      </c>
      <c r="G17" s="166">
        <f>IF(TRIM(C17)="","",ROUND(SUMIF('PT1(UT)'!$C$4:$C$53,C17,'PT1(UT)'!$K$4:$K$53) + SUMIF('PT1(UT)'!$C$4:$C$53,C17,'PT1(UT)'!$L$4:$L$53) + SUMIF('PT1(UT)'!$C$4:$C$53,C17,'PT1(UT)'!$M$4:$M$53) + SUMIF('PT1(UT)'!$C$4:$C$53,C17,'PT1(UT)'!$N$4:$N$53) + SUMIF('PT1(UT)'!$C$4:$C$53,C17,'PT1(UT)'!$O$4:$O$53)  + SUMIF(CH!$C$4:$C$33,C17,CH!$L$4:$L$33)+ (IsEstimateUT)*(1-IsEstimateCT)*SUMIF(FxB!$C$4:$C$53,C17,FxB!$K$4:$K$53)+(IsEstimateUT)*(1-IsEstimateCT)*(1-IsEstimateST)*SUMIF(FxB!$C$4:$C$53,C17,FxB!$L$4:$L$53),1))</f>
        <v>222</v>
      </c>
      <c r="H17" s="360">
        <f>IF(TRIM(C17)="","",ROUND(SUMIF('PT2(CT)'!$C$4:$C$53,C17,'PT2(CT)'!$K$4:$K$53) + SUMIF('PT2(CT)'!$C$4:$C$53,C17,'PT2(CT)'!$L$4:$L$53) + SUMIF('PT2(CT)'!$C$4:$C$53,C17,'PT2(CT)'!$M$4:$M$53) + SUMIF('PT2(CT)'!$C$4:$C$53,C17,'PT2(CT)'!$N$4:$N$53) + SUMIF('PT2(CT)'!$C$4:$C$53,C17,'PT2(CT)'!$O$4:$O$53)  + SUMIF(CH!$C$4:$C$33,C17,CH!$N$4:$N$33)+ (IsEstimateCT)*(1-IsEstimateST)*SUMIF(FxB!$C$4:$C$53,C17,FxB!$L$4:$L$53),1))</f>
        <v>159.5</v>
      </c>
      <c r="I17" s="360">
        <f>IF(TRIM(C17)="","",ROUND(SUMIF('PT2(ST)'!$C$4:$C$53,C17,'PT2(ST)'!$K$4:$K$53) + SUMIF('PT2(ST)'!$C$4:$C$53,C17,'PT2(ST)'!$L$4:$L$53) + SUMIF('PT2(ST)'!$C$4:$C$53,C17,'PT2(ST)'!$M$4:$M$53) + SUMIF('PT2(ST)'!$C$4:$C$53,C17,'PT2(ST)'!$N$4:$N$53) + SUMIF('PT2(ST)'!$C$4:$C$53,C17,'PT2(ST)'!$O$4:$O$53) + SUMIF(CH!$C$4:$C$33,C17,CH!$P$4:$P$33),1))</f>
        <v>0</v>
      </c>
      <c r="J17" s="610"/>
      <c r="K17" s="611"/>
      <c r="L17" s="612"/>
      <c r="M17" s="50"/>
      <c r="O17" s="314"/>
      <c r="P17" s="314"/>
      <c r="Q17" s="314"/>
      <c r="R17" s="314"/>
      <c r="S17" s="314">
        <f>COUNTIF($C$17:$C$47,C17)</f>
        <v>1</v>
      </c>
      <c r="T17" s="314"/>
      <c r="U17" s="314"/>
      <c r="V17" s="314"/>
      <c r="X17" s="527" t="s">
        <v>351</v>
      </c>
      <c r="Y17" s="528" t="s">
        <v>352</v>
      </c>
      <c r="Z17" s="528" t="s">
        <v>353</v>
      </c>
      <c r="AA17" s="528" t="s">
        <v>354</v>
      </c>
      <c r="AB17" s="529" t="s">
        <v>439</v>
      </c>
      <c r="AC17" s="88"/>
      <c r="AD17" s="346" t="s">
        <v>361</v>
      </c>
      <c r="AE17" s="346" t="s">
        <v>392</v>
      </c>
      <c r="AF17" s="346" t="s">
        <v>362</v>
      </c>
      <c r="AG17" s="346" t="s">
        <v>364</v>
      </c>
      <c r="AH17" s="346" t="s">
        <v>363</v>
      </c>
      <c r="AI17" s="346" t="s">
        <v>365</v>
      </c>
      <c r="AJ17" s="346" t="s">
        <v>366</v>
      </c>
      <c r="AK17" s="346" t="s">
        <v>309</v>
      </c>
      <c r="AL17" s="346" t="s">
        <v>367</v>
      </c>
      <c r="AM17" s="346" t="s">
        <v>310</v>
      </c>
      <c r="AN17" s="346" t="s">
        <v>371</v>
      </c>
      <c r="AO17" s="346" t="s">
        <v>311</v>
      </c>
    </row>
    <row r="18" spans="1:41" s="2" customFormat="1" ht="14.25" customHeight="1">
      <c r="A18" s="49"/>
      <c r="B18" s="160">
        <f t="shared" ref="B18:B36" si="1">ROW() - 16</f>
        <v>2</v>
      </c>
      <c r="C18" s="161" t="s">
        <v>454</v>
      </c>
      <c r="D18" s="361">
        <f>IF(TRIM(C18)="","",ROUND(SUMIF(BD!$C$4:$C$33,C18,BD!$G$4:$G$33)+SUMIF(BD!$C$4:$C$33,C18,BD!$H$4:$H$33)+SUMIF(RQ!$C$4:$C$33,C18,RQ!$H$4:$H$33)+SUMIF(RQ!$C$4:$C$33,C18,RQ!$I$4:$I$33)+SUMIF(CH!$C$4:$C$33,C18,CH!$F$4:$F$33),1))</f>
        <v>0</v>
      </c>
      <c r="E18" s="361">
        <f>IF(TRIM(C18)="","",ROUND(SUMIF(DD!$C$4:$C$53,C18,DD!$H$4:$H$53)+SUMIF(DD!$C$4:$C$53,C18,DD!$I$4:$I$53)+SUMIF(CH!$C$4:$C$33,C18,CH!$H$4:$H$33),1))</f>
        <v>0</v>
      </c>
      <c r="F18" s="361">
        <f>IF(TRIM(C18)="","",ROUND(SUMIF('PG1'!$C$4:$C$53,C18,'PG1'!$H$4:$H$53) + SUMIF('PG1'!$C$4:$C$53,C18,'PG1'!$I$4:$I$53) + SUMIF('PG2'!$C$4:$C$53,C18,'PG2'!$J$4:$J$53)+ SUMIF('PG2'!$C$4:$C$53,C18,'PG2'!$K$4:$K$53) + SUMIF('PG3'!$C$4:$C$53,C18,'PG3'!$J$4:$J$53)+ SUMIF('PG3'!$C$4:$C$53,C18,'PG3'!$K$4:$K$53) + SUMIF(CH!$C$4:$C$33,C18,CH!$J$4:$J$33)+(1-IsEstimateUT)*SUMIF(FxB!$C$4:$C$53,C18,FxB!$J$4:$J$53)+(1-IsEstimateUT)*(1-IsEstimateCT)*SUMIF(FxB!$C$4:$C$53,C18,FxB!$K$4:$K$53)+(1-IsEstimateUT)*(1-IsEstimateCT)*(1-IsEstimateST)*SUMIF(FxB!$C$4:$C$53,C18,FxB!$L$4:$L$53),1))</f>
        <v>40</v>
      </c>
      <c r="G18" s="361">
        <f>IF(TRIM(C18)="","",ROUND(SUMIF('PT1(UT)'!$C$4:$C$53,C18,'PT1(UT)'!$K$4:$K$53) + SUMIF('PT1(UT)'!$C$4:$C$53,C18,'PT1(UT)'!$L$4:$L$53) + SUMIF('PT1(UT)'!$C$4:$C$53,C18,'PT1(UT)'!$M$4:$M$53) + SUMIF('PT1(UT)'!$C$4:$C$53,C18,'PT1(UT)'!$N$4:$N$53) + SUMIF('PT1(UT)'!$C$4:$C$53,C18,'PT1(UT)'!$O$4:$O$53)  + SUMIF(CH!$C$4:$C$33,C18,CH!$L$4:$L$33)+ (IsEstimateUT)*(1-IsEstimateCT)*SUMIF(FxB!$C$4:$C$53,C18,FxB!$K$4:$K$53)+(IsEstimateUT)*(1-IsEstimateCT)*(1-IsEstimateST)*SUMIF(FxB!$C$4:$C$53,C18,FxB!$L$4:$L$53),1))</f>
        <v>63.5</v>
      </c>
      <c r="H18" s="362">
        <f>IF(TRIM(C18)="","",ROUND(SUMIF('PT2(CT)'!$C$4:$C$53,C18,'PT2(CT)'!$K$4:$K$53) + SUMIF('PT2(CT)'!$C$4:$C$53,C18,'PT2(CT)'!$L$4:$L$53) + SUMIF('PT2(CT)'!$C$4:$C$53,C18,'PT2(CT)'!$M$4:$M$53) + SUMIF('PT2(CT)'!$C$4:$C$53,C18,'PT2(CT)'!$N$4:$N$53) + SUMIF('PT2(CT)'!$C$4:$C$53,C18,'PT2(CT)'!$O$4:$O$53)  + SUMIF(CH!$C$4:$C$33,C18,CH!$N$4:$N$33)+ (IsEstimateCT)*(1-IsEstimateST)*SUMIF(FxB!$C$4:$C$53,C18,FxB!$L$4:$L$53),1))</f>
        <v>46</v>
      </c>
      <c r="I18" s="362">
        <f>IF(TRIM(C18)="","",ROUND(SUMIF('PT2(ST)'!$C$4:$C$53,C18,'PT2(ST)'!$K$4:$K$53) + SUMIF('PT2(ST)'!$C$4:$C$53,C18,'PT2(ST)'!$L$4:$L$53) + SUMIF('PT2(ST)'!$C$4:$C$53,C18,'PT2(ST)'!$M$4:$M$53) + SUMIF('PT2(ST)'!$C$4:$C$53,C18,'PT2(ST)'!$N$4:$N$53) + SUMIF('PT2(ST)'!$C$4:$C$53,C18,'PT2(ST)'!$O$4:$O$53) + SUMIF(CH!$C$4:$C$33,C18,CH!$P$4:$P$33),1))</f>
        <v>0</v>
      </c>
      <c r="J18" s="613"/>
      <c r="K18" s="614"/>
      <c r="L18" s="615"/>
      <c r="M18" s="50"/>
      <c r="O18" s="314"/>
      <c r="P18" s="314"/>
      <c r="Q18" s="314"/>
      <c r="R18" s="314"/>
      <c r="S18" s="314">
        <f t="shared" ref="S18:S47" si="2">COUNTIF($C$17:$C$47,C18)</f>
        <v>1</v>
      </c>
      <c r="T18" s="314"/>
      <c r="U18" s="314"/>
      <c r="V18" s="314"/>
      <c r="X18" s="530">
        <f>Legend!AF26</f>
        <v>4.92</v>
      </c>
      <c r="Y18" s="508">
        <f>Legend!AG26</f>
        <v>2.4500000000000002</v>
      </c>
      <c r="Z18" s="508">
        <f>Legend!AH26</f>
        <v>1.78</v>
      </c>
      <c r="AA18" s="508">
        <f>Legend!AI26</f>
        <v>1.36</v>
      </c>
      <c r="AB18" s="534" t="s">
        <v>437</v>
      </c>
      <c r="AC18" s="344"/>
      <c r="AD18" s="345">
        <f>SUM(BD!D4:D33)</f>
        <v>5</v>
      </c>
      <c r="AE18" s="345"/>
      <c r="AF18" s="345">
        <f>SUM(DD!E4:E53)</f>
        <v>10</v>
      </c>
      <c r="AG18" s="345"/>
      <c r="AH18" s="348">
        <f>(SUM('PG1'!L4:L53,'PG2'!E4:E53,'PG3'!E4:E53)+SUM('PG2'!F4:F53,'PG3'!F4:F53)*SampleLOCConvRate)/1000</f>
        <v>27.715200000000006</v>
      </c>
      <c r="AI18" s="345"/>
      <c r="AJ18" s="345">
        <f>SUM('PT1(UT)'!H4:H53)</f>
        <v>1975</v>
      </c>
      <c r="AK18" s="345">
        <f>ROUND((SUM('PT1(UT)'!F4:F53)/1000+SUM('PT1(UT)'!G4:G53)/1000*SampleLOCConvRate)*AvgUTBugKLOC,0)</f>
        <v>221</v>
      </c>
      <c r="AL18" s="345">
        <f>SUM('PT2(CT)'!H4:H53)</f>
        <v>746</v>
      </c>
      <c r="AM18" s="345">
        <f>ROUND((SUM('PT2(CT)'!F4:F53)/1000+SUM('PT2(CT)'!G4:G53)/1000*SampleLOCConvRate)*AvgCTBugKLOC,0)</f>
        <v>74</v>
      </c>
      <c r="AN18" s="345">
        <f>SUM('PT2(ST)'!H4:H53)</f>
        <v>48</v>
      </c>
      <c r="AO18" s="345">
        <f>ROUND((SUM('PT2(ST)'!F4:F53)/1000+SUM('PT2(ST)'!G4:G53)/1000*SampleLOCConvRate)*AvgSTBugKLOC,0)</f>
        <v>3</v>
      </c>
    </row>
    <row r="19" spans="1:41" s="2" customFormat="1" ht="14.25" customHeight="1" thickBot="1">
      <c r="A19" s="49"/>
      <c r="B19" s="162">
        <f t="shared" si="1"/>
        <v>3</v>
      </c>
      <c r="C19" s="163" t="s">
        <v>456</v>
      </c>
      <c r="D19" s="363">
        <f>IF(TRIM(C19)="","",ROUND(SUMIF(BD!$C$4:$C$33,C19,BD!$G$4:$G$33)+SUMIF(BD!$C$4:$C$33,C19,BD!$H$4:$H$33)+SUMIF(RQ!$C$4:$C$33,C19,RQ!$H$4:$H$33)+SUMIF(RQ!$C$4:$C$33,C19,RQ!$I$4:$I$33)+SUMIF(CH!$C$4:$C$33,C19,CH!$F$4:$F$33),1))</f>
        <v>0</v>
      </c>
      <c r="E19" s="363">
        <f>IF(TRIM(C19)="","",ROUND(SUMIF(DD!$C$4:$C$53,C19,DD!$H$4:$H$53)+SUMIF(DD!$C$4:$C$53,C19,DD!$I$4:$I$53)+SUMIF(CH!$C$4:$C$33,C19,CH!$H$4:$H$33),1))</f>
        <v>0</v>
      </c>
      <c r="F19" s="363">
        <f>IF(TRIM(C19)="","",ROUND(SUMIF('PG1'!$C$4:$C$53,C19,'PG1'!$H$4:$H$53) + SUMIF('PG1'!$C$4:$C$53,C19,'PG1'!$I$4:$I$53) + SUMIF('PG2'!$C$4:$C$53,C19,'PG2'!$J$4:$J$53)+ SUMIF('PG2'!$C$4:$C$53,C19,'PG2'!$K$4:$K$53) + SUMIF('PG3'!$C$4:$C$53,C19,'PG3'!$J$4:$J$53)+ SUMIF('PG3'!$C$4:$C$53,C19,'PG3'!$K$4:$K$53) + SUMIF(CH!$C$4:$C$33,C19,CH!$J$4:$J$33)+(1-IsEstimateUT)*SUMIF(FxB!$C$4:$C$53,C19,FxB!$J$4:$J$53)+(1-IsEstimateUT)*(1-IsEstimateCT)*SUMIF(FxB!$C$4:$C$53,C19,FxB!$K$4:$K$53)+(1-IsEstimateUT)*(1-IsEstimateCT)*(1-IsEstimateST)*SUMIF(FxB!$C$4:$C$53,C19,FxB!$L$4:$L$53),1))</f>
        <v>130.5</v>
      </c>
      <c r="G19" s="364">
        <f>IF(TRIM(C19)="","",ROUND(SUMIF('PT1(UT)'!$C$4:$C$53,C19,'PT1(UT)'!$K$4:$K$53) + SUMIF('PT1(UT)'!$C$4:$C$53,C19,'PT1(UT)'!$L$4:$L$53) + SUMIF('PT1(UT)'!$C$4:$C$53,C19,'PT1(UT)'!$M$4:$M$53) + SUMIF('PT1(UT)'!$C$4:$C$53,C19,'PT1(UT)'!$N$4:$N$53) + SUMIF('PT1(UT)'!$C$4:$C$53,C19,'PT1(UT)'!$O$4:$O$53)  + SUMIF(CH!$C$4:$C$33,C19,CH!$L$4:$L$33)+ (IsEstimateUT)*(1-IsEstimateCT)*SUMIF(FxB!$C$4:$C$53,C19,FxB!$K$4:$K$53)+(IsEstimateUT)*(1-IsEstimateCT)*(1-IsEstimateST)*SUMIF(FxB!$C$4:$C$53,C19,FxB!$L$4:$L$53),1))</f>
        <v>207</v>
      </c>
      <c r="H19" s="365">
        <f>IF(TRIM(C19)="","",ROUND(SUMIF('PT2(CT)'!$C$4:$C$53,C19,'PT2(CT)'!$K$4:$K$53) + SUMIF('PT2(CT)'!$C$4:$C$53,C19,'PT2(CT)'!$L$4:$L$53) + SUMIF('PT2(CT)'!$C$4:$C$53,C19,'PT2(CT)'!$M$4:$M$53) + SUMIF('PT2(CT)'!$C$4:$C$53,C19,'PT2(CT)'!$N$4:$N$53) + SUMIF('PT2(CT)'!$C$4:$C$53,C19,'PT2(CT)'!$O$4:$O$53)  + SUMIF(CH!$C$4:$C$33,C19,CH!$N$4:$N$33)+ (IsEstimateCT)*(1-IsEstimateST)*SUMIF(FxB!$C$4:$C$53,C19,FxB!$L$4:$L$53),1))</f>
        <v>148.5</v>
      </c>
      <c r="I19" s="365">
        <f>IF(TRIM(C19)="","",ROUND(SUMIF('PT2(ST)'!$C$4:$C$53,C19,'PT2(ST)'!$K$4:$K$53) + SUMIF('PT2(ST)'!$C$4:$C$53,C19,'PT2(ST)'!$L$4:$L$53) + SUMIF('PT2(ST)'!$C$4:$C$53,C19,'PT2(ST)'!$M$4:$M$53) + SUMIF('PT2(ST)'!$C$4:$C$53,C19,'PT2(ST)'!$N$4:$N$53) + SUMIF('PT2(ST)'!$C$4:$C$53,C19,'PT2(ST)'!$O$4:$O$53) + SUMIF(CH!$C$4:$C$33,C19,CH!$P$4:$P$33),1))</f>
        <v>0</v>
      </c>
      <c r="J19" s="574"/>
      <c r="K19" s="575"/>
      <c r="L19" s="576"/>
      <c r="M19" s="50"/>
      <c r="O19" s="314"/>
      <c r="P19" s="314"/>
      <c r="Q19" s="314"/>
      <c r="R19" s="314"/>
      <c r="S19" s="314">
        <f t="shared" si="2"/>
        <v>1</v>
      </c>
      <c r="T19" s="314"/>
      <c r="U19" s="314"/>
      <c r="V19" s="314"/>
      <c r="X19" s="531">
        <f>Legend!AF27</f>
        <v>4.13</v>
      </c>
      <c r="Y19" s="532">
        <f>Legend!AG27</f>
        <v>2.2400000000000002</v>
      </c>
      <c r="Z19" s="532">
        <f>Legend!AH27</f>
        <v>1.66</v>
      </c>
      <c r="AA19" s="532">
        <f>Legend!AI27</f>
        <v>1.33</v>
      </c>
      <c r="AB19" s="535" t="s">
        <v>440</v>
      </c>
      <c r="AC19" s="97"/>
      <c r="AD19" s="357" t="s">
        <v>372</v>
      </c>
      <c r="AE19" s="357"/>
      <c r="AF19" s="357" t="s">
        <v>372</v>
      </c>
      <c r="AG19" s="357"/>
      <c r="AH19" s="357" t="s">
        <v>373</v>
      </c>
      <c r="AI19" s="357"/>
      <c r="AJ19" s="357" t="s">
        <v>374</v>
      </c>
      <c r="AK19" s="357" t="s">
        <v>375</v>
      </c>
      <c r="AL19" s="357" t="s">
        <v>374</v>
      </c>
      <c r="AM19" s="357" t="s">
        <v>375</v>
      </c>
      <c r="AN19" s="357" t="s">
        <v>374</v>
      </c>
      <c r="AO19" s="357" t="s">
        <v>375</v>
      </c>
    </row>
    <row r="20" spans="1:41" s="2" customFormat="1" ht="14.25" customHeight="1">
      <c r="A20" s="49"/>
      <c r="B20" s="160">
        <f t="shared" si="1"/>
        <v>4</v>
      </c>
      <c r="C20" s="161" t="s">
        <v>457</v>
      </c>
      <c r="D20" s="361">
        <f>IF(TRIM(C20)="","",ROUND(SUMIF(BD!$C$4:$C$33,C20,BD!$G$4:$G$33)+SUMIF(BD!$C$4:$C$33,C20,BD!$H$4:$H$33)+SUMIF(RQ!$C$4:$C$33,C20,RQ!$H$4:$H$33)+SUMIF(RQ!$C$4:$C$33,C20,RQ!$I$4:$I$33)+SUMIF(CH!$C$4:$C$33,C20,CH!$F$4:$F$33),1))</f>
        <v>0</v>
      </c>
      <c r="E20" s="361">
        <f>IF(TRIM(C20)="","",ROUND(SUMIF(DD!$C$4:$C$53,C20,DD!$H$4:$H$53)+SUMIF(DD!$C$4:$C$53,C20,DD!$I$4:$I$53)+SUMIF(CH!$C$4:$C$33,C20,CH!$H$4:$H$33),1))</f>
        <v>0</v>
      </c>
      <c r="F20" s="361">
        <f>IF(TRIM(C20)="","",ROUND(SUMIF('PG1'!$C$4:$C$53,C20,'PG1'!$H$4:$H$53) + SUMIF('PG1'!$C$4:$C$53,C20,'PG1'!$I$4:$I$53) + SUMIF('PG2'!$C$4:$C$53,C20,'PG2'!$J$4:$J$53)+ SUMIF('PG2'!$C$4:$C$53,C20,'PG2'!$K$4:$K$53) + SUMIF('PG3'!$C$4:$C$53,C20,'PG3'!$J$4:$J$53)+ SUMIF('PG3'!$C$4:$C$53,C20,'PG3'!$K$4:$K$53) + SUMIF(CH!$C$4:$C$33,C20,CH!$J$4:$J$33)+(1-IsEstimateUT)*SUMIF(FxB!$C$4:$C$53,C20,FxB!$J$4:$J$53)+(1-IsEstimateUT)*(1-IsEstimateCT)*SUMIF(FxB!$C$4:$C$53,C20,FxB!$K$4:$K$53)+(1-IsEstimateUT)*(1-IsEstimateCT)*(1-IsEstimateST)*SUMIF(FxB!$C$4:$C$53,C20,FxB!$L$4:$L$53),1))</f>
        <v>45</v>
      </c>
      <c r="G20" s="361">
        <f>IF(TRIM(C20)="","",ROUND(SUMIF('PT1(UT)'!$C$4:$C$53,C20,'PT1(UT)'!$K$4:$K$53) + SUMIF('PT1(UT)'!$C$4:$C$53,C20,'PT1(UT)'!$L$4:$L$53) + SUMIF('PT1(UT)'!$C$4:$C$53,C20,'PT1(UT)'!$M$4:$M$53) + SUMIF('PT1(UT)'!$C$4:$C$53,C20,'PT1(UT)'!$N$4:$N$53) + SUMIF('PT1(UT)'!$C$4:$C$53,C20,'PT1(UT)'!$O$4:$O$53)  + SUMIF(CH!$C$4:$C$33,C20,CH!$L$4:$L$33)+ (IsEstimateUT)*(1-IsEstimateCT)*SUMIF(FxB!$C$4:$C$53,C20,FxB!$K$4:$K$53)+(IsEstimateUT)*(1-IsEstimateCT)*(1-IsEstimateST)*SUMIF(FxB!$C$4:$C$53,C20,FxB!$L$4:$L$53),1))</f>
        <v>71.5</v>
      </c>
      <c r="H20" s="362">
        <f>IF(TRIM(C20)="","",ROUND(SUMIF('PT2(CT)'!$C$4:$C$53,C20,'PT2(CT)'!$K$4:$K$53) + SUMIF('PT2(CT)'!$C$4:$C$53,C20,'PT2(CT)'!$L$4:$L$53) + SUMIF('PT2(CT)'!$C$4:$C$53,C20,'PT2(CT)'!$M$4:$M$53) + SUMIF('PT2(CT)'!$C$4:$C$53,C20,'PT2(CT)'!$N$4:$N$53) + SUMIF('PT2(CT)'!$C$4:$C$53,C20,'PT2(CT)'!$O$4:$O$53)  + SUMIF(CH!$C$4:$C$33,C20,CH!$N$4:$N$33)+ (IsEstimateCT)*(1-IsEstimateST)*SUMIF(FxB!$C$4:$C$53,C20,FxB!$L$4:$L$53),1))</f>
        <v>52.5</v>
      </c>
      <c r="I20" s="362">
        <f>IF(TRIM(C20)="","",ROUND(SUMIF('PT2(ST)'!$C$4:$C$53,C20,'PT2(ST)'!$K$4:$K$53) + SUMIF('PT2(ST)'!$C$4:$C$53,C20,'PT2(ST)'!$L$4:$L$53) + SUMIF('PT2(ST)'!$C$4:$C$53,C20,'PT2(ST)'!$M$4:$M$53) + SUMIF('PT2(ST)'!$C$4:$C$53,C20,'PT2(ST)'!$N$4:$N$53) + SUMIF('PT2(ST)'!$C$4:$C$53,C20,'PT2(ST)'!$O$4:$O$53) + SUMIF(CH!$C$4:$C$33,C20,CH!$P$4:$P$33),1))</f>
        <v>0</v>
      </c>
      <c r="J20" s="566"/>
      <c r="K20" s="567"/>
      <c r="L20" s="568"/>
      <c r="M20" s="50"/>
      <c r="O20" s="314"/>
      <c r="P20" s="314"/>
      <c r="Q20" s="314"/>
      <c r="R20" s="314"/>
      <c r="S20" s="314">
        <f t="shared" si="2"/>
        <v>1</v>
      </c>
      <c r="T20" s="314"/>
      <c r="U20" s="314"/>
      <c r="V20" s="314"/>
      <c r="AD20" s="352"/>
      <c r="AE20" s="358"/>
      <c r="AF20" s="358"/>
      <c r="AG20" s="358"/>
      <c r="AH20" s="358"/>
      <c r="AI20" s="358"/>
      <c r="AJ20" s="358"/>
      <c r="AK20" s="358"/>
      <c r="AL20" s="358"/>
      <c r="AM20" s="358"/>
      <c r="AN20" s="358"/>
      <c r="AO20" s="358"/>
    </row>
    <row r="21" spans="1:41" s="2" customFormat="1" ht="14.25" customHeight="1">
      <c r="A21" s="49"/>
      <c r="B21" s="162">
        <f t="shared" si="1"/>
        <v>5</v>
      </c>
      <c r="C21" s="163" t="s">
        <v>458</v>
      </c>
      <c r="D21" s="363">
        <f>IF(TRIM(C21)="","",ROUND(SUMIF(BD!$C$4:$C$33,C21,BD!$G$4:$G$33)+SUMIF(BD!$C$4:$C$33,C21,BD!$H$4:$H$33)+SUMIF(RQ!$C$4:$C$33,C21,RQ!$H$4:$H$33)+SUMIF(RQ!$C$4:$C$33,C21,RQ!$I$4:$I$33)+SUMIF(CH!$C$4:$C$33,C21,CH!$F$4:$F$33),1))</f>
        <v>0</v>
      </c>
      <c r="E21" s="363">
        <f>IF(TRIM(C21)="","",ROUND(SUMIF(DD!$C$4:$C$53,C21,DD!$H$4:$H$53)+SUMIF(DD!$C$4:$C$53,C21,DD!$I$4:$I$53)+SUMIF(CH!$C$4:$C$33,C21,CH!$H$4:$H$33),1))</f>
        <v>0</v>
      </c>
      <c r="F21" s="363">
        <f>IF(TRIM(C21)="","",ROUND(SUMIF('PG1'!$C$4:$C$53,C21,'PG1'!$H$4:$H$53) + SUMIF('PG1'!$C$4:$C$53,C21,'PG1'!$I$4:$I$53) + SUMIF('PG2'!$C$4:$C$53,C21,'PG2'!$J$4:$J$53)+ SUMIF('PG2'!$C$4:$C$53,C21,'PG2'!$K$4:$K$53) + SUMIF('PG3'!$C$4:$C$53,C21,'PG3'!$J$4:$J$53)+ SUMIF('PG3'!$C$4:$C$53,C21,'PG3'!$K$4:$K$53) + SUMIF(CH!$C$4:$C$33,C21,CH!$J$4:$J$33)+(1-IsEstimateUT)*SUMIF(FxB!$C$4:$C$53,C21,FxB!$J$4:$J$53)+(1-IsEstimateUT)*(1-IsEstimateCT)*SUMIF(FxB!$C$4:$C$53,C21,FxB!$K$4:$K$53)+(1-IsEstimateUT)*(1-IsEstimateCT)*(1-IsEstimateST)*SUMIF(FxB!$C$4:$C$53,C21,FxB!$L$4:$L$53),1))</f>
        <v>5</v>
      </c>
      <c r="G21" s="364">
        <f>IF(TRIM(C21)="","",ROUND(SUMIF('PT1(UT)'!$C$4:$C$53,C21,'PT1(UT)'!$K$4:$K$53) + SUMIF('PT1(UT)'!$C$4:$C$53,C21,'PT1(UT)'!$L$4:$L$53) + SUMIF('PT1(UT)'!$C$4:$C$53,C21,'PT1(UT)'!$M$4:$M$53) + SUMIF('PT1(UT)'!$C$4:$C$53,C21,'PT1(UT)'!$N$4:$N$53) + SUMIF('PT1(UT)'!$C$4:$C$53,C21,'PT1(UT)'!$O$4:$O$53)  + SUMIF(CH!$C$4:$C$33,C21,CH!$L$4:$L$33)+ (IsEstimateUT)*(1-IsEstimateCT)*SUMIF(FxB!$C$4:$C$53,C21,FxB!$K$4:$K$53)+(IsEstimateUT)*(1-IsEstimateCT)*(1-IsEstimateST)*SUMIF(FxB!$C$4:$C$53,C21,FxB!$L$4:$L$53),1))</f>
        <v>8.5</v>
      </c>
      <c r="H21" s="365">
        <f>IF(TRIM(C21)="","",ROUND(SUMIF('PT2(CT)'!$C$4:$C$53,C21,'PT2(CT)'!$K$4:$K$53) + SUMIF('PT2(CT)'!$C$4:$C$53,C21,'PT2(CT)'!$L$4:$L$53) + SUMIF('PT2(CT)'!$C$4:$C$53,C21,'PT2(CT)'!$M$4:$M$53) + SUMIF('PT2(CT)'!$C$4:$C$53,C21,'PT2(CT)'!$N$4:$N$53) + SUMIF('PT2(CT)'!$C$4:$C$53,C21,'PT2(CT)'!$O$4:$O$53)  + SUMIF(CH!$C$4:$C$33,C21,CH!$N$4:$N$33)+ (IsEstimateCT)*(1-IsEstimateST)*SUMIF(FxB!$C$4:$C$53,C21,FxB!$L$4:$L$53),1))</f>
        <v>6.4</v>
      </c>
      <c r="I21" s="365">
        <f>IF(TRIM(C21)="","",ROUND(SUMIF('PT2(ST)'!$C$4:$C$53,C21,'PT2(ST)'!$K$4:$K$53) + SUMIF('PT2(ST)'!$C$4:$C$53,C21,'PT2(ST)'!$L$4:$L$53) + SUMIF('PT2(ST)'!$C$4:$C$53,C21,'PT2(ST)'!$M$4:$M$53) + SUMIF('PT2(ST)'!$C$4:$C$53,C21,'PT2(ST)'!$N$4:$N$53) + SUMIF('PT2(ST)'!$C$4:$C$53,C21,'PT2(ST)'!$O$4:$O$53) + SUMIF(CH!$C$4:$C$33,C21,CH!$P$4:$P$33),1))</f>
        <v>0</v>
      </c>
      <c r="J21" s="574"/>
      <c r="K21" s="575"/>
      <c r="L21" s="576"/>
      <c r="M21" s="51"/>
      <c r="O21" s="314"/>
      <c r="P21" s="314"/>
      <c r="Q21" s="314"/>
      <c r="R21" s="314"/>
      <c r="S21" s="314">
        <f t="shared" si="2"/>
        <v>1</v>
      </c>
      <c r="T21" s="314"/>
      <c r="U21" s="314"/>
      <c r="V21" s="314"/>
      <c r="AB21" s="3"/>
      <c r="AC21" s="3"/>
      <c r="AD21" s="352" t="s">
        <v>435</v>
      </c>
      <c r="AE21" s="352" t="s">
        <v>379</v>
      </c>
      <c r="AF21" s="3"/>
      <c r="AG21" s="3"/>
      <c r="AH21" s="3"/>
      <c r="AI21" s="3"/>
      <c r="AJ21" s="3"/>
      <c r="AK21" s="3"/>
      <c r="AL21" s="3"/>
      <c r="AM21" s="3"/>
      <c r="AN21" s="3"/>
    </row>
    <row r="22" spans="1:41" s="2" customFormat="1" ht="14.25" customHeight="1">
      <c r="A22" s="49"/>
      <c r="B22" s="160">
        <f t="shared" si="1"/>
        <v>6</v>
      </c>
      <c r="C22" s="161" t="s">
        <v>473</v>
      </c>
      <c r="D22" s="361">
        <f>IF(TRIM(C22)="","",ROUND(SUMIF(BD!$C$4:$C$33,C22,BD!$G$4:$G$33)+SUMIF(BD!$C$4:$C$33,C22,BD!$H$4:$H$33)+SUMIF(RQ!$C$4:$C$33,C22,RQ!$H$4:$H$33)+SUMIF(RQ!$C$4:$C$33,C22,RQ!$I$4:$I$33)+SUMIF(CH!$C$4:$C$33,C22,CH!$F$4:$F$33),1))</f>
        <v>0</v>
      </c>
      <c r="E22" s="361">
        <f>IF(TRIM(C22)="","",ROUND(SUMIF(DD!$C$4:$C$53,C22,DD!$H$4:$H$53)+SUMIF(DD!$C$4:$C$53,C22,DD!$I$4:$I$53)+SUMIF(CH!$C$4:$C$33,C22,CH!$H$4:$H$33),1))</f>
        <v>0</v>
      </c>
      <c r="F22" s="361">
        <f>IF(TRIM(C22)="","",ROUND(SUMIF('PG1'!$C$4:$C$53,C22,'PG1'!$H$4:$H$53) + SUMIF('PG1'!$C$4:$C$53,C22,'PG1'!$I$4:$I$53) + SUMIF('PG2'!$C$4:$C$53,C22,'PG2'!$J$4:$J$53)+ SUMIF('PG2'!$C$4:$C$53,C22,'PG2'!$K$4:$K$53) + SUMIF('PG3'!$C$4:$C$53,C22,'PG3'!$J$4:$J$53)+ SUMIF('PG3'!$C$4:$C$53,C22,'PG3'!$K$4:$K$53) + SUMIF(CH!$C$4:$C$33,C22,CH!$J$4:$J$33)+(1-IsEstimateUT)*SUMIF(FxB!$C$4:$C$53,C22,FxB!$J$4:$J$53)+(1-IsEstimateUT)*(1-IsEstimateCT)*SUMIF(FxB!$C$4:$C$53,C22,FxB!$K$4:$K$53)+(1-IsEstimateUT)*(1-IsEstimateCT)*(1-IsEstimateST)*SUMIF(FxB!$C$4:$C$53,C22,FxB!$L$4:$L$53),1))</f>
        <v>369</v>
      </c>
      <c r="G22" s="361">
        <f>IF(TRIM(C22)="","",ROUND(SUMIF('PT1(UT)'!$C$4:$C$53,C22,'PT1(UT)'!$K$4:$K$53) + SUMIF('PT1(UT)'!$C$4:$C$53,C22,'PT1(UT)'!$L$4:$L$53) + SUMIF('PT1(UT)'!$C$4:$C$53,C22,'PT1(UT)'!$M$4:$M$53) + SUMIF('PT1(UT)'!$C$4:$C$53,C22,'PT1(UT)'!$N$4:$N$53) + SUMIF('PT1(UT)'!$C$4:$C$53,C22,'PT1(UT)'!$O$4:$O$53)  + SUMIF(CH!$C$4:$C$33,C22,CH!$L$4:$L$33)+ (IsEstimateUT)*(1-IsEstimateCT)*SUMIF(FxB!$C$4:$C$53,C22,FxB!$K$4:$K$53)+(IsEstimateUT)*(1-IsEstimateCT)*(1-IsEstimateST)*SUMIF(FxB!$C$4:$C$53,C22,FxB!$L$4:$L$53),1))</f>
        <v>584</v>
      </c>
      <c r="H22" s="362">
        <f>IF(TRIM(C22)="","",ROUND(SUMIF('PT2(CT)'!$C$4:$C$53,C22,'PT2(CT)'!$K$4:$K$53) + SUMIF('PT2(CT)'!$C$4:$C$53,C22,'PT2(CT)'!$L$4:$L$53) + SUMIF('PT2(CT)'!$C$4:$C$53,C22,'PT2(CT)'!$M$4:$M$53) + SUMIF('PT2(CT)'!$C$4:$C$53,C22,'PT2(CT)'!$N$4:$N$53) + SUMIF('PT2(CT)'!$C$4:$C$53,C22,'PT2(CT)'!$O$4:$O$53)  + SUMIF(CH!$C$4:$C$33,C22,CH!$N$4:$N$33)+ (IsEstimateCT)*(1-IsEstimateST)*SUMIF(FxB!$C$4:$C$53,C22,FxB!$L$4:$L$53),1))</f>
        <v>418</v>
      </c>
      <c r="I22" s="362">
        <f>IF(TRIM(C22)="","",ROUND(SUMIF('PT2(ST)'!$C$4:$C$53,C22,'PT2(ST)'!$K$4:$K$53) + SUMIF('PT2(ST)'!$C$4:$C$53,C22,'PT2(ST)'!$L$4:$L$53) + SUMIF('PT2(ST)'!$C$4:$C$53,C22,'PT2(ST)'!$M$4:$M$53) + SUMIF('PT2(ST)'!$C$4:$C$53,C22,'PT2(ST)'!$N$4:$N$53) + SUMIF('PT2(ST)'!$C$4:$C$53,C22,'PT2(ST)'!$O$4:$O$53) + SUMIF(CH!$C$4:$C$33,C22,CH!$P$4:$P$33),1))</f>
        <v>0</v>
      </c>
      <c r="J22" s="566"/>
      <c r="K22" s="567"/>
      <c r="L22" s="568"/>
      <c r="M22" s="51"/>
      <c r="O22" s="314"/>
      <c r="P22" s="314"/>
      <c r="Q22" s="314"/>
      <c r="R22" s="314"/>
      <c r="S22" s="314">
        <f t="shared" si="2"/>
        <v>1</v>
      </c>
      <c r="T22" s="314"/>
      <c r="U22" s="314"/>
      <c r="V22" s="314"/>
      <c r="AB22" s="349"/>
      <c r="AC22" s="350" t="s">
        <v>377</v>
      </c>
      <c r="AD22" s="351">
        <f>SUM('PG1'!$L$4:$L$53,'PG2'!$E$4:$E$53)/SUM(DD!$E$4:$E$53)</f>
        <v>312.2</v>
      </c>
      <c r="AE22" s="351">
        <v>200</v>
      </c>
      <c r="AF22" s="97"/>
      <c r="AG22" s="97"/>
      <c r="AH22" s="97"/>
      <c r="AI22" s="97"/>
      <c r="AJ22" s="97"/>
      <c r="AK22" s="97"/>
      <c r="AL22" s="97"/>
      <c r="AM22" s="97"/>
      <c r="AN22" s="97"/>
    </row>
    <row r="23" spans="1:41" s="2" customFormat="1" ht="14.25" customHeight="1">
      <c r="A23" s="49"/>
      <c r="B23" s="162">
        <f t="shared" si="1"/>
        <v>7</v>
      </c>
      <c r="C23" s="163" t="s">
        <v>460</v>
      </c>
      <c r="D23" s="363">
        <f>IF(TRIM(C23)="","",ROUND(SUMIF(BD!$C$4:$C$33,C23,BD!$G$4:$G$33)+SUMIF(BD!$C$4:$C$33,C23,BD!$H$4:$H$33)+SUMIF(RQ!$C$4:$C$33,C23,RQ!$H$4:$H$33)+SUMIF(RQ!$C$4:$C$33,C23,RQ!$I$4:$I$33)+SUMIF(CH!$C$4:$C$33,C23,CH!$F$4:$F$33),1))</f>
        <v>0</v>
      </c>
      <c r="E23" s="363">
        <f>IF(TRIM(C23)="","",ROUND(SUMIF(DD!$C$4:$C$53,C23,DD!$H$4:$H$53)+SUMIF(DD!$C$4:$C$53,C23,DD!$I$4:$I$53)+SUMIF(CH!$C$4:$C$33,C23,CH!$H$4:$H$33),1))</f>
        <v>0</v>
      </c>
      <c r="F23" s="363">
        <f>IF(TRIM(C23)="","",ROUND(SUMIF('PG1'!$C$4:$C$53,C23,'PG1'!$H$4:$H$53) + SUMIF('PG1'!$C$4:$C$53,C23,'PG1'!$I$4:$I$53) + SUMIF('PG2'!$C$4:$C$53,C23,'PG2'!$J$4:$J$53)+ SUMIF('PG2'!$C$4:$C$53,C23,'PG2'!$K$4:$K$53) + SUMIF('PG3'!$C$4:$C$53,C23,'PG3'!$J$4:$J$53)+ SUMIF('PG3'!$C$4:$C$53,C23,'PG3'!$K$4:$K$53) + SUMIF(CH!$C$4:$C$33,C23,CH!$J$4:$J$33)+(1-IsEstimateUT)*SUMIF(FxB!$C$4:$C$53,C23,FxB!$J$4:$J$53)+(1-IsEstimateUT)*(1-IsEstimateCT)*SUMIF(FxB!$C$4:$C$53,C23,FxB!$K$4:$K$53)+(1-IsEstimateUT)*(1-IsEstimateCT)*(1-IsEstimateST)*SUMIF(FxB!$C$4:$C$53,C23,FxB!$L$4:$L$53),1))</f>
        <v>7</v>
      </c>
      <c r="G23" s="364">
        <f>IF(TRIM(C23)="","",ROUND(SUMIF('PT1(UT)'!$C$4:$C$53,C23,'PT1(UT)'!$K$4:$K$53) + SUMIF('PT1(UT)'!$C$4:$C$53,C23,'PT1(UT)'!$L$4:$L$53) + SUMIF('PT1(UT)'!$C$4:$C$53,C23,'PT1(UT)'!$M$4:$M$53) + SUMIF('PT1(UT)'!$C$4:$C$53,C23,'PT1(UT)'!$N$4:$N$53) + SUMIF('PT1(UT)'!$C$4:$C$53,C23,'PT1(UT)'!$O$4:$O$53)  + SUMIF(CH!$C$4:$C$33,C23,CH!$L$4:$L$33)+ (IsEstimateUT)*(1-IsEstimateCT)*SUMIF(FxB!$C$4:$C$53,C23,FxB!$K$4:$K$53)+(IsEstimateUT)*(1-IsEstimateCT)*(1-IsEstimateST)*SUMIF(FxB!$C$4:$C$53,C23,FxB!$L$4:$L$53),1))</f>
        <v>9.5</v>
      </c>
      <c r="H23" s="365">
        <f>IF(TRIM(C23)="","",ROUND(SUMIF('PT2(CT)'!$C$4:$C$53,C23,'PT2(CT)'!$K$4:$K$53) + SUMIF('PT2(CT)'!$C$4:$C$53,C23,'PT2(CT)'!$L$4:$L$53) + SUMIF('PT2(CT)'!$C$4:$C$53,C23,'PT2(CT)'!$M$4:$M$53) + SUMIF('PT2(CT)'!$C$4:$C$53,C23,'PT2(CT)'!$N$4:$N$53) + SUMIF('PT2(CT)'!$C$4:$C$53,C23,'PT2(CT)'!$O$4:$O$53)  + SUMIF(CH!$C$4:$C$33,C23,CH!$N$4:$N$33)+ (IsEstimateCT)*(1-IsEstimateST)*SUMIF(FxB!$C$4:$C$53,C23,FxB!$L$4:$L$53),1))</f>
        <v>7</v>
      </c>
      <c r="I23" s="365">
        <f>IF(TRIM(C23)="","",ROUND(SUMIF('PT2(ST)'!$C$4:$C$53,C23,'PT2(ST)'!$K$4:$K$53) + SUMIF('PT2(ST)'!$C$4:$C$53,C23,'PT2(ST)'!$L$4:$L$53) + SUMIF('PT2(ST)'!$C$4:$C$53,C23,'PT2(ST)'!$M$4:$M$53) + SUMIF('PT2(ST)'!$C$4:$C$53,C23,'PT2(ST)'!$N$4:$N$53) + SUMIF('PT2(ST)'!$C$4:$C$53,C23,'PT2(ST)'!$O$4:$O$53) + SUMIF(CH!$C$4:$C$33,C23,CH!$P$4:$P$33),1))</f>
        <v>0</v>
      </c>
      <c r="J23" s="574"/>
      <c r="K23" s="575"/>
      <c r="L23" s="576"/>
      <c r="M23" s="51"/>
      <c r="O23" s="314"/>
      <c r="P23" s="314"/>
      <c r="Q23" s="314"/>
      <c r="R23" s="314"/>
      <c r="S23" s="314">
        <f t="shared" si="2"/>
        <v>1</v>
      </c>
      <c r="T23" s="314"/>
      <c r="U23" s="314"/>
      <c r="V23" s="314"/>
      <c r="AB23" s="359"/>
      <c r="AC23" s="350" t="s">
        <v>378</v>
      </c>
      <c r="AD23" s="351">
        <f>SUM(DD!$E$4:$E$53)/SUM(BD!$D$4:$D$33)</f>
        <v>2</v>
      </c>
      <c r="AE23" s="351">
        <v>1.5</v>
      </c>
    </row>
    <row r="24" spans="1:41" s="2" customFormat="1" ht="14.25" customHeight="1">
      <c r="A24" s="49"/>
      <c r="B24" s="160">
        <f t="shared" si="1"/>
        <v>8</v>
      </c>
      <c r="C24" s="161" t="s">
        <v>461</v>
      </c>
      <c r="D24" s="361">
        <f>IF(TRIM(C24)="","",ROUND(SUMIF(BD!$C$4:$C$33,C24,BD!$G$4:$G$33)+SUMIF(BD!$C$4:$C$33,C24,BD!$H$4:$H$33)+SUMIF(RQ!$C$4:$C$33,C24,RQ!$H$4:$H$33)+SUMIF(RQ!$C$4:$C$33,C24,RQ!$I$4:$I$33)+SUMIF(CH!$C$4:$C$33,C24,CH!$F$4:$F$33),1))</f>
        <v>0</v>
      </c>
      <c r="E24" s="361">
        <f>IF(TRIM(C24)="","",ROUND(SUMIF(DD!$C$4:$C$53,C24,DD!$H$4:$H$53)+SUMIF(DD!$C$4:$C$53,C24,DD!$I$4:$I$53)+SUMIF(CH!$C$4:$C$33,C24,CH!$H$4:$H$33),1))</f>
        <v>0</v>
      </c>
      <c r="F24" s="361">
        <f>IF(TRIM(C24)="","",ROUND(SUMIF('PG1'!$C$4:$C$53,C24,'PG1'!$H$4:$H$53) + SUMIF('PG1'!$C$4:$C$53,C24,'PG1'!$I$4:$I$53) + SUMIF('PG2'!$C$4:$C$53,C24,'PG2'!$J$4:$J$53)+ SUMIF('PG2'!$C$4:$C$53,C24,'PG2'!$K$4:$K$53) + SUMIF('PG3'!$C$4:$C$53,C24,'PG3'!$J$4:$J$53)+ SUMIF('PG3'!$C$4:$C$53,C24,'PG3'!$K$4:$K$53) + SUMIF(CH!$C$4:$C$33,C24,CH!$J$4:$J$33)+(1-IsEstimateUT)*SUMIF(FxB!$C$4:$C$53,C24,FxB!$J$4:$J$53)+(1-IsEstimateUT)*(1-IsEstimateCT)*SUMIF(FxB!$C$4:$C$53,C24,FxB!$K$4:$K$53)+(1-IsEstimateUT)*(1-IsEstimateCT)*(1-IsEstimateST)*SUMIF(FxB!$C$4:$C$53,C24,FxB!$L$4:$L$53),1))</f>
        <v>10</v>
      </c>
      <c r="G24" s="361">
        <f>IF(TRIM(C24)="","",ROUND(SUMIF('PT1(UT)'!$C$4:$C$53,C24,'PT1(UT)'!$K$4:$K$53) + SUMIF('PT1(UT)'!$C$4:$C$53,C24,'PT1(UT)'!$L$4:$L$53) + SUMIF('PT1(UT)'!$C$4:$C$53,C24,'PT1(UT)'!$M$4:$M$53) + SUMIF('PT1(UT)'!$C$4:$C$53,C24,'PT1(UT)'!$N$4:$N$53) + SUMIF('PT1(UT)'!$C$4:$C$53,C24,'PT1(UT)'!$O$4:$O$53)  + SUMIF(CH!$C$4:$C$33,C24,CH!$L$4:$L$33)+ (IsEstimateUT)*(1-IsEstimateCT)*SUMIF(FxB!$C$4:$C$53,C24,FxB!$K$4:$K$53)+(IsEstimateUT)*(1-IsEstimateCT)*(1-IsEstimateST)*SUMIF(FxB!$C$4:$C$53,C24,FxB!$L$4:$L$53),1))</f>
        <v>13.3</v>
      </c>
      <c r="H24" s="362">
        <f>IF(TRIM(C24)="","",ROUND(SUMIF('PT2(CT)'!$C$4:$C$53,C24,'PT2(CT)'!$K$4:$K$53) + SUMIF('PT2(CT)'!$C$4:$C$53,C24,'PT2(CT)'!$L$4:$L$53) + SUMIF('PT2(CT)'!$C$4:$C$53,C24,'PT2(CT)'!$M$4:$M$53) + SUMIF('PT2(CT)'!$C$4:$C$53,C24,'PT2(CT)'!$N$4:$N$53) + SUMIF('PT2(CT)'!$C$4:$C$53,C24,'PT2(CT)'!$O$4:$O$53)  + SUMIF(CH!$C$4:$C$33,C24,CH!$N$4:$N$33)+ (IsEstimateCT)*(1-IsEstimateST)*SUMIF(FxB!$C$4:$C$53,C24,FxB!$L$4:$L$53),1))</f>
        <v>9.5</v>
      </c>
      <c r="I24" s="362">
        <f>IF(TRIM(C24)="","",ROUND(SUMIF('PT2(ST)'!$C$4:$C$53,C24,'PT2(ST)'!$K$4:$K$53) + SUMIF('PT2(ST)'!$C$4:$C$53,C24,'PT2(ST)'!$L$4:$L$53) + SUMIF('PT2(ST)'!$C$4:$C$53,C24,'PT2(ST)'!$M$4:$M$53) + SUMIF('PT2(ST)'!$C$4:$C$53,C24,'PT2(ST)'!$N$4:$N$53) + SUMIF('PT2(ST)'!$C$4:$C$53,C24,'PT2(ST)'!$O$4:$O$53) + SUMIF(CH!$C$4:$C$33,C24,CH!$P$4:$P$33),1))</f>
        <v>0</v>
      </c>
      <c r="J24" s="566"/>
      <c r="K24" s="567"/>
      <c r="L24" s="568"/>
      <c r="M24" s="51"/>
      <c r="O24" s="314"/>
      <c r="P24" s="314"/>
      <c r="Q24" s="314"/>
      <c r="R24" s="314"/>
      <c r="S24" s="314">
        <f t="shared" si="2"/>
        <v>1</v>
      </c>
      <c r="T24" s="314"/>
      <c r="U24" s="314"/>
      <c r="V24" s="314"/>
    </row>
    <row r="25" spans="1:41" s="2" customFormat="1" ht="14.25" customHeight="1">
      <c r="A25" s="49"/>
      <c r="B25" s="162">
        <f t="shared" si="1"/>
        <v>9</v>
      </c>
      <c r="C25" s="164" t="s">
        <v>463</v>
      </c>
      <c r="D25" s="363">
        <f>IF(TRIM(C25)="","",ROUND(SUMIF(BD!$C$4:$C$33,C25,BD!$G$4:$G$33)+SUMIF(BD!$C$4:$C$33,C25,BD!$H$4:$H$33)+SUMIF(RQ!$C$4:$C$33,C25,RQ!$H$4:$H$33)+SUMIF(RQ!$C$4:$C$33,C25,RQ!$I$4:$I$33)+SUMIF(CH!$C$4:$C$33,C25,CH!$F$4:$F$33),1))</f>
        <v>0</v>
      </c>
      <c r="E25" s="363">
        <f>IF(TRIM(C25)="","",ROUND(SUMIF(DD!$C$4:$C$53,C25,DD!$H$4:$H$53)+SUMIF(DD!$C$4:$C$53,C25,DD!$I$4:$I$53)+SUMIF(CH!$C$4:$C$33,C25,CH!$H$4:$H$33),1))</f>
        <v>0</v>
      </c>
      <c r="F25" s="363">
        <f>IF(TRIM(C25)="","",ROUND(SUMIF('PG1'!$C$4:$C$53,C25,'PG1'!$H$4:$H$53) + SUMIF('PG1'!$C$4:$C$53,C25,'PG1'!$I$4:$I$53) + SUMIF('PG2'!$C$4:$C$53,C25,'PG2'!$J$4:$J$53)+ SUMIF('PG2'!$C$4:$C$53,C25,'PG2'!$K$4:$K$53) + SUMIF('PG3'!$C$4:$C$53,C25,'PG3'!$J$4:$J$53)+ SUMIF('PG3'!$C$4:$C$53,C25,'PG3'!$K$4:$K$53) + SUMIF(CH!$C$4:$C$33,C25,CH!$J$4:$J$33)+(1-IsEstimateUT)*SUMIF(FxB!$C$4:$C$53,C25,FxB!$J$4:$J$53)+(1-IsEstimateUT)*(1-IsEstimateCT)*SUMIF(FxB!$C$4:$C$53,C25,FxB!$K$4:$K$53)+(1-IsEstimateUT)*(1-IsEstimateCT)*(1-IsEstimateST)*SUMIF(FxB!$C$4:$C$53,C25,FxB!$L$4:$L$53),1))</f>
        <v>19.5</v>
      </c>
      <c r="G25" s="364">
        <f>IF(TRIM(C25)="","",ROUND(SUMIF('PT1(UT)'!$C$4:$C$53,C25,'PT1(UT)'!$K$4:$K$53) + SUMIF('PT1(UT)'!$C$4:$C$53,C25,'PT1(UT)'!$L$4:$L$53) + SUMIF('PT1(UT)'!$C$4:$C$53,C25,'PT1(UT)'!$M$4:$M$53) + SUMIF('PT1(UT)'!$C$4:$C$53,C25,'PT1(UT)'!$N$4:$N$53) + SUMIF('PT1(UT)'!$C$4:$C$53,C25,'PT1(UT)'!$O$4:$O$53)  + SUMIF(CH!$C$4:$C$33,C25,CH!$L$4:$L$33)+ (IsEstimateUT)*(1-IsEstimateCT)*SUMIF(FxB!$C$4:$C$53,C25,FxB!$K$4:$K$53)+(IsEstimateUT)*(1-IsEstimateCT)*(1-IsEstimateST)*SUMIF(FxB!$C$4:$C$53,C25,FxB!$L$4:$L$53),1))</f>
        <v>25.5</v>
      </c>
      <c r="H25" s="365">
        <f>IF(TRIM(C25)="","",ROUND(SUMIF('PT2(CT)'!$C$4:$C$53,C25,'PT2(CT)'!$K$4:$K$53) + SUMIF('PT2(CT)'!$C$4:$C$53,C25,'PT2(CT)'!$L$4:$L$53) + SUMIF('PT2(CT)'!$C$4:$C$53,C25,'PT2(CT)'!$M$4:$M$53) + SUMIF('PT2(CT)'!$C$4:$C$53,C25,'PT2(CT)'!$N$4:$N$53) + SUMIF('PT2(CT)'!$C$4:$C$53,C25,'PT2(CT)'!$O$4:$O$53)  + SUMIF(CH!$C$4:$C$33,C25,CH!$N$4:$N$33)+ (IsEstimateCT)*(1-IsEstimateST)*SUMIF(FxB!$C$4:$C$53,C25,FxB!$L$4:$L$53),1))</f>
        <v>18.399999999999999</v>
      </c>
      <c r="I25" s="365">
        <f>IF(TRIM(C25)="","",ROUND(SUMIF('PT2(ST)'!$C$4:$C$53,C25,'PT2(ST)'!$K$4:$K$53) + SUMIF('PT2(ST)'!$C$4:$C$53,C25,'PT2(ST)'!$L$4:$L$53) + SUMIF('PT2(ST)'!$C$4:$C$53,C25,'PT2(ST)'!$M$4:$M$53) + SUMIF('PT2(ST)'!$C$4:$C$53,C25,'PT2(ST)'!$N$4:$N$53) + SUMIF('PT2(ST)'!$C$4:$C$53,C25,'PT2(ST)'!$O$4:$O$53) + SUMIF(CH!$C$4:$C$33,C25,CH!$P$4:$P$33),1))</f>
        <v>0</v>
      </c>
      <c r="J25" s="574"/>
      <c r="K25" s="575"/>
      <c r="L25" s="576"/>
      <c r="M25" s="51"/>
      <c r="O25" s="314"/>
      <c r="P25" s="314"/>
      <c r="Q25" s="314"/>
      <c r="R25" s="314"/>
      <c r="S25" s="314">
        <f t="shared" si="2"/>
        <v>1</v>
      </c>
      <c r="T25" s="314"/>
      <c r="U25" s="314"/>
      <c r="V25" s="314"/>
    </row>
    <row r="26" spans="1:41" s="2" customFormat="1" ht="14.25" customHeight="1">
      <c r="A26" s="49"/>
      <c r="B26" s="160">
        <f t="shared" si="1"/>
        <v>10</v>
      </c>
      <c r="C26" s="161" t="s">
        <v>464</v>
      </c>
      <c r="D26" s="361">
        <f>IF(TRIM(C26)="","",ROUND(SUMIF(BD!$C$4:$C$33,C26,BD!$G$4:$G$33)+SUMIF(BD!$C$4:$C$33,C26,BD!$H$4:$H$33)+SUMIF(RQ!$C$4:$C$33,C26,RQ!$H$4:$H$33)+SUMIF(RQ!$C$4:$C$33,C26,RQ!$I$4:$I$33)+SUMIF(CH!$C$4:$C$33,C26,CH!$F$4:$F$33),1))</f>
        <v>0</v>
      </c>
      <c r="E26" s="361">
        <f>IF(TRIM(C26)="","",ROUND(SUMIF(DD!$C$4:$C$53,C26,DD!$H$4:$H$53)+SUMIF(DD!$C$4:$C$53,C26,DD!$I$4:$I$53)+SUMIF(CH!$C$4:$C$33,C26,CH!$H$4:$H$33),1))</f>
        <v>0</v>
      </c>
      <c r="F26" s="361">
        <f>IF(TRIM(C26)="","",ROUND(SUMIF('PG1'!$C$4:$C$53,C26,'PG1'!$H$4:$H$53) + SUMIF('PG1'!$C$4:$C$53,C26,'PG1'!$I$4:$I$53) + SUMIF('PG2'!$C$4:$C$53,C26,'PG2'!$J$4:$J$53)+ SUMIF('PG2'!$C$4:$C$53,C26,'PG2'!$K$4:$K$53) + SUMIF('PG3'!$C$4:$C$53,C26,'PG3'!$J$4:$J$53)+ SUMIF('PG3'!$C$4:$C$53,C26,'PG3'!$K$4:$K$53) + SUMIF(CH!$C$4:$C$33,C26,CH!$J$4:$J$33)+(1-IsEstimateUT)*SUMIF(FxB!$C$4:$C$53,C26,FxB!$J$4:$J$53)+(1-IsEstimateUT)*(1-IsEstimateCT)*SUMIF(FxB!$C$4:$C$53,C26,FxB!$K$4:$K$53)+(1-IsEstimateUT)*(1-IsEstimateCT)*(1-IsEstimateST)*SUMIF(FxB!$C$4:$C$53,C26,FxB!$L$4:$L$53),1))</f>
        <v>13.5</v>
      </c>
      <c r="G26" s="361">
        <f>IF(TRIM(C26)="","",ROUND(SUMIF('PT1(UT)'!$C$4:$C$53,C26,'PT1(UT)'!$K$4:$K$53) + SUMIF('PT1(UT)'!$C$4:$C$53,C26,'PT1(UT)'!$L$4:$L$53) + SUMIF('PT1(UT)'!$C$4:$C$53,C26,'PT1(UT)'!$M$4:$M$53) + SUMIF('PT1(UT)'!$C$4:$C$53,C26,'PT1(UT)'!$N$4:$N$53) + SUMIF('PT1(UT)'!$C$4:$C$53,C26,'PT1(UT)'!$O$4:$O$53)  + SUMIF(CH!$C$4:$C$33,C26,CH!$L$4:$L$33)+ (IsEstimateUT)*(1-IsEstimateCT)*SUMIF(FxB!$C$4:$C$53,C26,FxB!$K$4:$K$53)+(IsEstimateUT)*(1-IsEstimateCT)*(1-IsEstimateST)*SUMIF(FxB!$C$4:$C$53,C26,FxB!$L$4:$L$53),1))</f>
        <v>18</v>
      </c>
      <c r="H26" s="362">
        <f>IF(TRIM(C26)="","",ROUND(SUMIF('PT2(CT)'!$C$4:$C$53,C26,'PT2(CT)'!$K$4:$K$53) + SUMIF('PT2(CT)'!$C$4:$C$53,C26,'PT2(CT)'!$L$4:$L$53) + SUMIF('PT2(CT)'!$C$4:$C$53,C26,'PT2(CT)'!$M$4:$M$53) + SUMIF('PT2(CT)'!$C$4:$C$53,C26,'PT2(CT)'!$N$4:$N$53) + SUMIF('PT2(CT)'!$C$4:$C$53,C26,'PT2(CT)'!$O$4:$O$53)  + SUMIF(CH!$C$4:$C$33,C26,CH!$N$4:$N$33)+ (IsEstimateCT)*(1-IsEstimateST)*SUMIF(FxB!$C$4:$C$53,C26,FxB!$L$4:$L$53),1))</f>
        <v>13</v>
      </c>
      <c r="I26" s="362">
        <f>IF(TRIM(C26)="","",ROUND(SUMIF('PT2(ST)'!$C$4:$C$53,C26,'PT2(ST)'!$K$4:$K$53) + SUMIF('PT2(ST)'!$C$4:$C$53,C26,'PT2(ST)'!$L$4:$L$53) + SUMIF('PT2(ST)'!$C$4:$C$53,C26,'PT2(ST)'!$M$4:$M$53) + SUMIF('PT2(ST)'!$C$4:$C$53,C26,'PT2(ST)'!$N$4:$N$53) + SUMIF('PT2(ST)'!$C$4:$C$53,C26,'PT2(ST)'!$O$4:$O$53) + SUMIF(CH!$C$4:$C$33,C26,CH!$P$4:$P$33),1))</f>
        <v>0</v>
      </c>
      <c r="J26" s="566"/>
      <c r="K26" s="567"/>
      <c r="L26" s="568"/>
      <c r="M26" s="51"/>
      <c r="O26" s="314"/>
      <c r="P26" s="314"/>
      <c r="Q26" s="314"/>
      <c r="R26" s="314"/>
      <c r="S26" s="314">
        <f t="shared" si="2"/>
        <v>1</v>
      </c>
      <c r="T26" s="314"/>
      <c r="U26" s="314"/>
      <c r="V26" s="314"/>
    </row>
    <row r="27" spans="1:41" s="2" customFormat="1" ht="14.25" customHeight="1">
      <c r="A27" s="49"/>
      <c r="B27" s="162">
        <f t="shared" si="1"/>
        <v>11</v>
      </c>
      <c r="C27" s="163" t="s">
        <v>466</v>
      </c>
      <c r="D27" s="363">
        <f>IF(TRIM(C27)="","",ROUND(SUMIF(BD!$C$4:$C$33,C27,BD!$G$4:$G$33)+SUMIF(BD!$C$4:$C$33,C27,BD!$H$4:$H$33)+SUMIF(RQ!$C$4:$C$33,C27,RQ!$H$4:$H$33)+SUMIF(RQ!$C$4:$C$33,C27,RQ!$I$4:$I$33)+SUMIF(CH!$C$4:$C$33,C27,CH!$F$4:$F$33),1))</f>
        <v>0</v>
      </c>
      <c r="E27" s="363">
        <f>IF(TRIM(C27)="","",ROUND(SUMIF(DD!$C$4:$C$53,C27,DD!$H$4:$H$53)+SUMIF(DD!$C$4:$C$53,C27,DD!$I$4:$I$53)+SUMIF(CH!$C$4:$C$33,C27,CH!$H$4:$H$33),1))</f>
        <v>0</v>
      </c>
      <c r="F27" s="363">
        <f>IF(TRIM(C27)="","",ROUND(SUMIF('PG1'!$C$4:$C$53,C27,'PG1'!$H$4:$H$53) + SUMIF('PG1'!$C$4:$C$53,C27,'PG1'!$I$4:$I$53) + SUMIF('PG2'!$C$4:$C$53,C27,'PG2'!$J$4:$J$53)+ SUMIF('PG2'!$C$4:$C$53,C27,'PG2'!$K$4:$K$53) + SUMIF('PG3'!$C$4:$C$53,C27,'PG3'!$J$4:$J$53)+ SUMIF('PG3'!$C$4:$C$53,C27,'PG3'!$K$4:$K$53) + SUMIF(CH!$C$4:$C$33,C27,CH!$J$4:$J$33)+(1-IsEstimateUT)*SUMIF(FxB!$C$4:$C$53,C27,FxB!$J$4:$J$53)+(1-IsEstimateUT)*(1-IsEstimateCT)*SUMIF(FxB!$C$4:$C$53,C27,FxB!$K$4:$K$53)+(1-IsEstimateUT)*(1-IsEstimateCT)*(1-IsEstimateST)*SUMIF(FxB!$C$4:$C$53,C27,FxB!$L$4:$L$53),1))</f>
        <v>21</v>
      </c>
      <c r="G27" s="364">
        <f>IF(TRIM(C27)="","",ROUND(SUMIF('PT1(UT)'!$C$4:$C$53,C27,'PT1(UT)'!$K$4:$K$53) + SUMIF('PT1(UT)'!$C$4:$C$53,C27,'PT1(UT)'!$L$4:$L$53) + SUMIF('PT1(UT)'!$C$4:$C$53,C27,'PT1(UT)'!$M$4:$M$53) + SUMIF('PT1(UT)'!$C$4:$C$53,C27,'PT1(UT)'!$N$4:$N$53) + SUMIF('PT1(UT)'!$C$4:$C$53,C27,'PT1(UT)'!$O$4:$O$53)  + SUMIF(CH!$C$4:$C$33,C27,CH!$L$4:$L$33)+ (IsEstimateUT)*(1-IsEstimateCT)*SUMIF(FxB!$C$4:$C$53,C27,FxB!$K$4:$K$53)+(IsEstimateUT)*(1-IsEstimateCT)*(1-IsEstimateST)*SUMIF(FxB!$C$4:$C$53,C27,FxB!$L$4:$L$53),1))</f>
        <v>26.6</v>
      </c>
      <c r="H27" s="365">
        <f>IF(TRIM(C27)="","",ROUND(SUMIF('PT2(CT)'!$C$4:$C$53,C27,'PT2(CT)'!$K$4:$K$53) + SUMIF('PT2(CT)'!$C$4:$C$53,C27,'PT2(CT)'!$L$4:$L$53) + SUMIF('PT2(CT)'!$C$4:$C$53,C27,'PT2(CT)'!$M$4:$M$53) + SUMIF('PT2(CT)'!$C$4:$C$53,C27,'PT2(CT)'!$N$4:$N$53) + SUMIF('PT2(CT)'!$C$4:$C$53,C27,'PT2(CT)'!$O$4:$O$53)  + SUMIF(CH!$C$4:$C$33,C27,CH!$N$4:$N$33)+ (IsEstimateCT)*(1-IsEstimateST)*SUMIF(FxB!$C$4:$C$53,C27,FxB!$L$4:$L$53),1))</f>
        <v>19.2</v>
      </c>
      <c r="I27" s="365">
        <f>IF(TRIM(C27)="","",ROUND(SUMIF('PT2(ST)'!$C$4:$C$53,C27,'PT2(ST)'!$K$4:$K$53) + SUMIF('PT2(ST)'!$C$4:$C$53,C27,'PT2(ST)'!$L$4:$L$53) + SUMIF('PT2(ST)'!$C$4:$C$53,C27,'PT2(ST)'!$M$4:$M$53) + SUMIF('PT2(ST)'!$C$4:$C$53,C27,'PT2(ST)'!$N$4:$N$53) + SUMIF('PT2(ST)'!$C$4:$C$53,C27,'PT2(ST)'!$O$4:$O$53) + SUMIF(CH!$C$4:$C$33,C27,CH!$P$4:$P$33),1))</f>
        <v>0</v>
      </c>
      <c r="J27" s="574"/>
      <c r="K27" s="575"/>
      <c r="L27" s="576"/>
      <c r="M27" s="51"/>
      <c r="O27" s="314"/>
      <c r="P27" s="314"/>
      <c r="Q27" s="314"/>
      <c r="R27" s="314"/>
      <c r="S27" s="314">
        <f t="shared" si="2"/>
        <v>1</v>
      </c>
      <c r="T27" s="314"/>
      <c r="U27" s="314"/>
      <c r="V27" s="314"/>
    </row>
    <row r="28" spans="1:41" s="2" customFormat="1" ht="14.25" customHeight="1">
      <c r="A28" s="49"/>
      <c r="B28" s="160">
        <f t="shared" si="1"/>
        <v>12</v>
      </c>
      <c r="C28" s="161" t="s">
        <v>467</v>
      </c>
      <c r="D28" s="361">
        <f>IF(TRIM(C28)="","",ROUND(SUMIF(BD!$C$4:$C$33,C28,BD!$G$4:$G$33)+SUMIF(BD!$C$4:$C$33,C28,BD!$H$4:$H$33)+SUMIF(RQ!$C$4:$C$33,C28,RQ!$H$4:$H$33)+SUMIF(RQ!$C$4:$C$33,C28,RQ!$I$4:$I$33)+SUMIF(CH!$C$4:$C$33,C28,CH!$F$4:$F$33),1))</f>
        <v>0</v>
      </c>
      <c r="E28" s="361">
        <f>IF(TRIM(C28)="","",ROUND(SUMIF(DD!$C$4:$C$53,C28,DD!$H$4:$H$53)+SUMIF(DD!$C$4:$C$53,C28,DD!$I$4:$I$53)+SUMIF(CH!$C$4:$C$33,C28,CH!$H$4:$H$33),1))</f>
        <v>0</v>
      </c>
      <c r="F28" s="361">
        <f>IF(TRIM(C28)="","",ROUND(SUMIF('PG1'!$C$4:$C$53,C28,'PG1'!$H$4:$H$53) + SUMIF('PG1'!$C$4:$C$53,C28,'PG1'!$I$4:$I$53) + SUMIF('PG2'!$C$4:$C$53,C28,'PG2'!$J$4:$J$53)+ SUMIF('PG2'!$C$4:$C$53,C28,'PG2'!$K$4:$K$53) + SUMIF('PG3'!$C$4:$C$53,C28,'PG3'!$J$4:$J$53)+ SUMIF('PG3'!$C$4:$C$53,C28,'PG3'!$K$4:$K$53) + SUMIF(CH!$C$4:$C$33,C28,CH!$J$4:$J$33)+(1-IsEstimateUT)*SUMIF(FxB!$C$4:$C$53,C28,FxB!$J$4:$J$53)+(1-IsEstimateUT)*(1-IsEstimateCT)*SUMIF(FxB!$C$4:$C$53,C28,FxB!$K$4:$K$53)+(1-IsEstimateUT)*(1-IsEstimateCT)*(1-IsEstimateST)*SUMIF(FxB!$C$4:$C$53,C28,FxB!$L$4:$L$53),1))</f>
        <v>18</v>
      </c>
      <c r="G28" s="361">
        <f>IF(TRIM(C28)="","",ROUND(SUMIF('PT1(UT)'!$C$4:$C$53,C28,'PT1(UT)'!$K$4:$K$53) + SUMIF('PT1(UT)'!$C$4:$C$53,C28,'PT1(UT)'!$L$4:$L$53) + SUMIF('PT1(UT)'!$C$4:$C$53,C28,'PT1(UT)'!$M$4:$M$53) + SUMIF('PT1(UT)'!$C$4:$C$53,C28,'PT1(UT)'!$N$4:$N$53) + SUMIF('PT1(UT)'!$C$4:$C$53,C28,'PT1(UT)'!$O$4:$O$53)  + SUMIF(CH!$C$4:$C$33,C28,CH!$L$4:$L$33)+ (IsEstimateUT)*(1-IsEstimateCT)*SUMIF(FxB!$C$4:$C$53,C28,FxB!$K$4:$K$53)+(IsEstimateUT)*(1-IsEstimateCT)*(1-IsEstimateST)*SUMIF(FxB!$C$4:$C$53,C28,FxB!$L$4:$L$53),1))</f>
        <v>23.9</v>
      </c>
      <c r="H28" s="362">
        <f>IF(TRIM(C28)="","",ROUND(SUMIF('PT2(CT)'!$C$4:$C$53,C28,'PT2(CT)'!$K$4:$K$53) + SUMIF('PT2(CT)'!$C$4:$C$53,C28,'PT2(CT)'!$L$4:$L$53) + SUMIF('PT2(CT)'!$C$4:$C$53,C28,'PT2(CT)'!$M$4:$M$53) + SUMIF('PT2(CT)'!$C$4:$C$53,C28,'PT2(CT)'!$N$4:$N$53) + SUMIF('PT2(CT)'!$C$4:$C$53,C28,'PT2(CT)'!$O$4:$O$53)  + SUMIF(CH!$C$4:$C$33,C28,CH!$N$4:$N$33)+ (IsEstimateCT)*(1-IsEstimateST)*SUMIF(FxB!$C$4:$C$53,C28,FxB!$L$4:$L$53),1))</f>
        <v>16.7</v>
      </c>
      <c r="I28" s="362">
        <f>IF(TRIM(C28)="","",ROUND(SUMIF('PT2(ST)'!$C$4:$C$53,C28,'PT2(ST)'!$K$4:$K$53) + SUMIF('PT2(ST)'!$C$4:$C$53,C28,'PT2(ST)'!$L$4:$L$53) + SUMIF('PT2(ST)'!$C$4:$C$53,C28,'PT2(ST)'!$M$4:$M$53) + SUMIF('PT2(ST)'!$C$4:$C$53,C28,'PT2(ST)'!$N$4:$N$53) + SUMIF('PT2(ST)'!$C$4:$C$53,C28,'PT2(ST)'!$O$4:$O$53) + SUMIF(CH!$C$4:$C$33,C28,CH!$P$4:$P$33),1))</f>
        <v>0</v>
      </c>
      <c r="J28" s="566"/>
      <c r="K28" s="567"/>
      <c r="L28" s="568"/>
      <c r="M28" s="51"/>
      <c r="O28" s="314"/>
      <c r="P28" s="314"/>
      <c r="Q28" s="314"/>
      <c r="R28" s="314"/>
      <c r="S28" s="314">
        <f t="shared" si="2"/>
        <v>1</v>
      </c>
      <c r="T28" s="314"/>
      <c r="U28" s="314"/>
      <c r="V28" s="314"/>
    </row>
    <row r="29" spans="1:41" s="2" customFormat="1" ht="14.25" customHeight="1">
      <c r="A29" s="49"/>
      <c r="B29" s="162">
        <f t="shared" si="1"/>
        <v>13</v>
      </c>
      <c r="C29" s="163" t="s">
        <v>468</v>
      </c>
      <c r="D29" s="363">
        <f>IF(TRIM(C29)="","",ROUND(SUMIF(BD!$C$4:$C$33,C29,BD!$G$4:$G$33)+SUMIF(BD!$C$4:$C$33,C29,BD!$H$4:$H$33)+SUMIF(RQ!$C$4:$C$33,C29,RQ!$H$4:$H$33)+SUMIF(RQ!$C$4:$C$33,C29,RQ!$I$4:$I$33)+SUMIF(CH!$C$4:$C$33,C29,CH!$F$4:$F$33),1))</f>
        <v>0</v>
      </c>
      <c r="E29" s="363">
        <f>IF(TRIM(C29)="","",ROUND(SUMIF(DD!$C$4:$C$53,C29,DD!$H$4:$H$53)+SUMIF(DD!$C$4:$C$53,C29,DD!$I$4:$I$53)+SUMIF(CH!$C$4:$C$33,C29,CH!$H$4:$H$33),1))</f>
        <v>0</v>
      </c>
      <c r="F29" s="363">
        <f>IF(TRIM(C29)="","",ROUND(SUMIF('PG1'!$C$4:$C$53,C29,'PG1'!$H$4:$H$53) + SUMIF('PG1'!$C$4:$C$53,C29,'PG1'!$I$4:$I$53) + SUMIF('PG2'!$C$4:$C$53,C29,'PG2'!$J$4:$J$53)+ SUMIF('PG2'!$C$4:$C$53,C29,'PG2'!$K$4:$K$53) + SUMIF('PG3'!$C$4:$C$53,C29,'PG3'!$J$4:$J$53)+ SUMIF('PG3'!$C$4:$C$53,C29,'PG3'!$K$4:$K$53) + SUMIF(CH!$C$4:$C$33,C29,CH!$J$4:$J$33)+(1-IsEstimateUT)*SUMIF(FxB!$C$4:$C$53,C29,FxB!$J$4:$J$53)+(1-IsEstimateUT)*(1-IsEstimateCT)*SUMIF(FxB!$C$4:$C$53,C29,FxB!$K$4:$K$53)+(1-IsEstimateUT)*(1-IsEstimateCT)*(1-IsEstimateST)*SUMIF(FxB!$C$4:$C$53,C29,FxB!$L$4:$L$53),1))</f>
        <v>58</v>
      </c>
      <c r="G29" s="364">
        <f>IF(TRIM(C29)="","",ROUND(SUMIF('PT1(UT)'!$C$4:$C$53,C29,'PT1(UT)'!$K$4:$K$53) + SUMIF('PT1(UT)'!$C$4:$C$53,C29,'PT1(UT)'!$L$4:$L$53) + SUMIF('PT1(UT)'!$C$4:$C$53,C29,'PT1(UT)'!$M$4:$M$53) + SUMIF('PT1(UT)'!$C$4:$C$53,C29,'PT1(UT)'!$N$4:$N$53) + SUMIF('PT1(UT)'!$C$4:$C$53,C29,'PT1(UT)'!$O$4:$O$53)  + SUMIF(CH!$C$4:$C$33,C29,CH!$L$4:$L$33)+ (IsEstimateUT)*(1-IsEstimateCT)*SUMIF(FxB!$C$4:$C$53,C29,FxB!$K$4:$K$53)+(IsEstimateUT)*(1-IsEstimateCT)*(1-IsEstimateST)*SUMIF(FxB!$C$4:$C$53,C29,FxB!$L$4:$L$53),1))</f>
        <v>74.5</v>
      </c>
      <c r="H29" s="365">
        <f>IF(TRIM(C29)="","",ROUND(SUMIF('PT2(CT)'!$C$4:$C$53,C29,'PT2(CT)'!$K$4:$K$53) + SUMIF('PT2(CT)'!$C$4:$C$53,C29,'PT2(CT)'!$L$4:$L$53) + SUMIF('PT2(CT)'!$C$4:$C$53,C29,'PT2(CT)'!$M$4:$M$53) + SUMIF('PT2(CT)'!$C$4:$C$53,C29,'PT2(CT)'!$N$4:$N$53) + SUMIF('PT2(CT)'!$C$4:$C$53,C29,'PT2(CT)'!$O$4:$O$53)  + SUMIF(CH!$C$4:$C$33,C29,CH!$N$4:$N$33)+ (IsEstimateCT)*(1-IsEstimateST)*SUMIF(FxB!$C$4:$C$53,C29,FxB!$L$4:$L$53),1))</f>
        <v>53.5</v>
      </c>
      <c r="I29" s="365">
        <f>IF(TRIM(C29)="","",ROUND(SUMIF('PT2(ST)'!$C$4:$C$53,C29,'PT2(ST)'!$K$4:$K$53) + SUMIF('PT2(ST)'!$C$4:$C$53,C29,'PT2(ST)'!$L$4:$L$53) + SUMIF('PT2(ST)'!$C$4:$C$53,C29,'PT2(ST)'!$M$4:$M$53) + SUMIF('PT2(ST)'!$C$4:$C$53,C29,'PT2(ST)'!$N$4:$N$53) + SUMIF('PT2(ST)'!$C$4:$C$53,C29,'PT2(ST)'!$O$4:$O$53) + SUMIF(CH!$C$4:$C$33,C29,CH!$P$4:$P$33),1))</f>
        <v>0</v>
      </c>
      <c r="J29" s="574"/>
      <c r="K29" s="575"/>
      <c r="L29" s="576"/>
      <c r="M29" s="51"/>
      <c r="O29" s="314"/>
      <c r="P29" s="314"/>
      <c r="Q29" s="314"/>
      <c r="R29" s="314"/>
      <c r="S29" s="314">
        <f t="shared" si="2"/>
        <v>1</v>
      </c>
      <c r="T29" s="314"/>
      <c r="U29" s="314"/>
      <c r="V29" s="314"/>
    </row>
    <row r="30" spans="1:41" s="2" customFormat="1" ht="14.25" customHeight="1">
      <c r="A30" s="49"/>
      <c r="B30" s="160">
        <f t="shared" si="1"/>
        <v>14</v>
      </c>
      <c r="C30" s="161" t="s">
        <v>469</v>
      </c>
      <c r="D30" s="361">
        <f>IF(TRIM(C30)="","",ROUND(SUMIF(BD!$C$4:$C$33,C30,BD!$G$4:$G$33)+SUMIF(BD!$C$4:$C$33,C30,BD!$H$4:$H$33)+SUMIF(RQ!$C$4:$C$33,C30,RQ!$H$4:$H$33)+SUMIF(RQ!$C$4:$C$33,C30,RQ!$I$4:$I$33)+SUMIF(CH!$C$4:$C$33,C30,CH!$F$4:$F$33),1))</f>
        <v>0</v>
      </c>
      <c r="E30" s="361">
        <f>IF(TRIM(C30)="","",ROUND(SUMIF(DD!$C$4:$C$53,C30,DD!$H$4:$H$53)+SUMIF(DD!$C$4:$C$53,C30,DD!$I$4:$I$53)+SUMIF(CH!$C$4:$C$33,C30,CH!$H$4:$H$33),1))</f>
        <v>0</v>
      </c>
      <c r="F30" s="361">
        <f>IF(TRIM(C30)="","",ROUND(SUMIF('PG1'!$C$4:$C$53,C30,'PG1'!$H$4:$H$53) + SUMIF('PG1'!$C$4:$C$53,C30,'PG1'!$I$4:$I$53) + SUMIF('PG2'!$C$4:$C$53,C30,'PG2'!$J$4:$J$53)+ SUMIF('PG2'!$C$4:$C$53,C30,'PG2'!$K$4:$K$53) + SUMIF('PG3'!$C$4:$C$53,C30,'PG3'!$J$4:$J$53)+ SUMIF('PG3'!$C$4:$C$53,C30,'PG3'!$K$4:$K$53) + SUMIF(CH!$C$4:$C$33,C30,CH!$J$4:$J$33)+(1-IsEstimateUT)*SUMIF(FxB!$C$4:$C$53,C30,FxB!$J$4:$J$53)+(1-IsEstimateUT)*(1-IsEstimateCT)*SUMIF(FxB!$C$4:$C$53,C30,FxB!$K$4:$K$53)+(1-IsEstimateUT)*(1-IsEstimateCT)*(1-IsEstimateST)*SUMIF(FxB!$C$4:$C$53,C30,FxB!$L$4:$L$53),1))</f>
        <v>3</v>
      </c>
      <c r="G30" s="361">
        <f>IF(TRIM(C30)="","",ROUND(SUMIF('PT1(UT)'!$C$4:$C$53,C30,'PT1(UT)'!$K$4:$K$53) + SUMIF('PT1(UT)'!$C$4:$C$53,C30,'PT1(UT)'!$L$4:$L$53) + SUMIF('PT1(UT)'!$C$4:$C$53,C30,'PT1(UT)'!$M$4:$M$53) + SUMIF('PT1(UT)'!$C$4:$C$53,C30,'PT1(UT)'!$N$4:$N$53) + SUMIF('PT1(UT)'!$C$4:$C$53,C30,'PT1(UT)'!$O$4:$O$53)  + SUMIF(CH!$C$4:$C$33,C30,CH!$L$4:$L$33)+ (IsEstimateUT)*(1-IsEstimateCT)*SUMIF(FxB!$C$4:$C$53,C30,FxB!$K$4:$K$53)+(IsEstimateUT)*(1-IsEstimateCT)*(1-IsEstimateST)*SUMIF(FxB!$C$4:$C$53,C30,FxB!$L$4:$L$53),1))</f>
        <v>4.7</v>
      </c>
      <c r="H30" s="362">
        <f>IF(TRIM(C30)="","",ROUND(SUMIF('PT2(CT)'!$C$4:$C$53,C30,'PT2(CT)'!$K$4:$K$53) + SUMIF('PT2(CT)'!$C$4:$C$53,C30,'PT2(CT)'!$L$4:$L$53) + SUMIF('PT2(CT)'!$C$4:$C$53,C30,'PT2(CT)'!$M$4:$M$53) + SUMIF('PT2(CT)'!$C$4:$C$53,C30,'PT2(CT)'!$N$4:$N$53) + SUMIF('PT2(CT)'!$C$4:$C$53,C30,'PT2(CT)'!$O$4:$O$53)  + SUMIF(CH!$C$4:$C$33,C30,CH!$N$4:$N$33)+ (IsEstimateCT)*(1-IsEstimateST)*SUMIF(FxB!$C$4:$C$53,C30,FxB!$L$4:$L$53),1))</f>
        <v>3.4</v>
      </c>
      <c r="I30" s="362">
        <f>IF(TRIM(C30)="","",ROUND(SUMIF('PT2(ST)'!$C$4:$C$53,C30,'PT2(ST)'!$K$4:$K$53) + SUMIF('PT2(ST)'!$C$4:$C$53,C30,'PT2(ST)'!$L$4:$L$53) + SUMIF('PT2(ST)'!$C$4:$C$53,C30,'PT2(ST)'!$M$4:$M$53) + SUMIF('PT2(ST)'!$C$4:$C$53,C30,'PT2(ST)'!$N$4:$N$53) + SUMIF('PT2(ST)'!$C$4:$C$53,C30,'PT2(ST)'!$O$4:$O$53) + SUMIF(CH!$C$4:$C$33,C30,CH!$P$4:$P$33),1))</f>
        <v>0</v>
      </c>
      <c r="J30" s="566"/>
      <c r="K30" s="567"/>
      <c r="L30" s="568"/>
      <c r="M30" s="51"/>
      <c r="O30" s="314"/>
      <c r="P30" s="314"/>
      <c r="Q30" s="314"/>
      <c r="R30" s="314"/>
      <c r="S30" s="314">
        <f t="shared" si="2"/>
        <v>1</v>
      </c>
      <c r="T30" s="314"/>
      <c r="U30" s="314"/>
      <c r="V30" s="314"/>
    </row>
    <row r="31" spans="1:41" s="2" customFormat="1" ht="12.75">
      <c r="A31" s="49"/>
      <c r="B31" s="162">
        <f t="shared" si="1"/>
        <v>15</v>
      </c>
      <c r="C31" s="163" t="s">
        <v>471</v>
      </c>
      <c r="D31" s="363">
        <f>IF(TRIM(C31)="","",ROUND(SUMIF(BD!$C$4:$C$33,C31,BD!$G$4:$G$33)+SUMIF(BD!$C$4:$C$33,C31,BD!$H$4:$H$33)+SUMIF(RQ!$C$4:$C$33,C31,RQ!$H$4:$H$33)+SUMIF(RQ!$C$4:$C$33,C31,RQ!$I$4:$I$33)+SUMIF(CH!$C$4:$C$33,C31,CH!$F$4:$F$33),1))</f>
        <v>0</v>
      </c>
      <c r="E31" s="363">
        <f>IF(TRIM(C31)="","",ROUND(SUMIF(DD!$C$4:$C$53,C31,DD!$H$4:$H$53)+SUMIF(DD!$C$4:$C$53,C31,DD!$I$4:$I$53)+SUMIF(CH!$C$4:$C$33,C31,CH!$H$4:$H$33),1))</f>
        <v>0</v>
      </c>
      <c r="F31" s="363">
        <f>IF(TRIM(C31)="","",ROUND(SUMIF('PG1'!$C$4:$C$53,C31,'PG1'!$H$4:$H$53) + SUMIF('PG1'!$C$4:$C$53,C31,'PG1'!$I$4:$I$53) + SUMIF('PG2'!$C$4:$C$53,C31,'PG2'!$J$4:$J$53)+ SUMIF('PG2'!$C$4:$C$53,C31,'PG2'!$K$4:$K$53) + SUMIF('PG3'!$C$4:$C$53,C31,'PG3'!$J$4:$J$53)+ SUMIF('PG3'!$C$4:$C$53,C31,'PG3'!$K$4:$K$53) + SUMIF(CH!$C$4:$C$33,C31,CH!$J$4:$J$33)+(1-IsEstimateUT)*SUMIF(FxB!$C$4:$C$53,C31,FxB!$J$4:$J$53)+(1-IsEstimateUT)*(1-IsEstimateCT)*SUMIF(FxB!$C$4:$C$53,C31,FxB!$K$4:$K$53)+(1-IsEstimateUT)*(1-IsEstimateCT)*(1-IsEstimateST)*SUMIF(FxB!$C$4:$C$53,C31,FxB!$L$4:$L$53),1))</f>
        <v>53.5</v>
      </c>
      <c r="G31" s="364">
        <f>IF(TRIM(C31)="","",ROUND(SUMIF('PT1(UT)'!$C$4:$C$53,C31,'PT1(UT)'!$K$4:$K$53) + SUMIF('PT1(UT)'!$C$4:$C$53,C31,'PT1(UT)'!$L$4:$L$53) + SUMIF('PT1(UT)'!$C$4:$C$53,C31,'PT1(UT)'!$M$4:$M$53) + SUMIF('PT1(UT)'!$C$4:$C$53,C31,'PT1(UT)'!$N$4:$N$53) + SUMIF('PT1(UT)'!$C$4:$C$53,C31,'PT1(UT)'!$O$4:$O$53)  + SUMIF(CH!$C$4:$C$33,C31,CH!$L$4:$L$33)+ (IsEstimateUT)*(1-IsEstimateCT)*SUMIF(FxB!$C$4:$C$53,C31,FxB!$K$4:$K$53)+(IsEstimateUT)*(1-IsEstimateCT)*(1-IsEstimateST)*SUMIF(FxB!$C$4:$C$53,C31,FxB!$L$4:$L$53),1))</f>
        <v>69</v>
      </c>
      <c r="H31" s="365">
        <f>IF(TRIM(C31)="","",ROUND(SUMIF('PT2(CT)'!$C$4:$C$53,C31,'PT2(CT)'!$K$4:$K$53) + SUMIF('PT2(CT)'!$C$4:$C$53,C31,'PT2(CT)'!$L$4:$L$53) + SUMIF('PT2(CT)'!$C$4:$C$53,C31,'PT2(CT)'!$M$4:$M$53) + SUMIF('PT2(CT)'!$C$4:$C$53,C31,'PT2(CT)'!$N$4:$N$53) + SUMIF('PT2(CT)'!$C$4:$C$53,C31,'PT2(CT)'!$O$4:$O$53)  + SUMIF(CH!$C$4:$C$33,C31,CH!$N$4:$N$33)+ (IsEstimateCT)*(1-IsEstimateST)*SUMIF(FxB!$C$4:$C$53,C31,FxB!$L$4:$L$53),1))</f>
        <v>50.5</v>
      </c>
      <c r="I31" s="365">
        <f>IF(TRIM(C31)="","",ROUND(SUMIF('PT2(ST)'!$C$4:$C$53,C31,'PT2(ST)'!$K$4:$K$53) + SUMIF('PT2(ST)'!$C$4:$C$53,C31,'PT2(ST)'!$L$4:$L$53) + SUMIF('PT2(ST)'!$C$4:$C$53,C31,'PT2(ST)'!$M$4:$M$53) + SUMIF('PT2(ST)'!$C$4:$C$53,C31,'PT2(ST)'!$N$4:$N$53) + SUMIF('PT2(ST)'!$C$4:$C$53,C31,'PT2(ST)'!$O$4:$O$53) + SUMIF(CH!$C$4:$C$33,C31,CH!$P$4:$P$33),1))</f>
        <v>0</v>
      </c>
      <c r="J31" s="574"/>
      <c r="K31" s="575"/>
      <c r="L31" s="576"/>
      <c r="M31" s="51"/>
      <c r="O31" s="314"/>
      <c r="P31" s="314"/>
      <c r="Q31" s="314"/>
      <c r="R31" s="314"/>
      <c r="S31" s="314">
        <f t="shared" si="2"/>
        <v>1</v>
      </c>
      <c r="T31" s="314"/>
      <c r="U31" s="314"/>
      <c r="V31" s="314"/>
    </row>
    <row r="32" spans="1:41" s="2" customFormat="1" ht="12.75">
      <c r="A32" s="49"/>
      <c r="B32" s="160">
        <f t="shared" si="1"/>
        <v>16</v>
      </c>
      <c r="C32" s="161"/>
      <c r="D32" s="361" t="str">
        <f>IF(TRIM(C32)="","",ROUND(SUMIF(BD!$C$4:$C$33,C32,BD!$G$4:$G$33)+SUMIF(BD!$C$4:$C$33,C32,BD!$H$4:$H$33)+SUMIF(RQ!$C$4:$C$33,C32,RQ!$H$4:$H$33)+SUMIF(RQ!$C$4:$C$33,C32,RQ!$I$4:$I$33)+SUMIF(CH!$C$4:$C$33,C32,CH!$F$4:$F$33),1))</f>
        <v/>
      </c>
      <c r="E32" s="361" t="str">
        <f>IF(TRIM(C32)="","",ROUND(SUMIF(DD!$C$4:$C$53,C32,DD!$H$4:$H$53)+SUMIF(DD!$C$4:$C$53,C32,DD!$I$4:$I$53)+SUMIF(CH!$C$4:$C$33,C32,CH!$H$4:$H$33),1))</f>
        <v/>
      </c>
      <c r="F32" s="361" t="str">
        <f>IF(TRIM(C32)="","",ROUND(SUMIF('PG1'!$C$4:$C$53,C32,'PG1'!$H$4:$H$53) + SUMIF('PG1'!$C$4:$C$53,C32,'PG1'!$I$4:$I$53) + SUMIF('PG2'!$C$4:$C$53,C32,'PG2'!$J$4:$J$53)+ SUMIF('PG2'!$C$4:$C$53,C32,'PG2'!$K$4:$K$53) + SUMIF('PG3'!$C$4:$C$53,C32,'PG3'!$J$4:$J$53)+ SUMIF('PG3'!$C$4:$C$53,C32,'PG3'!$K$4:$K$53) + SUMIF(CH!$C$4:$C$33,C32,CH!$J$4:$J$33)+(1-IsEstimateUT)*SUMIF(FxB!$C$4:$C$53,C32,FxB!$J$4:$J$53)+(1-IsEstimateUT)*(1-IsEstimateCT)*SUMIF(FxB!$C$4:$C$53,C32,FxB!$K$4:$K$53)+(1-IsEstimateUT)*(1-IsEstimateCT)*(1-IsEstimateST)*SUMIF(FxB!$C$4:$C$53,C32,FxB!$L$4:$L$53),1))</f>
        <v/>
      </c>
      <c r="G32" s="361" t="str">
        <f>IF(TRIM(C32)="","",ROUND(SUMIF('PT1(UT)'!$C$4:$C$53,C32,'PT1(UT)'!$K$4:$K$53) + SUMIF('PT1(UT)'!$C$4:$C$53,C32,'PT1(UT)'!$L$4:$L$53) + SUMIF('PT1(UT)'!$C$4:$C$53,C32,'PT1(UT)'!$M$4:$M$53) + SUMIF('PT1(UT)'!$C$4:$C$53,C32,'PT1(UT)'!$N$4:$N$53) + SUMIF('PT1(UT)'!$C$4:$C$53,C32,'PT1(UT)'!$O$4:$O$53)  + SUMIF(CH!$C$4:$C$33,C32,CH!$L$4:$L$33)+ (IsEstimateUT)*(1-IsEstimateCT)*SUMIF(FxB!$C$4:$C$53,C32,FxB!$K$4:$K$53)+(IsEstimateUT)*(1-IsEstimateCT)*(1-IsEstimateST)*SUMIF(FxB!$C$4:$C$53,C32,FxB!$L$4:$L$53),1))</f>
        <v/>
      </c>
      <c r="H32" s="362" t="str">
        <f>IF(TRIM(C32)="","",ROUND(SUMIF('PT2(CT)'!$C$4:$C$53,C32,'PT2(CT)'!$K$4:$K$53) + SUMIF('PT2(CT)'!$C$4:$C$53,C32,'PT2(CT)'!$L$4:$L$53) + SUMIF('PT2(CT)'!$C$4:$C$53,C32,'PT2(CT)'!$M$4:$M$53) + SUMIF('PT2(CT)'!$C$4:$C$53,C32,'PT2(CT)'!$N$4:$N$53) + SUMIF('PT2(CT)'!$C$4:$C$53,C32,'PT2(CT)'!$O$4:$O$53)  + SUMIF(CH!$C$4:$C$33,C32,CH!$N$4:$N$33)+ (IsEstimateCT)*(1-IsEstimateST)*SUMIF(FxB!$C$4:$C$53,C32,FxB!$L$4:$L$53),1))</f>
        <v/>
      </c>
      <c r="I32" s="362" t="str">
        <f>IF(TRIM(C32)="","",ROUND(SUMIF('PT2(ST)'!$C$4:$C$53,C32,'PT2(ST)'!$K$4:$K$53) + SUMIF('PT2(ST)'!$C$4:$C$53,C32,'PT2(ST)'!$L$4:$L$53) + SUMIF('PT2(ST)'!$C$4:$C$53,C32,'PT2(ST)'!$M$4:$M$53) + SUMIF('PT2(ST)'!$C$4:$C$53,C32,'PT2(ST)'!$N$4:$N$53) + SUMIF('PT2(ST)'!$C$4:$C$53,C32,'PT2(ST)'!$O$4:$O$53) + SUMIF(CH!$C$4:$C$33,C32,CH!$P$4:$P$33),1))</f>
        <v/>
      </c>
      <c r="J32" s="566"/>
      <c r="K32" s="567"/>
      <c r="L32" s="568"/>
      <c r="M32" s="51"/>
      <c r="O32" s="314"/>
      <c r="P32" s="314"/>
      <c r="Q32" s="314"/>
      <c r="R32" s="314"/>
      <c r="S32" s="314">
        <f t="shared" si="2"/>
        <v>0</v>
      </c>
      <c r="T32" s="314"/>
      <c r="U32" s="314"/>
      <c r="V32" s="314"/>
    </row>
    <row r="33" spans="1:22" s="2" customFormat="1" ht="12.75">
      <c r="A33" s="49"/>
      <c r="B33" s="162">
        <f t="shared" si="1"/>
        <v>17</v>
      </c>
      <c r="C33" s="163"/>
      <c r="D33" s="363" t="str">
        <f>IF(TRIM(C33)="","",ROUND(SUMIF(BD!$C$4:$C$33,C33,BD!$G$4:$G$33)+SUMIF(BD!$C$4:$C$33,C33,BD!$H$4:$H$33)+SUMIF(RQ!$C$4:$C$33,C33,RQ!$H$4:$H$33)+SUMIF(RQ!$C$4:$C$33,C33,RQ!$I$4:$I$33)+SUMIF(CH!$C$4:$C$33,C33,CH!$F$4:$F$33),1))</f>
        <v/>
      </c>
      <c r="E33" s="363" t="str">
        <f>IF(TRIM(C33)="","",ROUND(SUMIF(DD!$C$4:$C$53,C33,DD!$H$4:$H$53)+SUMIF(DD!$C$4:$C$53,C33,DD!$I$4:$I$53)+SUMIF(CH!$C$4:$C$33,C33,CH!$H$4:$H$33),1))</f>
        <v/>
      </c>
      <c r="F33" s="363" t="str">
        <f>IF(TRIM(C33)="","",ROUND(SUMIF('PG1'!$C$4:$C$53,C33,'PG1'!$H$4:$H$53) + SUMIF('PG1'!$C$4:$C$53,C33,'PG1'!$I$4:$I$53) + SUMIF('PG2'!$C$4:$C$53,C33,'PG2'!$J$4:$J$53)+ SUMIF('PG2'!$C$4:$C$53,C33,'PG2'!$K$4:$K$53) + SUMIF('PG3'!$C$4:$C$53,C33,'PG3'!$J$4:$J$53)+ SUMIF('PG3'!$C$4:$C$53,C33,'PG3'!$K$4:$K$53) + SUMIF(CH!$C$4:$C$33,C33,CH!$J$4:$J$33)+(1-IsEstimateUT)*SUMIF(FxB!$C$4:$C$53,C33,FxB!$J$4:$J$53)+(1-IsEstimateUT)*(1-IsEstimateCT)*SUMIF(FxB!$C$4:$C$53,C33,FxB!$K$4:$K$53)+(1-IsEstimateUT)*(1-IsEstimateCT)*(1-IsEstimateST)*SUMIF(FxB!$C$4:$C$53,C33,FxB!$L$4:$L$53),1))</f>
        <v/>
      </c>
      <c r="G33" s="364" t="str">
        <f>IF(TRIM(C33)="","",ROUND(SUMIF('PT1(UT)'!$C$4:$C$53,C33,'PT1(UT)'!$K$4:$K$53) + SUMIF('PT1(UT)'!$C$4:$C$53,C33,'PT1(UT)'!$L$4:$L$53) + SUMIF('PT1(UT)'!$C$4:$C$53,C33,'PT1(UT)'!$M$4:$M$53) + SUMIF('PT1(UT)'!$C$4:$C$53,C33,'PT1(UT)'!$N$4:$N$53) + SUMIF('PT1(UT)'!$C$4:$C$53,C33,'PT1(UT)'!$O$4:$O$53)  + SUMIF(CH!$C$4:$C$33,C33,CH!$L$4:$L$33)+ (IsEstimateUT)*(1-IsEstimateCT)*SUMIF(FxB!$C$4:$C$53,C33,FxB!$K$4:$K$53)+(IsEstimateUT)*(1-IsEstimateCT)*(1-IsEstimateST)*SUMIF(FxB!$C$4:$C$53,C33,FxB!$L$4:$L$53),1))</f>
        <v/>
      </c>
      <c r="H33" s="365" t="str">
        <f>IF(TRIM(C33)="","",ROUND(SUMIF('PT2(CT)'!$C$4:$C$53,C33,'PT2(CT)'!$K$4:$K$53) + SUMIF('PT2(CT)'!$C$4:$C$53,C33,'PT2(CT)'!$L$4:$L$53) + SUMIF('PT2(CT)'!$C$4:$C$53,C33,'PT2(CT)'!$M$4:$M$53) + SUMIF('PT2(CT)'!$C$4:$C$53,C33,'PT2(CT)'!$N$4:$N$53) + SUMIF('PT2(CT)'!$C$4:$C$53,C33,'PT2(CT)'!$O$4:$O$53)  + SUMIF(CH!$C$4:$C$33,C33,CH!$N$4:$N$33)+ (IsEstimateCT)*(1-IsEstimateST)*SUMIF(FxB!$C$4:$C$53,C33,FxB!$L$4:$L$53),1))</f>
        <v/>
      </c>
      <c r="I33" s="365" t="str">
        <f>IF(TRIM(C33)="","",ROUND(SUMIF('PT2(ST)'!$C$4:$C$53,C33,'PT2(ST)'!$K$4:$K$53) + SUMIF('PT2(ST)'!$C$4:$C$53,C33,'PT2(ST)'!$L$4:$L$53) + SUMIF('PT2(ST)'!$C$4:$C$53,C33,'PT2(ST)'!$M$4:$M$53) + SUMIF('PT2(ST)'!$C$4:$C$53,C33,'PT2(ST)'!$N$4:$N$53) + SUMIF('PT2(ST)'!$C$4:$C$53,C33,'PT2(ST)'!$O$4:$O$53) + SUMIF(CH!$C$4:$C$33,C33,CH!$P$4:$P$33),1))</f>
        <v/>
      </c>
      <c r="J33" s="574"/>
      <c r="K33" s="575"/>
      <c r="L33" s="576"/>
      <c r="M33" s="51"/>
      <c r="O33" s="314"/>
      <c r="P33" s="314"/>
      <c r="Q33" s="314"/>
      <c r="R33" s="314"/>
      <c r="S33" s="314">
        <f t="shared" si="2"/>
        <v>0</v>
      </c>
      <c r="T33" s="314"/>
      <c r="U33" s="314"/>
      <c r="V33" s="314"/>
    </row>
    <row r="34" spans="1:22" s="2" customFormat="1" ht="12.75">
      <c r="A34" s="49"/>
      <c r="B34" s="160">
        <f t="shared" si="1"/>
        <v>18</v>
      </c>
      <c r="C34" s="161"/>
      <c r="D34" s="361" t="str">
        <f>IF(TRIM(C34)="","",ROUND(SUMIF(BD!$C$4:$C$33,C34,BD!$G$4:$G$33)+SUMIF(BD!$C$4:$C$33,C34,BD!$H$4:$H$33)+SUMIF(RQ!$C$4:$C$33,C34,RQ!$H$4:$H$33)+SUMIF(RQ!$C$4:$C$33,C34,RQ!$I$4:$I$33)+SUMIF(CH!$C$4:$C$33,C34,CH!$F$4:$F$33),1))</f>
        <v/>
      </c>
      <c r="E34" s="361" t="str">
        <f>IF(TRIM(C34)="","",ROUND(SUMIF(DD!$C$4:$C$53,C34,DD!$H$4:$H$53)+SUMIF(DD!$C$4:$C$53,C34,DD!$I$4:$I$53)+SUMIF(CH!$C$4:$C$33,C34,CH!$H$4:$H$33),1))</f>
        <v/>
      </c>
      <c r="F34" s="361" t="str">
        <f>IF(TRIM(C34)="","",ROUND(SUMIF('PG1'!$C$4:$C$53,C34,'PG1'!$H$4:$H$53) + SUMIF('PG1'!$C$4:$C$53,C34,'PG1'!$I$4:$I$53) + SUMIF('PG2'!$C$4:$C$53,C34,'PG2'!$J$4:$J$53)+ SUMIF('PG2'!$C$4:$C$53,C34,'PG2'!$K$4:$K$53) + SUMIF('PG3'!$C$4:$C$53,C34,'PG3'!$J$4:$J$53)+ SUMIF('PG3'!$C$4:$C$53,C34,'PG3'!$K$4:$K$53) + SUMIF(CH!$C$4:$C$33,C34,CH!$J$4:$J$33)+(1-IsEstimateUT)*SUMIF(FxB!$C$4:$C$53,C34,FxB!$J$4:$J$53)+(1-IsEstimateUT)*(1-IsEstimateCT)*SUMIF(FxB!$C$4:$C$53,C34,FxB!$K$4:$K$53)+(1-IsEstimateUT)*(1-IsEstimateCT)*(1-IsEstimateST)*SUMIF(FxB!$C$4:$C$53,C34,FxB!$L$4:$L$53),1))</f>
        <v/>
      </c>
      <c r="G34" s="361" t="str">
        <f>IF(TRIM(C34)="","",ROUND(SUMIF('PT1(UT)'!$C$4:$C$53,C34,'PT1(UT)'!$K$4:$K$53) + SUMIF('PT1(UT)'!$C$4:$C$53,C34,'PT1(UT)'!$L$4:$L$53) + SUMIF('PT1(UT)'!$C$4:$C$53,C34,'PT1(UT)'!$M$4:$M$53) + SUMIF('PT1(UT)'!$C$4:$C$53,C34,'PT1(UT)'!$N$4:$N$53) + SUMIF('PT1(UT)'!$C$4:$C$53,C34,'PT1(UT)'!$O$4:$O$53)  + SUMIF(CH!$C$4:$C$33,C34,CH!$L$4:$L$33)+ (IsEstimateUT)*(1-IsEstimateCT)*SUMIF(FxB!$C$4:$C$53,C34,FxB!$K$4:$K$53)+(IsEstimateUT)*(1-IsEstimateCT)*(1-IsEstimateST)*SUMIF(FxB!$C$4:$C$53,C34,FxB!$L$4:$L$53),1))</f>
        <v/>
      </c>
      <c r="H34" s="362" t="str">
        <f>IF(TRIM(C34)="","",ROUND(SUMIF('PT2(CT)'!$C$4:$C$53,C34,'PT2(CT)'!$K$4:$K$53) + SUMIF('PT2(CT)'!$C$4:$C$53,C34,'PT2(CT)'!$L$4:$L$53) + SUMIF('PT2(CT)'!$C$4:$C$53,C34,'PT2(CT)'!$M$4:$M$53) + SUMIF('PT2(CT)'!$C$4:$C$53,C34,'PT2(CT)'!$N$4:$N$53) + SUMIF('PT2(CT)'!$C$4:$C$53,C34,'PT2(CT)'!$O$4:$O$53)  + SUMIF(CH!$C$4:$C$33,C34,CH!$N$4:$N$33)+ (IsEstimateCT)*(1-IsEstimateST)*SUMIF(FxB!$C$4:$C$53,C34,FxB!$L$4:$L$53),1))</f>
        <v/>
      </c>
      <c r="I34" s="362" t="str">
        <f>IF(TRIM(C34)="","",ROUND(SUMIF('PT2(ST)'!$C$4:$C$53,C34,'PT2(ST)'!$K$4:$K$53) + SUMIF('PT2(ST)'!$C$4:$C$53,C34,'PT2(ST)'!$L$4:$L$53) + SUMIF('PT2(ST)'!$C$4:$C$53,C34,'PT2(ST)'!$M$4:$M$53) + SUMIF('PT2(ST)'!$C$4:$C$53,C34,'PT2(ST)'!$N$4:$N$53) + SUMIF('PT2(ST)'!$C$4:$C$53,C34,'PT2(ST)'!$O$4:$O$53) + SUMIF(CH!$C$4:$C$33,C34,CH!$P$4:$P$33),1))</f>
        <v/>
      </c>
      <c r="J34" s="566"/>
      <c r="K34" s="567"/>
      <c r="L34" s="568"/>
      <c r="M34" s="51"/>
      <c r="O34" s="314"/>
      <c r="P34" s="314"/>
      <c r="Q34" s="314"/>
      <c r="R34" s="314"/>
      <c r="S34" s="314">
        <f t="shared" si="2"/>
        <v>0</v>
      </c>
      <c r="T34" s="314"/>
      <c r="U34" s="314"/>
      <c r="V34" s="314"/>
    </row>
    <row r="35" spans="1:22" s="2" customFormat="1" ht="12.75">
      <c r="A35" s="49"/>
      <c r="B35" s="162">
        <f t="shared" si="1"/>
        <v>19</v>
      </c>
      <c r="C35" s="163"/>
      <c r="D35" s="363" t="str">
        <f>IF(TRIM(C35)="","",ROUND(SUMIF(BD!$C$4:$C$33,C35,BD!$G$4:$G$33)+SUMIF(BD!$C$4:$C$33,C35,BD!$H$4:$H$33)+SUMIF(RQ!$C$4:$C$33,C35,RQ!$H$4:$H$33)+SUMIF(RQ!$C$4:$C$33,C35,RQ!$I$4:$I$33)+SUMIF(CH!$C$4:$C$33,C35,CH!$F$4:$F$33),1))</f>
        <v/>
      </c>
      <c r="E35" s="363" t="str">
        <f>IF(TRIM(C35)="","",ROUND(SUMIF(DD!$C$4:$C$53,C35,DD!$H$4:$H$53)+SUMIF(DD!$C$4:$C$53,C35,DD!$I$4:$I$53)+SUMIF(CH!$C$4:$C$33,C35,CH!$H$4:$H$33),1))</f>
        <v/>
      </c>
      <c r="F35" s="363" t="str">
        <f>IF(TRIM(C35)="","",ROUND(SUMIF('PG1'!$C$4:$C$53,C35,'PG1'!$H$4:$H$53) + SUMIF('PG1'!$C$4:$C$53,C35,'PG1'!$I$4:$I$53) + SUMIF('PG2'!$C$4:$C$53,C35,'PG2'!$J$4:$J$53)+ SUMIF('PG2'!$C$4:$C$53,C35,'PG2'!$K$4:$K$53) + SUMIF('PG3'!$C$4:$C$53,C35,'PG3'!$J$4:$J$53)+ SUMIF('PG3'!$C$4:$C$53,C35,'PG3'!$K$4:$K$53) + SUMIF(CH!$C$4:$C$33,C35,CH!$J$4:$J$33)+(1-IsEstimateUT)*SUMIF(FxB!$C$4:$C$53,C35,FxB!$J$4:$J$53)+(1-IsEstimateUT)*(1-IsEstimateCT)*SUMIF(FxB!$C$4:$C$53,C35,FxB!$K$4:$K$53)+(1-IsEstimateUT)*(1-IsEstimateCT)*(1-IsEstimateST)*SUMIF(FxB!$C$4:$C$53,C35,FxB!$L$4:$L$53),1))</f>
        <v/>
      </c>
      <c r="G35" s="364" t="str">
        <f>IF(TRIM(C35)="","",ROUND(SUMIF('PT1(UT)'!$C$4:$C$53,C35,'PT1(UT)'!$K$4:$K$53) + SUMIF('PT1(UT)'!$C$4:$C$53,C35,'PT1(UT)'!$L$4:$L$53) + SUMIF('PT1(UT)'!$C$4:$C$53,C35,'PT1(UT)'!$M$4:$M$53) + SUMIF('PT1(UT)'!$C$4:$C$53,C35,'PT1(UT)'!$N$4:$N$53) + SUMIF('PT1(UT)'!$C$4:$C$53,C35,'PT1(UT)'!$O$4:$O$53)  + SUMIF(CH!$C$4:$C$33,C35,CH!$L$4:$L$33)+ (IsEstimateUT)*(1-IsEstimateCT)*SUMIF(FxB!$C$4:$C$53,C35,FxB!$K$4:$K$53)+(IsEstimateUT)*(1-IsEstimateCT)*(1-IsEstimateST)*SUMIF(FxB!$C$4:$C$53,C35,FxB!$L$4:$L$53),1))</f>
        <v/>
      </c>
      <c r="H35" s="365" t="str">
        <f>IF(TRIM(C35)="","",ROUND(SUMIF('PT2(CT)'!$C$4:$C$53,C35,'PT2(CT)'!$K$4:$K$53) + SUMIF('PT2(CT)'!$C$4:$C$53,C35,'PT2(CT)'!$L$4:$L$53) + SUMIF('PT2(CT)'!$C$4:$C$53,C35,'PT2(CT)'!$M$4:$M$53) + SUMIF('PT2(CT)'!$C$4:$C$53,C35,'PT2(CT)'!$N$4:$N$53) + SUMIF('PT2(CT)'!$C$4:$C$53,C35,'PT2(CT)'!$O$4:$O$53)  + SUMIF(CH!$C$4:$C$33,C35,CH!$N$4:$N$33)+ (IsEstimateCT)*(1-IsEstimateST)*SUMIF(FxB!$C$4:$C$53,C35,FxB!$L$4:$L$53),1))</f>
        <v/>
      </c>
      <c r="I35" s="365" t="str">
        <f>IF(TRIM(C35)="","",ROUND(SUMIF('PT2(ST)'!$C$4:$C$53,C35,'PT2(ST)'!$K$4:$K$53) + SUMIF('PT2(ST)'!$C$4:$C$53,C35,'PT2(ST)'!$L$4:$L$53) + SUMIF('PT2(ST)'!$C$4:$C$53,C35,'PT2(ST)'!$M$4:$M$53) + SUMIF('PT2(ST)'!$C$4:$C$53,C35,'PT2(ST)'!$N$4:$N$53) + SUMIF('PT2(ST)'!$C$4:$C$53,C35,'PT2(ST)'!$O$4:$O$53) + SUMIF(CH!$C$4:$C$33,C35,CH!$P$4:$P$33),1))</f>
        <v/>
      </c>
      <c r="J35" s="574"/>
      <c r="K35" s="575"/>
      <c r="L35" s="576"/>
      <c r="M35" s="51"/>
      <c r="O35" s="314"/>
      <c r="P35" s="314"/>
      <c r="Q35" s="314"/>
      <c r="R35" s="314"/>
      <c r="S35" s="314">
        <f t="shared" si="2"/>
        <v>0</v>
      </c>
      <c r="T35" s="314"/>
      <c r="U35" s="314"/>
      <c r="V35" s="314"/>
    </row>
    <row r="36" spans="1:22" s="2" customFormat="1" ht="12.75">
      <c r="A36" s="49"/>
      <c r="B36" s="160">
        <f t="shared" si="1"/>
        <v>20</v>
      </c>
      <c r="C36" s="161"/>
      <c r="D36" s="361" t="str">
        <f>IF(TRIM(C36)="","",ROUND(SUMIF(BD!$C$4:$C$33,C36,BD!$G$4:$G$33)+SUMIF(BD!$C$4:$C$33,C36,BD!$H$4:$H$33)+SUMIF(RQ!$C$4:$C$33,C36,RQ!$H$4:$H$33)+SUMIF(RQ!$C$4:$C$33,C36,RQ!$I$4:$I$33)+SUMIF(CH!$C$4:$C$33,C36,CH!$F$4:$F$33),1))</f>
        <v/>
      </c>
      <c r="E36" s="361" t="str">
        <f>IF(TRIM(C36)="","",ROUND(SUMIF(DD!$C$4:$C$53,C36,DD!$H$4:$H$53)+SUMIF(DD!$C$4:$C$53,C36,DD!$I$4:$I$53)+SUMIF(CH!$C$4:$C$33,C36,CH!$H$4:$H$33),1))</f>
        <v/>
      </c>
      <c r="F36" s="361" t="str">
        <f>IF(TRIM(C36)="","",ROUND(SUMIF('PG1'!$C$4:$C$53,C36,'PG1'!$H$4:$H$53) + SUMIF('PG1'!$C$4:$C$53,C36,'PG1'!$I$4:$I$53) + SUMIF('PG2'!$C$4:$C$53,C36,'PG2'!$J$4:$J$53)+ SUMIF('PG2'!$C$4:$C$53,C36,'PG2'!$K$4:$K$53) + SUMIF('PG3'!$C$4:$C$53,C36,'PG3'!$J$4:$J$53)+ SUMIF('PG3'!$C$4:$C$53,C36,'PG3'!$K$4:$K$53) + SUMIF(CH!$C$4:$C$33,C36,CH!$J$4:$J$33)+(1-IsEstimateUT)*SUMIF(FxB!$C$4:$C$53,C36,FxB!$J$4:$J$53)+(1-IsEstimateUT)*(1-IsEstimateCT)*SUMIF(FxB!$C$4:$C$53,C36,FxB!$K$4:$K$53)+(1-IsEstimateUT)*(1-IsEstimateCT)*(1-IsEstimateST)*SUMIF(FxB!$C$4:$C$53,C36,FxB!$L$4:$L$53),1))</f>
        <v/>
      </c>
      <c r="G36" s="361" t="str">
        <f>IF(TRIM(C36)="","",ROUND(SUMIF('PT1(UT)'!$C$4:$C$53,C36,'PT1(UT)'!$K$4:$K$53) + SUMIF('PT1(UT)'!$C$4:$C$53,C36,'PT1(UT)'!$L$4:$L$53) + SUMIF('PT1(UT)'!$C$4:$C$53,C36,'PT1(UT)'!$M$4:$M$53) + SUMIF('PT1(UT)'!$C$4:$C$53,C36,'PT1(UT)'!$N$4:$N$53) + SUMIF('PT1(UT)'!$C$4:$C$53,C36,'PT1(UT)'!$O$4:$O$53)  + SUMIF(CH!$C$4:$C$33,C36,CH!$L$4:$L$33)+ (IsEstimateUT)*(1-IsEstimateCT)*SUMIF(FxB!$C$4:$C$53,C36,FxB!$K$4:$K$53)+(IsEstimateUT)*(1-IsEstimateCT)*(1-IsEstimateST)*SUMIF(FxB!$C$4:$C$53,C36,FxB!$L$4:$L$53),1))</f>
        <v/>
      </c>
      <c r="H36" s="362" t="str">
        <f>IF(TRIM(C36)="","",ROUND(SUMIF('PT2(CT)'!$C$4:$C$53,C36,'PT2(CT)'!$K$4:$K$53) + SUMIF('PT2(CT)'!$C$4:$C$53,C36,'PT2(CT)'!$L$4:$L$53) + SUMIF('PT2(CT)'!$C$4:$C$53,C36,'PT2(CT)'!$M$4:$M$53) + SUMIF('PT2(CT)'!$C$4:$C$53,C36,'PT2(CT)'!$N$4:$N$53) + SUMIF('PT2(CT)'!$C$4:$C$53,C36,'PT2(CT)'!$O$4:$O$53)  + SUMIF(CH!$C$4:$C$33,C36,CH!$N$4:$N$33)+ (IsEstimateCT)*(1-IsEstimateST)*SUMIF(FxB!$C$4:$C$53,C36,FxB!$L$4:$L$53),1))</f>
        <v/>
      </c>
      <c r="I36" s="362" t="str">
        <f>IF(TRIM(C36)="","",ROUND(SUMIF('PT2(ST)'!$C$4:$C$53,C36,'PT2(ST)'!$K$4:$K$53) + SUMIF('PT2(ST)'!$C$4:$C$53,C36,'PT2(ST)'!$L$4:$L$53) + SUMIF('PT2(ST)'!$C$4:$C$53,C36,'PT2(ST)'!$M$4:$M$53) + SUMIF('PT2(ST)'!$C$4:$C$53,C36,'PT2(ST)'!$N$4:$N$53) + SUMIF('PT2(ST)'!$C$4:$C$53,C36,'PT2(ST)'!$O$4:$O$53) + SUMIF(CH!$C$4:$C$33,C36,CH!$P$4:$P$33),1))</f>
        <v/>
      </c>
      <c r="J36" s="566"/>
      <c r="K36" s="567"/>
      <c r="L36" s="568"/>
      <c r="M36" s="51"/>
      <c r="O36" s="314"/>
      <c r="P36" s="314"/>
      <c r="Q36" s="314"/>
      <c r="R36" s="314"/>
      <c r="S36" s="314">
        <f t="shared" si="2"/>
        <v>0</v>
      </c>
      <c r="T36" s="314"/>
      <c r="U36" s="314"/>
      <c r="V36" s="314"/>
    </row>
    <row r="37" spans="1:22" s="2" customFormat="1" ht="12.75">
      <c r="A37" s="49"/>
      <c r="B37" s="162">
        <f>ROW() - 15</f>
        <v>22</v>
      </c>
      <c r="C37" s="163"/>
      <c r="D37" s="363" t="str">
        <f>IF(TRIM(C37)="","",ROUND(SUMIF(BD!$C$4:$C$33,C37,BD!$G$4:$G$33)+SUMIF(BD!$C$4:$C$33,C37,BD!$H$4:$H$33)+SUMIF(RQ!$C$4:$C$33,C37,RQ!$H$4:$H$33)+SUMIF(RQ!$C$4:$C$33,C37,RQ!$I$4:$I$33)+SUMIF(CH!$C$4:$C$33,C37,CH!$F$4:$F$33),1))</f>
        <v/>
      </c>
      <c r="E37" s="363" t="str">
        <f>IF(TRIM(C37)="","",ROUND(SUMIF(DD!$C$4:$C$53,C37,DD!$H$4:$H$53)+SUMIF(DD!$C$4:$C$53,C37,DD!$I$4:$I$53)+SUMIF(CH!$C$4:$C$33,C37,CH!$H$4:$H$33),1))</f>
        <v/>
      </c>
      <c r="F37" s="363" t="str">
        <f>IF(TRIM(C37)="","",ROUND(SUMIF('PG1'!$C$4:$C$53,C37,'PG1'!$H$4:$H$53) + SUMIF('PG1'!$C$4:$C$53,C37,'PG1'!$I$4:$I$53) + SUMIF('PG2'!$C$4:$C$53,C37,'PG2'!$J$4:$J$53)+ SUMIF('PG2'!$C$4:$C$53,C37,'PG2'!$K$4:$K$53) + SUMIF('PG3'!$C$4:$C$53,C37,'PG3'!$J$4:$J$53)+ SUMIF('PG3'!$C$4:$C$53,C37,'PG3'!$K$4:$K$53) + SUMIF(CH!$C$4:$C$33,C37,CH!$J$4:$J$33)+(1-IsEstimateUT)*SUMIF(FxB!$C$4:$C$53,C37,FxB!$J$4:$J$53)+(1-IsEstimateUT)*(1-IsEstimateCT)*SUMIF(FxB!$C$4:$C$53,C37,FxB!$K$4:$K$53)+(1-IsEstimateUT)*(1-IsEstimateCT)*(1-IsEstimateST)*SUMIF(FxB!$C$4:$C$53,C37,FxB!$L$4:$L$53),1))</f>
        <v/>
      </c>
      <c r="G37" s="364" t="str">
        <f>IF(TRIM(C37)="","",ROUND(SUMIF('PT1(UT)'!$C$4:$C$53,C37,'PT1(UT)'!$K$4:$K$53) + SUMIF('PT1(UT)'!$C$4:$C$53,C37,'PT1(UT)'!$L$4:$L$53) + SUMIF('PT1(UT)'!$C$4:$C$53,C37,'PT1(UT)'!$M$4:$M$53) + SUMIF('PT1(UT)'!$C$4:$C$53,C37,'PT1(UT)'!$N$4:$N$53) + SUMIF('PT1(UT)'!$C$4:$C$53,C37,'PT1(UT)'!$O$4:$O$53)  + SUMIF(CH!$C$4:$C$33,C37,CH!$L$4:$L$33)+ (IsEstimateUT)*(1-IsEstimateCT)*SUMIF(FxB!$C$4:$C$53,C37,FxB!$K$4:$K$53)+(IsEstimateUT)*(1-IsEstimateCT)*(1-IsEstimateST)*SUMIF(FxB!$C$4:$C$53,C37,FxB!$L$4:$L$53),1))</f>
        <v/>
      </c>
      <c r="H37" s="365" t="str">
        <f>IF(TRIM(C37)="","",ROUND(SUMIF('PT2(CT)'!$C$4:$C$53,C37,'PT2(CT)'!$K$4:$K$53) + SUMIF('PT2(CT)'!$C$4:$C$53,C37,'PT2(CT)'!$L$4:$L$53) + SUMIF('PT2(CT)'!$C$4:$C$53,C37,'PT2(CT)'!$M$4:$M$53) + SUMIF('PT2(CT)'!$C$4:$C$53,C37,'PT2(CT)'!$N$4:$N$53) + SUMIF('PT2(CT)'!$C$4:$C$53,C37,'PT2(CT)'!$O$4:$O$53)  + SUMIF(CH!$C$4:$C$33,C37,CH!$N$4:$N$33)+ (IsEstimateCT)*(1-IsEstimateST)*SUMIF(FxB!$C$4:$C$53,C37,FxB!$L$4:$L$53),1))</f>
        <v/>
      </c>
      <c r="I37" s="365" t="str">
        <f>IF(TRIM(C37)="","",ROUND(SUMIF('PT2(ST)'!$C$4:$C$53,C37,'PT2(ST)'!$K$4:$K$53) + SUMIF('PT2(ST)'!$C$4:$C$53,C37,'PT2(ST)'!$L$4:$L$53) + SUMIF('PT2(ST)'!$C$4:$C$53,C37,'PT2(ST)'!$M$4:$M$53) + SUMIF('PT2(ST)'!$C$4:$C$53,C37,'PT2(ST)'!$N$4:$N$53) + SUMIF('PT2(ST)'!$C$4:$C$53,C37,'PT2(ST)'!$O$4:$O$53) + SUMIF(CH!$C$4:$C$33,C37,CH!$P$4:$P$33),1))</f>
        <v/>
      </c>
      <c r="J37" s="574"/>
      <c r="K37" s="575"/>
      <c r="L37" s="576"/>
      <c r="M37" s="51"/>
      <c r="O37" s="314"/>
      <c r="P37" s="314"/>
      <c r="Q37" s="314"/>
      <c r="R37" s="314"/>
      <c r="S37" s="314">
        <f t="shared" si="2"/>
        <v>0</v>
      </c>
      <c r="T37" s="314"/>
      <c r="U37" s="314"/>
      <c r="V37" s="314"/>
    </row>
    <row r="38" spans="1:22" s="2" customFormat="1" ht="12.75">
      <c r="A38" s="49"/>
      <c r="B38" s="160">
        <f>ROW() - 15</f>
        <v>23</v>
      </c>
      <c r="C38" s="161"/>
      <c r="D38" s="361" t="str">
        <f>IF(TRIM(C38)="","",ROUND(SUMIF(BD!$C$4:$C$33,C38,BD!$G$4:$G$33)+SUMIF(BD!$C$4:$C$33,C38,BD!$H$4:$H$33)+SUMIF(RQ!$C$4:$C$33,C38,RQ!$H$4:$H$33)+SUMIF(RQ!$C$4:$C$33,C38,RQ!$I$4:$I$33)+SUMIF(CH!$C$4:$C$33,C38,CH!$F$4:$F$33),1))</f>
        <v/>
      </c>
      <c r="E38" s="361" t="str">
        <f>IF(TRIM(C38)="","",ROUND(SUMIF(DD!$C$4:$C$53,C38,DD!$H$4:$H$53)+SUMIF(DD!$C$4:$C$53,C38,DD!$I$4:$I$53)+SUMIF(CH!$C$4:$C$33,C38,CH!$H$4:$H$33),1))</f>
        <v/>
      </c>
      <c r="F38" s="361" t="str">
        <f>IF(TRIM(C38)="","",ROUND(SUMIF('PG1'!$C$4:$C$53,C38,'PG1'!$H$4:$H$53) + SUMIF('PG1'!$C$4:$C$53,C38,'PG1'!$I$4:$I$53) + SUMIF('PG2'!$C$4:$C$53,C38,'PG2'!$J$4:$J$53)+ SUMIF('PG2'!$C$4:$C$53,C38,'PG2'!$K$4:$K$53) + SUMIF('PG3'!$C$4:$C$53,C38,'PG3'!$J$4:$J$53)+ SUMIF('PG3'!$C$4:$C$53,C38,'PG3'!$K$4:$K$53) + SUMIF(CH!$C$4:$C$33,C38,CH!$J$4:$J$33)+(1-IsEstimateUT)*SUMIF(FxB!$C$4:$C$53,C38,FxB!$J$4:$J$53)+(1-IsEstimateUT)*(1-IsEstimateCT)*SUMIF(FxB!$C$4:$C$53,C38,FxB!$K$4:$K$53)+(1-IsEstimateUT)*(1-IsEstimateCT)*(1-IsEstimateST)*SUMIF(FxB!$C$4:$C$53,C38,FxB!$L$4:$L$53),1))</f>
        <v/>
      </c>
      <c r="G38" s="361" t="str">
        <f>IF(TRIM(C38)="","",ROUND(SUMIF('PT1(UT)'!$C$4:$C$53,C38,'PT1(UT)'!$K$4:$K$53) + SUMIF('PT1(UT)'!$C$4:$C$53,C38,'PT1(UT)'!$L$4:$L$53) + SUMIF('PT1(UT)'!$C$4:$C$53,C38,'PT1(UT)'!$M$4:$M$53) + SUMIF('PT1(UT)'!$C$4:$C$53,C38,'PT1(UT)'!$N$4:$N$53) + SUMIF('PT1(UT)'!$C$4:$C$53,C38,'PT1(UT)'!$O$4:$O$53)  + SUMIF(CH!$C$4:$C$33,C38,CH!$L$4:$L$33)+ (IsEstimateUT)*(1-IsEstimateCT)*SUMIF(FxB!$C$4:$C$53,C38,FxB!$K$4:$K$53)+(IsEstimateUT)*(1-IsEstimateCT)*(1-IsEstimateST)*SUMIF(FxB!$C$4:$C$53,C38,FxB!$L$4:$L$53),1))</f>
        <v/>
      </c>
      <c r="H38" s="362" t="str">
        <f>IF(TRIM(C38)="","",ROUND(SUMIF('PT2(CT)'!$C$4:$C$53,C38,'PT2(CT)'!$K$4:$K$53) + SUMIF('PT2(CT)'!$C$4:$C$53,C38,'PT2(CT)'!$L$4:$L$53) + SUMIF('PT2(CT)'!$C$4:$C$53,C38,'PT2(CT)'!$M$4:$M$53) + SUMIF('PT2(CT)'!$C$4:$C$53,C38,'PT2(CT)'!$N$4:$N$53) + SUMIF('PT2(CT)'!$C$4:$C$53,C38,'PT2(CT)'!$O$4:$O$53)  + SUMIF(CH!$C$4:$C$33,C38,CH!$N$4:$N$33)+ (IsEstimateCT)*(1-IsEstimateST)*SUMIF(FxB!$C$4:$C$53,C38,FxB!$L$4:$L$53),1))</f>
        <v/>
      </c>
      <c r="I38" s="362" t="str">
        <f>IF(TRIM(C38)="","",ROUND(SUMIF('PT2(ST)'!$C$4:$C$53,C38,'PT2(ST)'!$K$4:$K$53) + SUMIF('PT2(ST)'!$C$4:$C$53,C38,'PT2(ST)'!$L$4:$L$53) + SUMIF('PT2(ST)'!$C$4:$C$53,C38,'PT2(ST)'!$M$4:$M$53) + SUMIF('PT2(ST)'!$C$4:$C$53,C38,'PT2(ST)'!$N$4:$N$53) + SUMIF('PT2(ST)'!$C$4:$C$53,C38,'PT2(ST)'!$O$4:$O$53) + SUMIF(CH!$C$4:$C$33,C38,CH!$P$4:$P$33),1))</f>
        <v/>
      </c>
      <c r="J38" s="566"/>
      <c r="K38" s="567"/>
      <c r="L38" s="568"/>
      <c r="M38" s="51"/>
      <c r="O38" s="314"/>
      <c r="P38" s="314"/>
      <c r="Q38" s="314"/>
      <c r="R38" s="314"/>
      <c r="S38" s="314">
        <f t="shared" si="2"/>
        <v>0</v>
      </c>
      <c r="T38" s="314"/>
      <c r="U38" s="314"/>
      <c r="V38" s="314"/>
    </row>
    <row r="39" spans="1:22" s="2" customFormat="1" ht="12.75">
      <c r="A39" s="49"/>
      <c r="B39" s="162">
        <f t="shared" ref="B39:B47" si="3">ROW() - 17</f>
        <v>22</v>
      </c>
      <c r="C39" s="164"/>
      <c r="D39" s="363" t="str">
        <f>IF(TRIM(C39)="","",ROUND(SUMIF(BD!$C$4:$C$33,C39,BD!$G$4:$G$33)+SUMIF(BD!$C$4:$C$33,C39,BD!$H$4:$H$33)+SUMIF(RQ!$C$4:$C$33,C39,RQ!$H$4:$H$33)+SUMIF(RQ!$C$4:$C$33,C39,RQ!$I$4:$I$33)+SUMIF(CH!$C$4:$C$33,C39,CH!$F$4:$F$33),1))</f>
        <v/>
      </c>
      <c r="E39" s="363" t="str">
        <f>IF(TRIM(C39)="","",ROUND(SUMIF(DD!$C$4:$C$53,C39,DD!$H$4:$H$53)+SUMIF(DD!$C$4:$C$53,C39,DD!$I$4:$I$53)+SUMIF(CH!$C$4:$C$33,C39,CH!$H$4:$H$33),1))</f>
        <v/>
      </c>
      <c r="F39" s="363" t="str">
        <f>IF(TRIM(C39)="","",ROUND(SUMIF('PG1'!$C$4:$C$53,C39,'PG1'!$H$4:$H$53) + SUMIF('PG1'!$C$4:$C$53,C39,'PG1'!$I$4:$I$53) + SUMIF('PG2'!$C$4:$C$53,C39,'PG2'!$J$4:$J$53)+ SUMIF('PG2'!$C$4:$C$53,C39,'PG2'!$K$4:$K$53) + SUMIF('PG3'!$C$4:$C$53,C39,'PG3'!$J$4:$J$53)+ SUMIF('PG3'!$C$4:$C$53,C39,'PG3'!$K$4:$K$53) + SUMIF(CH!$C$4:$C$33,C39,CH!$J$4:$J$33)+(1-IsEstimateUT)*SUMIF(FxB!$C$4:$C$53,C39,FxB!$J$4:$J$53)+(1-IsEstimateUT)*(1-IsEstimateCT)*SUMIF(FxB!$C$4:$C$53,C39,FxB!$K$4:$K$53)+(1-IsEstimateUT)*(1-IsEstimateCT)*(1-IsEstimateST)*SUMIF(FxB!$C$4:$C$53,C39,FxB!$L$4:$L$53),1))</f>
        <v/>
      </c>
      <c r="G39" s="364" t="str">
        <f>IF(TRIM(C39)="","",ROUND(SUMIF('PT1(UT)'!$C$4:$C$53,C39,'PT1(UT)'!$K$4:$K$53) + SUMIF('PT1(UT)'!$C$4:$C$53,C39,'PT1(UT)'!$L$4:$L$53) + SUMIF('PT1(UT)'!$C$4:$C$53,C39,'PT1(UT)'!$M$4:$M$53) + SUMIF('PT1(UT)'!$C$4:$C$53,C39,'PT1(UT)'!$N$4:$N$53) + SUMIF('PT1(UT)'!$C$4:$C$53,C39,'PT1(UT)'!$O$4:$O$53)  + SUMIF(CH!$C$4:$C$33,C39,CH!$L$4:$L$33)+ (IsEstimateUT)*(1-IsEstimateCT)*SUMIF(FxB!$C$4:$C$53,C39,FxB!$K$4:$K$53)+(IsEstimateUT)*(1-IsEstimateCT)*(1-IsEstimateST)*SUMIF(FxB!$C$4:$C$53,C39,FxB!$L$4:$L$53),1))</f>
        <v/>
      </c>
      <c r="H39" s="365" t="str">
        <f>IF(TRIM(C39)="","",ROUND(SUMIF('PT2(CT)'!$C$4:$C$53,C39,'PT2(CT)'!$K$4:$K$53) + SUMIF('PT2(CT)'!$C$4:$C$53,C39,'PT2(CT)'!$L$4:$L$53) + SUMIF('PT2(CT)'!$C$4:$C$53,C39,'PT2(CT)'!$M$4:$M$53) + SUMIF('PT2(CT)'!$C$4:$C$53,C39,'PT2(CT)'!$N$4:$N$53) + SUMIF('PT2(CT)'!$C$4:$C$53,C39,'PT2(CT)'!$O$4:$O$53)  + SUMIF(CH!$C$4:$C$33,C39,CH!$N$4:$N$33)+ (IsEstimateCT)*(1-IsEstimateST)*SUMIF(FxB!$C$4:$C$53,C39,FxB!$L$4:$L$53),1))</f>
        <v/>
      </c>
      <c r="I39" s="365" t="str">
        <f>IF(TRIM(C39)="","",ROUND(SUMIF('PT2(ST)'!$C$4:$C$53,C39,'PT2(ST)'!$K$4:$K$53) + SUMIF('PT2(ST)'!$C$4:$C$53,C39,'PT2(ST)'!$L$4:$L$53) + SUMIF('PT2(ST)'!$C$4:$C$53,C39,'PT2(ST)'!$M$4:$M$53) + SUMIF('PT2(ST)'!$C$4:$C$53,C39,'PT2(ST)'!$N$4:$N$53) + SUMIF('PT2(ST)'!$C$4:$C$53,C39,'PT2(ST)'!$O$4:$O$53) + SUMIF(CH!$C$4:$C$33,C39,CH!$P$4:$P$33),1))</f>
        <v/>
      </c>
      <c r="J39" s="574"/>
      <c r="K39" s="575"/>
      <c r="L39" s="576"/>
      <c r="M39" s="51"/>
      <c r="O39" s="314"/>
      <c r="P39" s="314"/>
      <c r="Q39" s="314"/>
      <c r="R39" s="314"/>
      <c r="S39" s="314">
        <f t="shared" si="2"/>
        <v>0</v>
      </c>
      <c r="T39" s="314"/>
      <c r="U39" s="314"/>
      <c r="V39" s="314"/>
    </row>
    <row r="40" spans="1:22" s="2" customFormat="1" ht="12.75">
      <c r="A40" s="49"/>
      <c r="B40" s="160">
        <f t="shared" si="3"/>
        <v>23</v>
      </c>
      <c r="C40" s="161"/>
      <c r="D40" s="361" t="str">
        <f>IF(TRIM(C40)="","",ROUND(SUMIF(BD!$C$4:$C$33,C40,BD!$G$4:$G$33)+SUMIF(BD!$C$4:$C$33,C40,BD!$H$4:$H$33)+SUMIF(RQ!$C$4:$C$33,C40,RQ!$H$4:$H$33)+SUMIF(RQ!$C$4:$C$33,C40,RQ!$I$4:$I$33)+SUMIF(CH!$C$4:$C$33,C40,CH!$F$4:$F$33),1))</f>
        <v/>
      </c>
      <c r="E40" s="361" t="str">
        <f>IF(TRIM(C40)="","",ROUND(SUMIF(DD!$C$4:$C$53,C40,DD!$H$4:$H$53)+SUMIF(DD!$C$4:$C$53,C40,DD!$I$4:$I$53)+SUMIF(CH!$C$4:$C$33,C40,CH!$H$4:$H$33),1))</f>
        <v/>
      </c>
      <c r="F40" s="361" t="str">
        <f>IF(TRIM(C40)="","",ROUND(SUMIF('PG1'!$C$4:$C$53,C40,'PG1'!$H$4:$H$53) + SUMIF('PG1'!$C$4:$C$53,C40,'PG1'!$I$4:$I$53) + SUMIF('PG2'!$C$4:$C$53,C40,'PG2'!$J$4:$J$53)+ SUMIF('PG2'!$C$4:$C$53,C40,'PG2'!$K$4:$K$53) + SUMIF('PG3'!$C$4:$C$53,C40,'PG3'!$J$4:$J$53)+ SUMIF('PG3'!$C$4:$C$53,C40,'PG3'!$K$4:$K$53) + SUMIF(CH!$C$4:$C$33,C40,CH!$J$4:$J$33)+(1-IsEstimateUT)*SUMIF(FxB!$C$4:$C$53,C40,FxB!$J$4:$J$53)+(1-IsEstimateUT)*(1-IsEstimateCT)*SUMIF(FxB!$C$4:$C$53,C40,FxB!$K$4:$K$53)+(1-IsEstimateUT)*(1-IsEstimateCT)*(1-IsEstimateST)*SUMIF(FxB!$C$4:$C$53,C40,FxB!$L$4:$L$53),1))</f>
        <v/>
      </c>
      <c r="G40" s="361" t="str">
        <f>IF(TRIM(C40)="","",ROUND(SUMIF('PT1(UT)'!$C$4:$C$53,C40,'PT1(UT)'!$K$4:$K$53) + SUMIF('PT1(UT)'!$C$4:$C$53,C40,'PT1(UT)'!$L$4:$L$53) + SUMIF('PT1(UT)'!$C$4:$C$53,C40,'PT1(UT)'!$M$4:$M$53) + SUMIF('PT1(UT)'!$C$4:$C$53,C40,'PT1(UT)'!$N$4:$N$53) + SUMIF('PT1(UT)'!$C$4:$C$53,C40,'PT1(UT)'!$O$4:$O$53)  + SUMIF(CH!$C$4:$C$33,C40,CH!$L$4:$L$33)+ (IsEstimateUT)*(1-IsEstimateCT)*SUMIF(FxB!$C$4:$C$53,C40,FxB!$K$4:$K$53)+(IsEstimateUT)*(1-IsEstimateCT)*(1-IsEstimateST)*SUMIF(FxB!$C$4:$C$53,C40,FxB!$L$4:$L$53),1))</f>
        <v/>
      </c>
      <c r="H40" s="362" t="str">
        <f>IF(TRIM(C40)="","",ROUND(SUMIF('PT2(CT)'!$C$4:$C$53,C40,'PT2(CT)'!$K$4:$K$53) + SUMIF('PT2(CT)'!$C$4:$C$53,C40,'PT2(CT)'!$L$4:$L$53) + SUMIF('PT2(CT)'!$C$4:$C$53,C40,'PT2(CT)'!$M$4:$M$53) + SUMIF('PT2(CT)'!$C$4:$C$53,C40,'PT2(CT)'!$N$4:$N$53) + SUMIF('PT2(CT)'!$C$4:$C$53,C40,'PT2(CT)'!$O$4:$O$53)  + SUMIF(CH!$C$4:$C$33,C40,CH!$N$4:$N$33)+ (IsEstimateCT)*(1-IsEstimateST)*SUMIF(FxB!$C$4:$C$53,C40,FxB!$L$4:$L$53),1))</f>
        <v/>
      </c>
      <c r="I40" s="362" t="str">
        <f>IF(TRIM(C40)="","",ROUND(SUMIF('PT2(ST)'!$C$4:$C$53,C40,'PT2(ST)'!$K$4:$K$53) + SUMIF('PT2(ST)'!$C$4:$C$53,C40,'PT2(ST)'!$L$4:$L$53) + SUMIF('PT2(ST)'!$C$4:$C$53,C40,'PT2(ST)'!$M$4:$M$53) + SUMIF('PT2(ST)'!$C$4:$C$53,C40,'PT2(ST)'!$N$4:$N$53) + SUMIF('PT2(ST)'!$C$4:$C$53,C40,'PT2(ST)'!$O$4:$O$53) + SUMIF(CH!$C$4:$C$33,C40,CH!$P$4:$P$33),1))</f>
        <v/>
      </c>
      <c r="J40" s="566"/>
      <c r="K40" s="567"/>
      <c r="L40" s="568"/>
      <c r="M40" s="51"/>
      <c r="O40" s="314"/>
      <c r="P40" s="314"/>
      <c r="Q40" s="314"/>
      <c r="R40" s="314"/>
      <c r="S40" s="314">
        <f t="shared" si="2"/>
        <v>0</v>
      </c>
      <c r="T40" s="314"/>
      <c r="U40" s="314"/>
      <c r="V40" s="314"/>
    </row>
    <row r="41" spans="1:22" s="2" customFormat="1" ht="12.75">
      <c r="A41" s="49"/>
      <c r="B41" s="162">
        <f t="shared" si="3"/>
        <v>24</v>
      </c>
      <c r="C41" s="163"/>
      <c r="D41" s="363" t="str">
        <f>IF(TRIM(C41)="","",ROUND(SUMIF(BD!$C$4:$C$33,C41,BD!$G$4:$G$33)+SUMIF(BD!$C$4:$C$33,C41,BD!$H$4:$H$33)+SUMIF(RQ!$C$4:$C$33,C41,RQ!$H$4:$H$33)+SUMIF(RQ!$C$4:$C$33,C41,RQ!$I$4:$I$33)+SUMIF(CH!$C$4:$C$33,C41,CH!$F$4:$F$33),1))</f>
        <v/>
      </c>
      <c r="E41" s="363" t="str">
        <f>IF(TRIM(C41)="","",ROUND(SUMIF(DD!$C$4:$C$53,C41,DD!$H$4:$H$53)+SUMIF(DD!$C$4:$C$53,C41,DD!$I$4:$I$53)+SUMIF(CH!$C$4:$C$33,C41,CH!$H$4:$H$33),1))</f>
        <v/>
      </c>
      <c r="F41" s="363" t="str">
        <f>IF(TRIM(C41)="","",ROUND(SUMIF('PG1'!$C$4:$C$53,C41,'PG1'!$H$4:$H$53) + SUMIF('PG1'!$C$4:$C$53,C41,'PG1'!$I$4:$I$53) + SUMIF('PG2'!$C$4:$C$53,C41,'PG2'!$J$4:$J$53)+ SUMIF('PG2'!$C$4:$C$53,C41,'PG2'!$K$4:$K$53) + SUMIF('PG3'!$C$4:$C$53,C41,'PG3'!$J$4:$J$53)+ SUMIF('PG3'!$C$4:$C$53,C41,'PG3'!$K$4:$K$53) + SUMIF(CH!$C$4:$C$33,C41,CH!$J$4:$J$33)+(1-IsEstimateUT)*SUMIF(FxB!$C$4:$C$53,C41,FxB!$J$4:$J$53)+(1-IsEstimateUT)*(1-IsEstimateCT)*SUMIF(FxB!$C$4:$C$53,C41,FxB!$K$4:$K$53)+(1-IsEstimateUT)*(1-IsEstimateCT)*(1-IsEstimateST)*SUMIF(FxB!$C$4:$C$53,C41,FxB!$L$4:$L$53),1))</f>
        <v/>
      </c>
      <c r="G41" s="364" t="str">
        <f>IF(TRIM(C41)="","",ROUND(SUMIF('PT1(UT)'!$C$4:$C$53,C41,'PT1(UT)'!$K$4:$K$53) + SUMIF('PT1(UT)'!$C$4:$C$53,C41,'PT1(UT)'!$L$4:$L$53) + SUMIF('PT1(UT)'!$C$4:$C$53,C41,'PT1(UT)'!$M$4:$M$53) + SUMIF('PT1(UT)'!$C$4:$C$53,C41,'PT1(UT)'!$N$4:$N$53) + SUMIF('PT1(UT)'!$C$4:$C$53,C41,'PT1(UT)'!$O$4:$O$53)  + SUMIF(CH!$C$4:$C$33,C41,CH!$L$4:$L$33)+ (IsEstimateUT)*(1-IsEstimateCT)*SUMIF(FxB!$C$4:$C$53,C41,FxB!$K$4:$K$53)+(IsEstimateUT)*(1-IsEstimateCT)*(1-IsEstimateST)*SUMIF(FxB!$C$4:$C$53,C41,FxB!$L$4:$L$53),1))</f>
        <v/>
      </c>
      <c r="H41" s="365" t="str">
        <f>IF(TRIM(C41)="","",ROUND(SUMIF('PT2(CT)'!$C$4:$C$53,C41,'PT2(CT)'!$K$4:$K$53) + SUMIF('PT2(CT)'!$C$4:$C$53,C41,'PT2(CT)'!$L$4:$L$53) + SUMIF('PT2(CT)'!$C$4:$C$53,C41,'PT2(CT)'!$M$4:$M$53) + SUMIF('PT2(CT)'!$C$4:$C$53,C41,'PT2(CT)'!$N$4:$N$53) + SUMIF('PT2(CT)'!$C$4:$C$53,C41,'PT2(CT)'!$O$4:$O$53)  + SUMIF(CH!$C$4:$C$33,C41,CH!$N$4:$N$33)+ (IsEstimateCT)*(1-IsEstimateST)*SUMIF(FxB!$C$4:$C$53,C41,FxB!$L$4:$L$53),1))</f>
        <v/>
      </c>
      <c r="I41" s="365" t="str">
        <f>IF(TRIM(C41)="","",ROUND(SUMIF('PT2(ST)'!$C$4:$C$53,C41,'PT2(ST)'!$K$4:$K$53) + SUMIF('PT2(ST)'!$C$4:$C$53,C41,'PT2(ST)'!$L$4:$L$53) + SUMIF('PT2(ST)'!$C$4:$C$53,C41,'PT2(ST)'!$M$4:$M$53) + SUMIF('PT2(ST)'!$C$4:$C$53,C41,'PT2(ST)'!$N$4:$N$53) + SUMIF('PT2(ST)'!$C$4:$C$53,C41,'PT2(ST)'!$O$4:$O$53) + SUMIF(CH!$C$4:$C$33,C41,CH!$P$4:$P$33),1))</f>
        <v/>
      </c>
      <c r="J41" s="574"/>
      <c r="K41" s="575"/>
      <c r="L41" s="576"/>
      <c r="M41" s="51"/>
      <c r="O41" s="314"/>
      <c r="P41" s="314"/>
      <c r="Q41" s="314"/>
      <c r="R41" s="314"/>
      <c r="S41" s="314">
        <f t="shared" si="2"/>
        <v>0</v>
      </c>
      <c r="T41" s="314"/>
      <c r="U41" s="314"/>
      <c r="V41" s="314"/>
    </row>
    <row r="42" spans="1:22" s="2" customFormat="1" ht="12.75">
      <c r="A42" s="49"/>
      <c r="B42" s="160">
        <f t="shared" si="3"/>
        <v>25</v>
      </c>
      <c r="C42" s="161"/>
      <c r="D42" s="361" t="str">
        <f>IF(TRIM(C42)="","",ROUND(SUMIF(BD!$C$4:$C$33,C42,BD!$G$4:$G$33)+SUMIF(BD!$C$4:$C$33,C42,BD!$H$4:$H$33)+SUMIF(RQ!$C$4:$C$33,C42,RQ!$H$4:$H$33)+SUMIF(RQ!$C$4:$C$33,C42,RQ!$I$4:$I$33)+SUMIF(CH!$C$4:$C$33,C42,CH!$F$4:$F$33),1))</f>
        <v/>
      </c>
      <c r="E42" s="361" t="str">
        <f>IF(TRIM(C42)="","",ROUND(SUMIF(DD!$C$4:$C$53,C42,DD!$H$4:$H$53)+SUMIF(DD!$C$4:$C$53,C42,DD!$I$4:$I$53)+SUMIF(CH!$C$4:$C$33,C42,CH!$H$4:$H$33),1))</f>
        <v/>
      </c>
      <c r="F42" s="361" t="str">
        <f>IF(TRIM(C42)="","",ROUND(SUMIF('PG1'!$C$4:$C$53,C42,'PG1'!$H$4:$H$53) + SUMIF('PG1'!$C$4:$C$53,C42,'PG1'!$I$4:$I$53) + SUMIF('PG2'!$C$4:$C$53,C42,'PG2'!$J$4:$J$53)+ SUMIF('PG2'!$C$4:$C$53,C42,'PG2'!$K$4:$K$53) + SUMIF('PG3'!$C$4:$C$53,C42,'PG3'!$J$4:$J$53)+ SUMIF('PG3'!$C$4:$C$53,C42,'PG3'!$K$4:$K$53) + SUMIF(CH!$C$4:$C$33,C42,CH!$J$4:$J$33)+(1-IsEstimateUT)*SUMIF(FxB!$C$4:$C$53,C42,FxB!$J$4:$J$53)+(1-IsEstimateUT)*(1-IsEstimateCT)*SUMIF(FxB!$C$4:$C$53,C42,FxB!$K$4:$K$53)+(1-IsEstimateUT)*(1-IsEstimateCT)*(1-IsEstimateST)*SUMIF(FxB!$C$4:$C$53,C42,FxB!$L$4:$L$53),1))</f>
        <v/>
      </c>
      <c r="G42" s="361" t="str">
        <f>IF(TRIM(C42)="","",ROUND(SUMIF('PT1(UT)'!$C$4:$C$53,C42,'PT1(UT)'!$K$4:$K$53) + SUMIF('PT1(UT)'!$C$4:$C$53,C42,'PT1(UT)'!$L$4:$L$53) + SUMIF('PT1(UT)'!$C$4:$C$53,C42,'PT1(UT)'!$M$4:$M$53) + SUMIF('PT1(UT)'!$C$4:$C$53,C42,'PT1(UT)'!$N$4:$N$53) + SUMIF('PT1(UT)'!$C$4:$C$53,C42,'PT1(UT)'!$O$4:$O$53)  + SUMIF(CH!$C$4:$C$33,C42,CH!$L$4:$L$33)+ (IsEstimateUT)*(1-IsEstimateCT)*SUMIF(FxB!$C$4:$C$53,C42,FxB!$K$4:$K$53)+(IsEstimateUT)*(1-IsEstimateCT)*(1-IsEstimateST)*SUMIF(FxB!$C$4:$C$53,C42,FxB!$L$4:$L$53),1))</f>
        <v/>
      </c>
      <c r="H42" s="362" t="str">
        <f>IF(TRIM(C42)="","",ROUND(SUMIF('PT2(CT)'!$C$4:$C$53,C42,'PT2(CT)'!$K$4:$K$53) + SUMIF('PT2(CT)'!$C$4:$C$53,C42,'PT2(CT)'!$L$4:$L$53) + SUMIF('PT2(CT)'!$C$4:$C$53,C42,'PT2(CT)'!$M$4:$M$53) + SUMIF('PT2(CT)'!$C$4:$C$53,C42,'PT2(CT)'!$N$4:$N$53) + SUMIF('PT2(CT)'!$C$4:$C$53,C42,'PT2(CT)'!$O$4:$O$53)  + SUMIF(CH!$C$4:$C$33,C42,CH!$N$4:$N$33)+ (IsEstimateCT)*(1-IsEstimateST)*SUMIF(FxB!$C$4:$C$53,C42,FxB!$L$4:$L$53),1))</f>
        <v/>
      </c>
      <c r="I42" s="362" t="str">
        <f>IF(TRIM(C42)="","",ROUND(SUMIF('PT2(ST)'!$C$4:$C$53,C42,'PT2(ST)'!$K$4:$K$53) + SUMIF('PT2(ST)'!$C$4:$C$53,C42,'PT2(ST)'!$L$4:$L$53) + SUMIF('PT2(ST)'!$C$4:$C$53,C42,'PT2(ST)'!$M$4:$M$53) + SUMIF('PT2(ST)'!$C$4:$C$53,C42,'PT2(ST)'!$N$4:$N$53) + SUMIF('PT2(ST)'!$C$4:$C$53,C42,'PT2(ST)'!$O$4:$O$53) + SUMIF(CH!$C$4:$C$33,C42,CH!$P$4:$P$33),1))</f>
        <v/>
      </c>
      <c r="J42" s="566"/>
      <c r="K42" s="567"/>
      <c r="L42" s="568"/>
      <c r="M42" s="51"/>
      <c r="O42" s="314"/>
      <c r="P42" s="314"/>
      <c r="Q42" s="314"/>
      <c r="R42" s="314"/>
      <c r="S42" s="314">
        <f t="shared" si="2"/>
        <v>0</v>
      </c>
      <c r="T42" s="314"/>
      <c r="U42" s="314"/>
      <c r="V42" s="314"/>
    </row>
    <row r="43" spans="1:22" s="2" customFormat="1" ht="12.75">
      <c r="A43" s="49"/>
      <c r="B43" s="162">
        <f t="shared" si="3"/>
        <v>26</v>
      </c>
      <c r="C43" s="163"/>
      <c r="D43" s="363" t="str">
        <f>IF(TRIM(C43)="","",ROUND(SUMIF(BD!$C$4:$C$33,C43,BD!$G$4:$G$33)+SUMIF(BD!$C$4:$C$33,C43,BD!$H$4:$H$33)+SUMIF(RQ!$C$4:$C$33,C43,RQ!$H$4:$H$33)+SUMIF(RQ!$C$4:$C$33,C43,RQ!$I$4:$I$33)+SUMIF(CH!$C$4:$C$33,C43,CH!$F$4:$F$33),1))</f>
        <v/>
      </c>
      <c r="E43" s="363" t="str">
        <f>IF(TRIM(C43)="","",ROUND(SUMIF(DD!$C$4:$C$53,C43,DD!$H$4:$H$53)+SUMIF(DD!$C$4:$C$53,C43,DD!$I$4:$I$53)+SUMIF(CH!$C$4:$C$33,C43,CH!$H$4:$H$33),1))</f>
        <v/>
      </c>
      <c r="F43" s="363" t="str">
        <f>IF(TRIM(C43)="","",ROUND(SUMIF('PG1'!$C$4:$C$53,C43,'PG1'!$H$4:$H$53) + SUMIF('PG1'!$C$4:$C$53,C43,'PG1'!$I$4:$I$53) + SUMIF('PG2'!$C$4:$C$53,C43,'PG2'!$J$4:$J$53)+ SUMIF('PG2'!$C$4:$C$53,C43,'PG2'!$K$4:$K$53) + SUMIF('PG3'!$C$4:$C$53,C43,'PG3'!$J$4:$J$53)+ SUMIF('PG3'!$C$4:$C$53,C43,'PG3'!$K$4:$K$53) + SUMIF(CH!$C$4:$C$33,C43,CH!$J$4:$J$33)+(1-IsEstimateUT)*SUMIF(FxB!$C$4:$C$53,C43,FxB!$J$4:$J$53)+(1-IsEstimateUT)*(1-IsEstimateCT)*SUMIF(FxB!$C$4:$C$53,C43,FxB!$K$4:$K$53)+(1-IsEstimateUT)*(1-IsEstimateCT)*(1-IsEstimateST)*SUMIF(FxB!$C$4:$C$53,C43,FxB!$L$4:$L$53),1))</f>
        <v/>
      </c>
      <c r="G43" s="364" t="str">
        <f>IF(TRIM(C43)="","",ROUND(SUMIF('PT1(UT)'!$C$4:$C$53,C43,'PT1(UT)'!$K$4:$K$53) + SUMIF('PT1(UT)'!$C$4:$C$53,C43,'PT1(UT)'!$L$4:$L$53) + SUMIF('PT1(UT)'!$C$4:$C$53,C43,'PT1(UT)'!$M$4:$M$53) + SUMIF('PT1(UT)'!$C$4:$C$53,C43,'PT1(UT)'!$N$4:$N$53) + SUMIF('PT1(UT)'!$C$4:$C$53,C43,'PT1(UT)'!$O$4:$O$53)  + SUMIF(CH!$C$4:$C$33,C43,CH!$L$4:$L$33)+ (IsEstimateUT)*(1-IsEstimateCT)*SUMIF(FxB!$C$4:$C$53,C43,FxB!$K$4:$K$53)+(IsEstimateUT)*(1-IsEstimateCT)*(1-IsEstimateST)*SUMIF(FxB!$C$4:$C$53,C43,FxB!$L$4:$L$53),1))</f>
        <v/>
      </c>
      <c r="H43" s="365" t="str">
        <f>IF(TRIM(C43)="","",ROUND(SUMIF('PT2(CT)'!$C$4:$C$53,C43,'PT2(CT)'!$K$4:$K$53) + SUMIF('PT2(CT)'!$C$4:$C$53,C43,'PT2(CT)'!$L$4:$L$53) + SUMIF('PT2(CT)'!$C$4:$C$53,C43,'PT2(CT)'!$M$4:$M$53) + SUMIF('PT2(CT)'!$C$4:$C$53,C43,'PT2(CT)'!$N$4:$N$53) + SUMIF('PT2(CT)'!$C$4:$C$53,C43,'PT2(CT)'!$O$4:$O$53)  + SUMIF(CH!$C$4:$C$33,C43,CH!$N$4:$N$33)+ (IsEstimateCT)*(1-IsEstimateST)*SUMIF(FxB!$C$4:$C$53,C43,FxB!$L$4:$L$53),1))</f>
        <v/>
      </c>
      <c r="I43" s="365" t="str">
        <f>IF(TRIM(C43)="","",ROUND(SUMIF('PT2(ST)'!$C$4:$C$53,C43,'PT2(ST)'!$K$4:$K$53) + SUMIF('PT2(ST)'!$C$4:$C$53,C43,'PT2(ST)'!$L$4:$L$53) + SUMIF('PT2(ST)'!$C$4:$C$53,C43,'PT2(ST)'!$M$4:$M$53) + SUMIF('PT2(ST)'!$C$4:$C$53,C43,'PT2(ST)'!$N$4:$N$53) + SUMIF('PT2(ST)'!$C$4:$C$53,C43,'PT2(ST)'!$O$4:$O$53) + SUMIF(CH!$C$4:$C$33,C43,CH!$P$4:$P$33),1))</f>
        <v/>
      </c>
      <c r="J43" s="574"/>
      <c r="K43" s="575"/>
      <c r="L43" s="576"/>
      <c r="M43" s="51"/>
      <c r="O43" s="314"/>
      <c r="P43" s="314"/>
      <c r="Q43" s="314"/>
      <c r="R43" s="314"/>
      <c r="S43" s="314">
        <f t="shared" si="2"/>
        <v>0</v>
      </c>
      <c r="T43" s="314"/>
      <c r="U43" s="314"/>
      <c r="V43" s="314"/>
    </row>
    <row r="44" spans="1:22" s="2" customFormat="1" ht="12.75">
      <c r="A44" s="49"/>
      <c r="B44" s="160">
        <f t="shared" si="3"/>
        <v>27</v>
      </c>
      <c r="C44" s="161"/>
      <c r="D44" s="361" t="str">
        <f>IF(TRIM(C44)="","",ROUND(SUMIF(BD!$C$4:$C$33,C44,BD!$G$4:$G$33)+SUMIF(BD!$C$4:$C$33,C44,BD!$H$4:$H$33)+SUMIF(RQ!$C$4:$C$33,C44,RQ!$H$4:$H$33)+SUMIF(RQ!$C$4:$C$33,C44,RQ!$I$4:$I$33)+SUMIF(CH!$C$4:$C$33,C44,CH!$F$4:$F$33),1))</f>
        <v/>
      </c>
      <c r="E44" s="361" t="str">
        <f>IF(TRIM(C44)="","",ROUND(SUMIF(DD!$C$4:$C$53,C44,DD!$H$4:$H$53)+SUMIF(DD!$C$4:$C$53,C44,DD!$I$4:$I$53)+SUMIF(CH!$C$4:$C$33,C44,CH!$H$4:$H$33),1))</f>
        <v/>
      </c>
      <c r="F44" s="361" t="str">
        <f>IF(TRIM(C44)="","",ROUND(SUMIF('PG1'!$C$4:$C$53,C44,'PG1'!$H$4:$H$53) + SUMIF('PG1'!$C$4:$C$53,C44,'PG1'!$I$4:$I$53) + SUMIF('PG2'!$C$4:$C$53,C44,'PG2'!$J$4:$J$53)+ SUMIF('PG2'!$C$4:$C$53,C44,'PG2'!$K$4:$K$53) + SUMIF('PG3'!$C$4:$C$53,C44,'PG3'!$J$4:$J$53)+ SUMIF('PG3'!$C$4:$C$53,C44,'PG3'!$K$4:$K$53) + SUMIF(CH!$C$4:$C$33,C44,CH!$J$4:$J$33)+(1-IsEstimateUT)*SUMIF(FxB!$C$4:$C$53,C44,FxB!$J$4:$J$53)+(1-IsEstimateUT)*(1-IsEstimateCT)*SUMIF(FxB!$C$4:$C$53,C44,FxB!$K$4:$K$53)+(1-IsEstimateUT)*(1-IsEstimateCT)*(1-IsEstimateST)*SUMIF(FxB!$C$4:$C$53,C44,FxB!$L$4:$L$53),1))</f>
        <v/>
      </c>
      <c r="G44" s="361" t="str">
        <f>IF(TRIM(C44)="","",ROUND(SUMIF('PT1(UT)'!$C$4:$C$53,C44,'PT1(UT)'!$K$4:$K$53) + SUMIF('PT1(UT)'!$C$4:$C$53,C44,'PT1(UT)'!$L$4:$L$53) + SUMIF('PT1(UT)'!$C$4:$C$53,C44,'PT1(UT)'!$M$4:$M$53) + SUMIF('PT1(UT)'!$C$4:$C$53,C44,'PT1(UT)'!$N$4:$N$53) + SUMIF('PT1(UT)'!$C$4:$C$53,C44,'PT1(UT)'!$O$4:$O$53)  + SUMIF(CH!$C$4:$C$33,C44,CH!$L$4:$L$33)+ (IsEstimateUT)*(1-IsEstimateCT)*SUMIF(FxB!$C$4:$C$53,C44,FxB!$K$4:$K$53)+(IsEstimateUT)*(1-IsEstimateCT)*(1-IsEstimateST)*SUMIF(FxB!$C$4:$C$53,C44,FxB!$L$4:$L$53),1))</f>
        <v/>
      </c>
      <c r="H44" s="362" t="str">
        <f>IF(TRIM(C44)="","",ROUND(SUMIF('PT2(CT)'!$C$4:$C$53,C44,'PT2(CT)'!$K$4:$K$53) + SUMIF('PT2(CT)'!$C$4:$C$53,C44,'PT2(CT)'!$L$4:$L$53) + SUMIF('PT2(CT)'!$C$4:$C$53,C44,'PT2(CT)'!$M$4:$M$53) + SUMIF('PT2(CT)'!$C$4:$C$53,C44,'PT2(CT)'!$N$4:$N$53) + SUMIF('PT2(CT)'!$C$4:$C$53,C44,'PT2(CT)'!$O$4:$O$53)  + SUMIF(CH!$C$4:$C$33,C44,CH!$N$4:$N$33)+ (IsEstimateCT)*(1-IsEstimateST)*SUMIF(FxB!$C$4:$C$53,C44,FxB!$L$4:$L$53),1))</f>
        <v/>
      </c>
      <c r="I44" s="362" t="str">
        <f>IF(TRIM(C44)="","",ROUND(SUMIF('PT2(ST)'!$C$4:$C$53,C44,'PT2(ST)'!$K$4:$K$53) + SUMIF('PT2(ST)'!$C$4:$C$53,C44,'PT2(ST)'!$L$4:$L$53) + SUMIF('PT2(ST)'!$C$4:$C$53,C44,'PT2(ST)'!$M$4:$M$53) + SUMIF('PT2(ST)'!$C$4:$C$53,C44,'PT2(ST)'!$N$4:$N$53) + SUMIF('PT2(ST)'!$C$4:$C$53,C44,'PT2(ST)'!$O$4:$O$53) + SUMIF(CH!$C$4:$C$33,C44,CH!$P$4:$P$33),1))</f>
        <v/>
      </c>
      <c r="J44" s="566"/>
      <c r="K44" s="567"/>
      <c r="L44" s="568"/>
      <c r="M44" s="51"/>
      <c r="O44" s="314"/>
      <c r="P44" s="314"/>
      <c r="Q44" s="314"/>
      <c r="R44" s="314"/>
      <c r="S44" s="314">
        <f t="shared" si="2"/>
        <v>0</v>
      </c>
      <c r="T44" s="314"/>
      <c r="U44" s="314"/>
      <c r="V44" s="314"/>
    </row>
    <row r="45" spans="1:22" s="2" customFormat="1" ht="12.75">
      <c r="A45" s="49"/>
      <c r="B45" s="162">
        <f t="shared" si="3"/>
        <v>28</v>
      </c>
      <c r="C45" s="163"/>
      <c r="D45" s="363" t="str">
        <f>IF(TRIM(C45)="","",ROUND(SUMIF(BD!$C$4:$C$33,C45,BD!$G$4:$G$33)+SUMIF(BD!$C$4:$C$33,C45,BD!$H$4:$H$33)+SUMIF(RQ!$C$4:$C$33,C45,RQ!$H$4:$H$33)+SUMIF(RQ!$C$4:$C$33,C45,RQ!$I$4:$I$33)+SUMIF(CH!$C$4:$C$33,C45,CH!$F$4:$F$33),1))</f>
        <v/>
      </c>
      <c r="E45" s="363" t="str">
        <f>IF(TRIM(C45)="","",ROUND(SUMIF(DD!$C$4:$C$53,C45,DD!$H$4:$H$53)+SUMIF(DD!$C$4:$C$53,C45,DD!$I$4:$I$53)+SUMIF(CH!$C$4:$C$33,C45,CH!$H$4:$H$33),1))</f>
        <v/>
      </c>
      <c r="F45" s="363" t="str">
        <f>IF(TRIM(C45)="","",ROUND(SUMIF('PG1'!$C$4:$C$53,C45,'PG1'!$H$4:$H$53) + SUMIF('PG1'!$C$4:$C$53,C45,'PG1'!$I$4:$I$53) + SUMIF('PG2'!$C$4:$C$53,C45,'PG2'!$J$4:$J$53)+ SUMIF('PG2'!$C$4:$C$53,C45,'PG2'!$K$4:$K$53) + SUMIF('PG3'!$C$4:$C$53,C45,'PG3'!$J$4:$J$53)+ SUMIF('PG3'!$C$4:$C$53,C45,'PG3'!$K$4:$K$53) + SUMIF(CH!$C$4:$C$33,C45,CH!$J$4:$J$33)+(1-IsEstimateUT)*SUMIF(FxB!$C$4:$C$53,C45,FxB!$J$4:$J$53)+(1-IsEstimateUT)*(1-IsEstimateCT)*SUMIF(FxB!$C$4:$C$53,C45,FxB!$K$4:$K$53)+(1-IsEstimateUT)*(1-IsEstimateCT)*(1-IsEstimateST)*SUMIF(FxB!$C$4:$C$53,C45,FxB!$L$4:$L$53),1))</f>
        <v/>
      </c>
      <c r="G45" s="364" t="str">
        <f>IF(TRIM(C45)="","",ROUND(SUMIF('PT1(UT)'!$C$4:$C$53,C45,'PT1(UT)'!$K$4:$K$53) + SUMIF('PT1(UT)'!$C$4:$C$53,C45,'PT1(UT)'!$L$4:$L$53) + SUMIF('PT1(UT)'!$C$4:$C$53,C45,'PT1(UT)'!$M$4:$M$53) + SUMIF('PT1(UT)'!$C$4:$C$53,C45,'PT1(UT)'!$N$4:$N$53) + SUMIF('PT1(UT)'!$C$4:$C$53,C45,'PT1(UT)'!$O$4:$O$53)  + SUMIF(CH!$C$4:$C$33,C45,CH!$L$4:$L$33)+ (IsEstimateUT)*(1-IsEstimateCT)*SUMIF(FxB!$C$4:$C$53,C45,FxB!$K$4:$K$53)+(IsEstimateUT)*(1-IsEstimateCT)*(1-IsEstimateST)*SUMIF(FxB!$C$4:$C$53,C45,FxB!$L$4:$L$53),1))</f>
        <v/>
      </c>
      <c r="H45" s="365" t="str">
        <f>IF(TRIM(C45)="","",ROUND(SUMIF('PT2(CT)'!$C$4:$C$53,C45,'PT2(CT)'!$K$4:$K$53) + SUMIF('PT2(CT)'!$C$4:$C$53,C45,'PT2(CT)'!$L$4:$L$53) + SUMIF('PT2(CT)'!$C$4:$C$53,C45,'PT2(CT)'!$M$4:$M$53) + SUMIF('PT2(CT)'!$C$4:$C$53,C45,'PT2(CT)'!$N$4:$N$53) + SUMIF('PT2(CT)'!$C$4:$C$53,C45,'PT2(CT)'!$O$4:$O$53)  + SUMIF(CH!$C$4:$C$33,C45,CH!$N$4:$N$33)+ (IsEstimateCT)*(1-IsEstimateST)*SUMIF(FxB!$C$4:$C$53,C45,FxB!$L$4:$L$53),1))</f>
        <v/>
      </c>
      <c r="I45" s="365" t="str">
        <f>IF(TRIM(C45)="","",ROUND(SUMIF('PT2(ST)'!$C$4:$C$53,C45,'PT2(ST)'!$K$4:$K$53) + SUMIF('PT2(ST)'!$C$4:$C$53,C45,'PT2(ST)'!$L$4:$L$53) + SUMIF('PT2(ST)'!$C$4:$C$53,C45,'PT2(ST)'!$M$4:$M$53) + SUMIF('PT2(ST)'!$C$4:$C$53,C45,'PT2(ST)'!$N$4:$N$53) + SUMIF('PT2(ST)'!$C$4:$C$53,C45,'PT2(ST)'!$O$4:$O$53) + SUMIF(CH!$C$4:$C$33,C45,CH!$P$4:$P$33),1))</f>
        <v/>
      </c>
      <c r="J45" s="574"/>
      <c r="K45" s="575"/>
      <c r="L45" s="576"/>
      <c r="M45" s="51"/>
      <c r="O45" s="314"/>
      <c r="P45" s="314"/>
      <c r="Q45" s="314"/>
      <c r="R45" s="314"/>
      <c r="S45" s="314">
        <f t="shared" si="2"/>
        <v>0</v>
      </c>
      <c r="T45" s="314"/>
      <c r="U45" s="314"/>
      <c r="V45" s="314"/>
    </row>
    <row r="46" spans="1:22" s="2" customFormat="1" ht="12.75">
      <c r="A46" s="49"/>
      <c r="B46" s="160">
        <f t="shared" si="3"/>
        <v>29</v>
      </c>
      <c r="C46" s="161"/>
      <c r="D46" s="361" t="str">
        <f>IF(TRIM(C46)="","",ROUND(SUMIF(BD!$C$4:$C$33,C46,BD!$G$4:$G$33)+SUMIF(BD!$C$4:$C$33,C46,BD!$H$4:$H$33)+SUMIF(RQ!$C$4:$C$33,C46,RQ!$H$4:$H$33)+SUMIF(RQ!$C$4:$C$33,C46,RQ!$I$4:$I$33)+SUMIF(CH!$C$4:$C$33,C46,CH!$F$4:$F$33),1))</f>
        <v/>
      </c>
      <c r="E46" s="361" t="str">
        <f>IF(TRIM(C46)="","",ROUND(SUMIF(DD!$C$4:$C$53,C46,DD!$H$4:$H$53)+SUMIF(DD!$C$4:$C$53,C46,DD!$I$4:$I$53)+SUMIF(CH!$C$4:$C$33,C46,CH!$H$4:$H$33),1))</f>
        <v/>
      </c>
      <c r="F46" s="361" t="str">
        <f>IF(TRIM(C46)="","",ROUND(SUMIF('PG1'!$C$4:$C$53,C46,'PG1'!$H$4:$H$53) + SUMIF('PG1'!$C$4:$C$53,C46,'PG1'!$I$4:$I$53) + SUMIF('PG2'!$C$4:$C$53,C46,'PG2'!$J$4:$J$53)+ SUMIF('PG2'!$C$4:$C$53,C46,'PG2'!$K$4:$K$53) + SUMIF('PG3'!$C$4:$C$53,C46,'PG3'!$J$4:$J$53)+ SUMIF('PG3'!$C$4:$C$53,C46,'PG3'!$K$4:$K$53) + SUMIF(CH!$C$4:$C$33,C46,CH!$J$4:$J$33)+(1-IsEstimateUT)*SUMIF(FxB!$C$4:$C$53,C46,FxB!$J$4:$J$53)+(1-IsEstimateUT)*(1-IsEstimateCT)*SUMIF(FxB!$C$4:$C$53,C46,FxB!$K$4:$K$53)+(1-IsEstimateUT)*(1-IsEstimateCT)*(1-IsEstimateST)*SUMIF(FxB!$C$4:$C$53,C46,FxB!$L$4:$L$53),1))</f>
        <v/>
      </c>
      <c r="G46" s="361" t="str">
        <f>IF(TRIM(C46)="","",ROUND(SUMIF('PT1(UT)'!$C$4:$C$53,C46,'PT1(UT)'!$K$4:$K$53) + SUMIF('PT1(UT)'!$C$4:$C$53,C46,'PT1(UT)'!$L$4:$L$53) + SUMIF('PT1(UT)'!$C$4:$C$53,C46,'PT1(UT)'!$M$4:$M$53) + SUMIF('PT1(UT)'!$C$4:$C$53,C46,'PT1(UT)'!$N$4:$N$53) + SUMIF('PT1(UT)'!$C$4:$C$53,C46,'PT1(UT)'!$O$4:$O$53)  + SUMIF(CH!$C$4:$C$33,C46,CH!$L$4:$L$33)+ (IsEstimateUT)*(1-IsEstimateCT)*SUMIF(FxB!$C$4:$C$53,C46,FxB!$K$4:$K$53)+(IsEstimateUT)*(1-IsEstimateCT)*(1-IsEstimateST)*SUMIF(FxB!$C$4:$C$53,C46,FxB!$L$4:$L$53),1))</f>
        <v/>
      </c>
      <c r="H46" s="362" t="str">
        <f>IF(TRIM(C46)="","",ROUND(SUMIF('PT2(CT)'!$C$4:$C$53,C46,'PT2(CT)'!$K$4:$K$53) + SUMIF('PT2(CT)'!$C$4:$C$53,C46,'PT2(CT)'!$L$4:$L$53) + SUMIF('PT2(CT)'!$C$4:$C$53,C46,'PT2(CT)'!$M$4:$M$53) + SUMIF('PT2(CT)'!$C$4:$C$53,C46,'PT2(CT)'!$N$4:$N$53) + SUMIF('PT2(CT)'!$C$4:$C$53,C46,'PT2(CT)'!$O$4:$O$53)  + SUMIF(CH!$C$4:$C$33,C46,CH!$N$4:$N$33)+ (IsEstimateCT)*(1-IsEstimateST)*SUMIF(FxB!$C$4:$C$53,C46,FxB!$L$4:$L$53),1))</f>
        <v/>
      </c>
      <c r="I46" s="362" t="str">
        <f>IF(TRIM(C46)="","",ROUND(SUMIF('PT2(ST)'!$C$4:$C$53,C46,'PT2(ST)'!$K$4:$K$53) + SUMIF('PT2(ST)'!$C$4:$C$53,C46,'PT2(ST)'!$L$4:$L$53) + SUMIF('PT2(ST)'!$C$4:$C$53,C46,'PT2(ST)'!$M$4:$M$53) + SUMIF('PT2(ST)'!$C$4:$C$53,C46,'PT2(ST)'!$N$4:$N$53) + SUMIF('PT2(ST)'!$C$4:$C$53,C46,'PT2(ST)'!$O$4:$O$53) + SUMIF(CH!$C$4:$C$33,C46,CH!$P$4:$P$33),1))</f>
        <v/>
      </c>
      <c r="J46" s="566"/>
      <c r="K46" s="567"/>
      <c r="L46" s="568"/>
      <c r="M46" s="51"/>
      <c r="O46" s="314"/>
      <c r="P46" s="314"/>
      <c r="Q46" s="314"/>
      <c r="R46" s="314"/>
      <c r="S46" s="314">
        <f t="shared" si="2"/>
        <v>0</v>
      </c>
      <c r="T46" s="314"/>
      <c r="U46" s="314"/>
      <c r="V46" s="314"/>
    </row>
    <row r="47" spans="1:22" s="2" customFormat="1" ht="13.5" thickBot="1">
      <c r="A47" s="49"/>
      <c r="B47" s="162">
        <f t="shared" si="3"/>
        <v>30</v>
      </c>
      <c r="C47" s="163"/>
      <c r="D47" s="363" t="str">
        <f>IF(TRIM(C47)="","",ROUND(SUMIF(BD!$C$4:$C$33,C47,BD!$G$4:$G$33)+SUMIF(BD!$C$4:$C$33,C47,BD!$H$4:$H$33)+SUMIF(RQ!$C$4:$C$33,C47,RQ!$H$4:$H$33)+SUMIF(RQ!$C$4:$C$33,C47,RQ!$I$4:$I$33)+SUMIF(CH!$C$4:$C$33,C47,CH!$F$4:$F$33),1))</f>
        <v/>
      </c>
      <c r="E47" s="363" t="str">
        <f>IF(TRIM(C47)="","",ROUND(SUMIF(DD!$C$4:$C$53,C47,DD!$H$4:$H$53)+SUMIF(DD!$C$4:$C$53,C47,DD!$I$4:$I$53)+SUMIF(CH!$C$4:$C$33,C47,CH!$H$4:$H$33),1))</f>
        <v/>
      </c>
      <c r="F47" s="363" t="str">
        <f>IF(TRIM(C47)="","",ROUND(SUMIF('PG1'!$C$4:$C$53,C47,'PG1'!$H$4:$H$53) + SUMIF('PG1'!$C$4:$C$53,C47,'PG1'!$I$4:$I$53) + SUMIF('PG2'!$C$4:$C$53,C47,'PG2'!$J$4:$J$53)+ SUMIF('PG2'!$C$4:$C$53,C47,'PG2'!$K$4:$K$53) + SUMIF('PG3'!$C$4:$C$53,C47,'PG3'!$J$4:$J$53)+ SUMIF('PG3'!$C$4:$C$53,C47,'PG3'!$K$4:$K$53) + SUMIF(CH!$C$4:$C$33,C47,CH!$J$4:$J$33)+(1-IsEstimateUT)*SUMIF(FxB!$C$4:$C$53,C47,FxB!$J$4:$J$53)+(1-IsEstimateUT)*(1-IsEstimateCT)*SUMIF(FxB!$C$4:$C$53,C47,FxB!$K$4:$K$53)+(1-IsEstimateUT)*(1-IsEstimateCT)*(1-IsEstimateST)*SUMIF(FxB!$C$4:$C$53,C47,FxB!$L$4:$L$53),1))</f>
        <v/>
      </c>
      <c r="G47" s="364" t="str">
        <f>IF(TRIM(C47)="","",ROUND(SUMIF('PT1(UT)'!$C$4:$C$53,C47,'PT1(UT)'!$K$4:$K$53) + SUMIF('PT1(UT)'!$C$4:$C$53,C47,'PT1(UT)'!$L$4:$L$53) + SUMIF('PT1(UT)'!$C$4:$C$53,C47,'PT1(UT)'!$M$4:$M$53) + SUMIF('PT1(UT)'!$C$4:$C$53,C47,'PT1(UT)'!$N$4:$N$53) + SUMIF('PT1(UT)'!$C$4:$C$53,C47,'PT1(UT)'!$O$4:$O$53)  + SUMIF(CH!$C$4:$C$33,C47,CH!$L$4:$L$33)+ (IsEstimateUT)*(1-IsEstimateCT)*SUMIF(FxB!$C$4:$C$53,C47,FxB!$K$4:$K$53)+(IsEstimateUT)*(1-IsEstimateCT)*(1-IsEstimateST)*SUMIF(FxB!$C$4:$C$53,C47,FxB!$L$4:$L$53),1))</f>
        <v/>
      </c>
      <c r="H47" s="366" t="str">
        <f>IF(TRIM(C47)="","",ROUND(SUMIF('PT2(CT)'!$C$4:$C$53,C47,'PT2(CT)'!$K$4:$K$53) + SUMIF('PT2(CT)'!$C$4:$C$53,C47,'PT2(CT)'!$L$4:$L$53) + SUMIF('PT2(CT)'!$C$4:$C$53,C47,'PT2(CT)'!$M$4:$M$53) + SUMIF('PT2(CT)'!$C$4:$C$53,C47,'PT2(CT)'!$N$4:$N$53) + SUMIF('PT2(CT)'!$C$4:$C$53,C47,'PT2(CT)'!$O$4:$O$53)  + SUMIF(CH!$C$4:$C$33,C47,CH!$N$4:$N$33)+ (IsEstimateCT)*(1-IsEstimateST)*SUMIF(FxB!$C$4:$C$53,C47,FxB!$L$4:$L$53),1))</f>
        <v/>
      </c>
      <c r="I47" s="366" t="str">
        <f>IF(TRIM(C47)="","",ROUND(SUMIF('PT2(ST)'!$C$4:$C$53,C47,'PT2(ST)'!$K$4:$K$53) + SUMIF('PT2(ST)'!$C$4:$C$53,C47,'PT2(ST)'!$L$4:$L$53) + SUMIF('PT2(ST)'!$C$4:$C$53,C47,'PT2(ST)'!$M$4:$M$53) + SUMIF('PT2(ST)'!$C$4:$C$53,C47,'PT2(ST)'!$N$4:$N$53) + SUMIF('PT2(ST)'!$C$4:$C$53,C47,'PT2(ST)'!$O$4:$O$53) + SUMIF(CH!$C$4:$C$33,C47,CH!$P$4:$P$33),1))</f>
        <v/>
      </c>
      <c r="J47" s="601"/>
      <c r="K47" s="602"/>
      <c r="L47" s="603"/>
      <c r="M47" s="51"/>
      <c r="O47" s="314"/>
      <c r="P47" s="314"/>
      <c r="Q47" s="314"/>
      <c r="R47" s="314"/>
      <c r="S47" s="314">
        <f t="shared" si="2"/>
        <v>0</v>
      </c>
      <c r="T47" s="314"/>
      <c r="U47" s="314"/>
      <c r="V47" s="314"/>
    </row>
    <row r="48" spans="1:22" s="2" customFormat="1" ht="13.5">
      <c r="A48" s="49"/>
      <c r="B48" s="7"/>
      <c r="C48" s="15" t="s">
        <v>252</v>
      </c>
      <c r="D48" s="34">
        <f t="shared" ref="D48:I48" si="4">SUM(D17:D47)</f>
        <v>0</v>
      </c>
      <c r="E48" s="34">
        <f t="shared" si="4"/>
        <v>0</v>
      </c>
      <c r="F48" s="34">
        <f t="shared" si="4"/>
        <v>933</v>
      </c>
      <c r="G48" s="21">
        <f t="shared" si="4"/>
        <v>1421.5</v>
      </c>
      <c r="H48" s="21">
        <f t="shared" si="4"/>
        <v>1022.1</v>
      </c>
      <c r="I48" s="21">
        <f t="shared" si="4"/>
        <v>0</v>
      </c>
      <c r="J48" s="280"/>
      <c r="K48" s="276"/>
      <c r="L48" s="285"/>
      <c r="M48" s="286"/>
      <c r="O48" s="314"/>
      <c r="P48" s="314"/>
      <c r="Q48" s="314"/>
      <c r="R48" s="314"/>
      <c r="S48" s="314"/>
      <c r="T48" s="314"/>
      <c r="U48" s="314"/>
      <c r="V48" s="314"/>
    </row>
    <row r="49" spans="1:22" s="2" customFormat="1">
      <c r="A49" s="49"/>
      <c r="B49" s="52"/>
      <c r="C49" s="16" t="s">
        <v>253</v>
      </c>
      <c r="D49" s="354">
        <f t="shared" ref="D49:I49" si="5">ROUND(D48/MM_Rate,2)</f>
        <v>0</v>
      </c>
      <c r="E49" s="354">
        <f t="shared" si="5"/>
        <v>0</v>
      </c>
      <c r="F49" s="354">
        <f t="shared" si="5"/>
        <v>5.83</v>
      </c>
      <c r="G49" s="354">
        <f t="shared" si="5"/>
        <v>8.8800000000000008</v>
      </c>
      <c r="H49" s="354">
        <f t="shared" si="5"/>
        <v>6.39</v>
      </c>
      <c r="I49" s="354">
        <f t="shared" si="5"/>
        <v>0</v>
      </c>
      <c r="J49" s="275"/>
      <c r="K49" s="277"/>
      <c r="L49" s="285"/>
      <c r="M49" s="286"/>
      <c r="O49" s="314"/>
      <c r="P49" s="314"/>
      <c r="Q49" s="314"/>
      <c r="R49" s="314"/>
      <c r="S49" s="314"/>
      <c r="T49" s="314"/>
      <c r="U49" s="314"/>
      <c r="V49" s="314"/>
    </row>
    <row r="50" spans="1:22" s="2" customFormat="1" ht="7.5" customHeight="1">
      <c r="A50" s="49"/>
      <c r="B50" s="52"/>
      <c r="C50" s="274"/>
      <c r="D50" s="275"/>
      <c r="E50" s="275"/>
      <c r="F50" s="275"/>
      <c r="G50" s="275"/>
      <c r="H50" s="275"/>
      <c r="I50" s="275"/>
      <c r="J50" s="275"/>
      <c r="K50" s="275"/>
      <c r="L50" s="272"/>
      <c r="M50" s="273"/>
      <c r="O50" s="314"/>
      <c r="P50" s="314"/>
      <c r="Q50" s="314"/>
      <c r="R50" s="314"/>
      <c r="S50" s="314"/>
      <c r="T50" s="314"/>
      <c r="U50" s="314"/>
      <c r="V50" s="314"/>
    </row>
    <row r="51" spans="1:22" s="2" customFormat="1" ht="16.5" customHeight="1">
      <c r="A51" s="49"/>
      <c r="B51" s="270"/>
      <c r="C51" s="289" t="s">
        <v>260</v>
      </c>
      <c r="D51" s="592" t="s">
        <v>259</v>
      </c>
      <c r="E51" s="593"/>
      <c r="F51" s="596" t="str">
        <f>"単価(" &amp; $I$65 &amp;"/人月)"</f>
        <v>単価(USD/人月)</v>
      </c>
      <c r="G51" s="596"/>
      <c r="H51" s="596" t="str">
        <f>"合計金額(" &amp; $I$65 &amp; ")"</f>
        <v>合計金額(USD)</v>
      </c>
      <c r="I51" s="596"/>
      <c r="L51" s="272"/>
      <c r="M51" s="273"/>
      <c r="O51" s="314"/>
      <c r="P51" s="314"/>
      <c r="Q51" s="314"/>
      <c r="R51" s="314"/>
      <c r="S51" s="314"/>
      <c r="T51" s="314"/>
      <c r="U51" s="314"/>
      <c r="V51" s="314"/>
    </row>
    <row r="52" spans="1:22" s="2" customFormat="1">
      <c r="A52" s="49"/>
      <c r="B52" s="288"/>
      <c r="C52" s="279" t="s">
        <v>445</v>
      </c>
      <c r="D52" s="600">
        <f>ROUND(SUM(Others!$E$4:$E$33)/MM_Rate,2)</f>
        <v>0.35</v>
      </c>
      <c r="E52" s="600"/>
      <c r="F52" s="585"/>
      <c r="G52" s="585"/>
      <c r="H52" s="585">
        <f t="shared" ref="H52" si="6">FLOOR(D52*F52,1)</f>
        <v>0</v>
      </c>
      <c r="I52" s="585"/>
      <c r="L52" s="283"/>
      <c r="M52" s="284"/>
      <c r="O52" s="314"/>
      <c r="P52" s="314"/>
      <c r="Q52" s="314"/>
      <c r="R52" s="314"/>
      <c r="S52" s="314"/>
      <c r="T52" s="314"/>
      <c r="U52" s="314"/>
      <c r="V52" s="314"/>
    </row>
    <row r="53" spans="1:22" s="2" customFormat="1">
      <c r="A53" s="49"/>
      <c r="B53" s="287"/>
      <c r="C53" s="278" t="s">
        <v>254</v>
      </c>
      <c r="D53" s="594">
        <f>D49</f>
        <v>0</v>
      </c>
      <c r="E53" s="594"/>
      <c r="F53" s="586"/>
      <c r="G53" s="586"/>
      <c r="H53" s="586">
        <f t="shared" ref="H53:H60" si="7">FLOOR(D53*F53,1)</f>
        <v>0</v>
      </c>
      <c r="I53" s="586"/>
      <c r="L53" s="283"/>
      <c r="M53" s="284"/>
      <c r="O53" s="314"/>
      <c r="P53" s="314"/>
      <c r="Q53" s="314"/>
      <c r="R53" s="314"/>
      <c r="S53" s="314"/>
      <c r="T53" s="314"/>
      <c r="U53" s="314"/>
      <c r="V53" s="314"/>
    </row>
    <row r="54" spans="1:22" s="2" customFormat="1">
      <c r="A54" s="49"/>
      <c r="B54" s="288"/>
      <c r="C54" s="279" t="s">
        <v>264</v>
      </c>
      <c r="D54" s="600">
        <f>E49</f>
        <v>0</v>
      </c>
      <c r="E54" s="600"/>
      <c r="F54" s="585"/>
      <c r="G54" s="585"/>
      <c r="H54" s="585">
        <f t="shared" si="7"/>
        <v>0</v>
      </c>
      <c r="I54" s="585"/>
      <c r="L54" s="283"/>
      <c r="M54" s="284"/>
      <c r="O54" s="314"/>
      <c r="P54" s="314"/>
      <c r="Q54" s="314"/>
      <c r="R54" s="314"/>
      <c r="S54" s="314"/>
      <c r="T54" s="314"/>
      <c r="U54" s="314"/>
      <c r="V54" s="314"/>
    </row>
    <row r="55" spans="1:22" s="2" customFormat="1">
      <c r="A55" s="49"/>
      <c r="B55" s="287"/>
      <c r="C55" s="278" t="s">
        <v>255</v>
      </c>
      <c r="D55" s="594">
        <f>F49</f>
        <v>5.83</v>
      </c>
      <c r="E55" s="594"/>
      <c r="F55" s="586"/>
      <c r="G55" s="586"/>
      <c r="H55" s="586">
        <f t="shared" si="7"/>
        <v>0</v>
      </c>
      <c r="I55" s="586"/>
      <c r="L55" s="283"/>
      <c r="M55" s="284"/>
      <c r="O55" s="314"/>
      <c r="P55" s="314"/>
      <c r="Q55" s="314"/>
      <c r="R55" s="314"/>
      <c r="S55" s="314"/>
      <c r="T55" s="314"/>
      <c r="U55" s="314"/>
      <c r="V55" s="314"/>
    </row>
    <row r="56" spans="1:22" s="2" customFormat="1">
      <c r="A56" s="49"/>
      <c r="B56" s="288"/>
      <c r="C56" s="279" t="s">
        <v>256</v>
      </c>
      <c r="D56" s="600">
        <f>G49</f>
        <v>8.8800000000000008</v>
      </c>
      <c r="E56" s="600"/>
      <c r="F56" s="585"/>
      <c r="G56" s="585"/>
      <c r="H56" s="585">
        <f t="shared" si="7"/>
        <v>0</v>
      </c>
      <c r="I56" s="585"/>
      <c r="L56" s="283"/>
      <c r="M56" s="284"/>
      <c r="O56" s="314"/>
      <c r="P56" s="314"/>
      <c r="Q56" s="314"/>
      <c r="R56" s="314"/>
      <c r="S56" s="314"/>
      <c r="T56" s="314"/>
      <c r="U56" s="314"/>
      <c r="V56" s="314"/>
    </row>
    <row r="57" spans="1:22" s="2" customFormat="1">
      <c r="A57" s="49"/>
      <c r="B57" s="287"/>
      <c r="C57" s="278" t="s">
        <v>257</v>
      </c>
      <c r="D57" s="594">
        <f>H49</f>
        <v>6.39</v>
      </c>
      <c r="E57" s="594"/>
      <c r="F57" s="586"/>
      <c r="G57" s="586"/>
      <c r="H57" s="586">
        <f t="shared" si="7"/>
        <v>0</v>
      </c>
      <c r="I57" s="586"/>
      <c r="L57" s="283"/>
      <c r="M57" s="284"/>
      <c r="O57" s="314"/>
      <c r="P57" s="314"/>
      <c r="Q57" s="314"/>
      <c r="R57" s="314"/>
      <c r="S57" s="314"/>
      <c r="T57" s="314"/>
      <c r="U57" s="314"/>
      <c r="V57" s="314"/>
    </row>
    <row r="58" spans="1:22" s="2" customFormat="1">
      <c r="A58" s="49"/>
      <c r="B58" s="288"/>
      <c r="C58" s="279" t="s">
        <v>258</v>
      </c>
      <c r="D58" s="600">
        <f>I49</f>
        <v>0</v>
      </c>
      <c r="E58" s="600"/>
      <c r="F58" s="585"/>
      <c r="G58" s="585"/>
      <c r="H58" s="585">
        <f t="shared" si="7"/>
        <v>0</v>
      </c>
      <c r="I58" s="585"/>
      <c r="L58" s="283"/>
      <c r="M58" s="284"/>
      <c r="O58" s="314"/>
      <c r="P58" s="314"/>
      <c r="Q58" s="314"/>
      <c r="R58" s="314"/>
      <c r="S58" s="314"/>
      <c r="T58" s="314"/>
      <c r="U58" s="314"/>
      <c r="V58" s="314"/>
    </row>
    <row r="59" spans="1:22" s="2" customFormat="1">
      <c r="A59" s="49"/>
      <c r="B59" s="287"/>
      <c r="C59" s="278" t="s">
        <v>251</v>
      </c>
      <c r="D59" s="594">
        <f>ROUND(SUM(D53:E58)*Management_Rate,2)</f>
        <v>2.11</v>
      </c>
      <c r="E59" s="594"/>
      <c r="F59" s="586"/>
      <c r="G59" s="586"/>
      <c r="H59" s="586">
        <f t="shared" si="7"/>
        <v>0</v>
      </c>
      <c r="I59" s="586"/>
      <c r="L59" s="283"/>
      <c r="M59" s="284"/>
      <c r="O59" s="314"/>
      <c r="P59" s="314"/>
      <c r="Q59" s="314"/>
      <c r="R59" s="314"/>
      <c r="S59" s="314"/>
      <c r="T59" s="314"/>
      <c r="U59" s="314"/>
      <c r="V59" s="314"/>
    </row>
    <row r="60" spans="1:22" s="2" customFormat="1">
      <c r="A60" s="49"/>
      <c r="B60" s="288"/>
      <c r="C60" s="279" t="s">
        <v>250</v>
      </c>
      <c r="D60" s="600">
        <f>ROUND(SUM(D53:E58)*Support_Rate,2)</f>
        <v>2.64</v>
      </c>
      <c r="E60" s="600"/>
      <c r="F60" s="585"/>
      <c r="G60" s="585"/>
      <c r="H60" s="585">
        <f t="shared" si="7"/>
        <v>0</v>
      </c>
      <c r="I60" s="585"/>
      <c r="L60" s="283"/>
      <c r="M60" s="284"/>
      <c r="O60" s="314"/>
      <c r="P60" s="314"/>
      <c r="Q60" s="314"/>
      <c r="R60" s="314"/>
      <c r="S60" s="314"/>
      <c r="T60" s="314"/>
      <c r="U60" s="314"/>
      <c r="V60" s="314"/>
    </row>
    <row r="61" spans="1:22" s="2" customFormat="1">
      <c r="A61" s="49"/>
      <c r="B61" s="287"/>
      <c r="C61" s="278" t="s">
        <v>446</v>
      </c>
      <c r="D61" s="594"/>
      <c r="E61" s="594"/>
      <c r="F61" s="586"/>
      <c r="G61" s="586"/>
      <c r="H61" s="586">
        <v>0</v>
      </c>
      <c r="I61" s="586"/>
      <c r="L61" s="283"/>
      <c r="M61" s="284"/>
      <c r="O61" s="314"/>
      <c r="P61" s="314"/>
      <c r="Q61" s="314"/>
      <c r="R61" s="314"/>
      <c r="S61" s="314"/>
      <c r="T61" s="314"/>
      <c r="U61" s="314"/>
      <c r="V61" s="314"/>
    </row>
    <row r="62" spans="1:22" s="2" customFormat="1" ht="19.5">
      <c r="A62" s="49"/>
      <c r="B62" s="582" t="s">
        <v>328</v>
      </c>
      <c r="C62" s="582"/>
      <c r="D62" s="583">
        <f>SUM(D52:D60)</f>
        <v>26.2</v>
      </c>
      <c r="E62" s="583"/>
      <c r="F62" s="584"/>
      <c r="G62" s="584"/>
      <c r="H62" s="583">
        <f>SUM(H52:H61)</f>
        <v>0</v>
      </c>
      <c r="I62" s="583"/>
      <c r="J62" s="282"/>
      <c r="M62" s="281"/>
      <c r="O62" s="314"/>
      <c r="P62" s="314"/>
      <c r="Q62" s="314"/>
      <c r="R62" s="314"/>
      <c r="S62" s="314"/>
      <c r="T62" s="314"/>
      <c r="U62" s="314"/>
      <c r="V62" s="314"/>
    </row>
    <row r="63" spans="1:22" s="2" customFormat="1" ht="6.75" customHeight="1">
      <c r="A63" s="53"/>
      <c r="B63" s="54"/>
      <c r="C63" s="55"/>
      <c r="D63" s="56"/>
      <c r="E63" s="56"/>
      <c r="F63" s="56"/>
      <c r="G63" s="56"/>
      <c r="H63" s="56"/>
      <c r="I63" s="57"/>
      <c r="J63" s="57"/>
      <c r="K63" s="57"/>
      <c r="L63" s="54"/>
      <c r="M63" s="58"/>
      <c r="O63" s="314"/>
      <c r="P63" s="314"/>
      <c r="Q63" s="314"/>
      <c r="R63" s="314"/>
      <c r="S63" s="314"/>
      <c r="T63" s="314"/>
      <c r="U63" s="314"/>
      <c r="V63" s="314"/>
    </row>
    <row r="64" spans="1:22" s="2" customFormat="1" ht="14.45" customHeight="1">
      <c r="A64" s="60"/>
      <c r="B64" s="61"/>
      <c r="C64" s="62"/>
      <c r="D64" s="604" t="s">
        <v>134</v>
      </c>
      <c r="E64" s="605"/>
      <c r="F64" s="70">
        <v>0.1</v>
      </c>
      <c r="G64" s="598" t="s">
        <v>127</v>
      </c>
      <c r="H64" s="598"/>
      <c r="I64" s="66">
        <v>160</v>
      </c>
      <c r="J64" s="63"/>
      <c r="K64" s="63"/>
      <c r="L64" s="269"/>
      <c r="M64" s="64"/>
      <c r="O64" s="314"/>
      <c r="P64" s="314"/>
      <c r="Q64" s="314"/>
      <c r="R64" s="314"/>
      <c r="S64" s="314"/>
      <c r="T64" s="314"/>
      <c r="U64" s="314"/>
      <c r="V64" s="314"/>
    </row>
    <row r="65" spans="1:22" s="2" customFormat="1" ht="14.45" customHeight="1">
      <c r="A65" s="67"/>
      <c r="B65" s="68"/>
      <c r="C65" s="69"/>
      <c r="D65" s="604" t="s">
        <v>133</v>
      </c>
      <c r="E65" s="604"/>
      <c r="F65" s="70">
        <v>0.125</v>
      </c>
      <c r="G65" s="604" t="s">
        <v>262</v>
      </c>
      <c r="H65" s="604"/>
      <c r="I65" s="291" t="s">
        <v>261</v>
      </c>
      <c r="J65" s="71"/>
      <c r="K65" s="71"/>
      <c r="L65" s="270"/>
      <c r="M65" s="72"/>
      <c r="O65" s="314"/>
      <c r="P65" s="314"/>
      <c r="Q65" s="314"/>
      <c r="R65" s="314"/>
      <c r="S65" s="314"/>
      <c r="T65" s="314"/>
      <c r="U65" s="314"/>
      <c r="V65" s="314"/>
    </row>
    <row r="66" spans="1:22" s="2" customFormat="1" ht="14.45" customHeight="1">
      <c r="A66" s="73"/>
      <c r="B66" s="74" t="s">
        <v>126</v>
      </c>
      <c r="C66" s="75"/>
      <c r="D66" s="76"/>
      <c r="E66" s="76"/>
      <c r="F66" s="290"/>
      <c r="G66" s="271"/>
      <c r="H66" s="271"/>
      <c r="I66" s="271"/>
      <c r="J66" s="77"/>
      <c r="K66" s="77"/>
      <c r="L66" s="271"/>
      <c r="M66" s="78"/>
      <c r="O66" s="314"/>
      <c r="P66" s="314"/>
      <c r="Q66" s="314"/>
      <c r="R66" s="314"/>
      <c r="S66" s="314"/>
      <c r="T66" s="314"/>
      <c r="U66" s="314"/>
      <c r="V66" s="314"/>
    </row>
    <row r="67" spans="1:22" s="2" customFormat="1" ht="13.9" customHeight="1">
      <c r="A67" s="49"/>
      <c r="B67" s="141">
        <v>1</v>
      </c>
      <c r="C67" s="599" t="s">
        <v>442</v>
      </c>
      <c r="D67" s="599"/>
      <c r="E67" s="599"/>
      <c r="F67" s="599"/>
      <c r="G67" s="599"/>
      <c r="H67" s="599"/>
      <c r="I67" s="599"/>
      <c r="J67" s="599"/>
      <c r="K67" s="261"/>
      <c r="L67" s="52"/>
      <c r="M67" s="51"/>
      <c r="O67" s="314"/>
      <c r="P67" s="314"/>
      <c r="Q67" s="314"/>
      <c r="R67" s="314"/>
      <c r="S67" s="314"/>
      <c r="T67" s="314"/>
      <c r="U67" s="314"/>
      <c r="V67" s="314"/>
    </row>
    <row r="68" spans="1:22" s="2" customFormat="1" ht="12.75">
      <c r="A68" s="53"/>
      <c r="B68" s="142">
        <v>2</v>
      </c>
      <c r="C68" s="597"/>
      <c r="D68" s="597"/>
      <c r="E68" s="597"/>
      <c r="F68" s="597"/>
      <c r="G68" s="597"/>
      <c r="H68" s="597"/>
      <c r="I68" s="597"/>
      <c r="J68" s="597"/>
      <c r="K68" s="262"/>
      <c r="L68" s="54"/>
      <c r="M68" s="58"/>
      <c r="O68" s="314"/>
      <c r="P68" s="314"/>
      <c r="Q68" s="314"/>
      <c r="R68" s="314"/>
      <c r="S68" s="314"/>
      <c r="T68" s="314"/>
      <c r="U68" s="314"/>
      <c r="V68" s="314"/>
    </row>
    <row r="69" spans="1:22" s="2" customFormat="1" ht="13.5">
      <c r="I69" s="6"/>
      <c r="J69" s="6"/>
      <c r="K69" s="6"/>
      <c r="O69" s="314"/>
      <c r="P69" s="314"/>
      <c r="Q69" s="314"/>
      <c r="R69" s="314"/>
      <c r="S69" s="314"/>
      <c r="T69" s="314"/>
      <c r="U69" s="314"/>
      <c r="V69" s="314"/>
    </row>
    <row r="70" spans="1:22" s="2" customFormat="1" ht="12.75">
      <c r="O70" s="314"/>
      <c r="P70" s="314"/>
      <c r="Q70" s="314"/>
      <c r="R70" s="314"/>
      <c r="S70" s="314"/>
      <c r="T70" s="314"/>
      <c r="U70" s="314"/>
      <c r="V70" s="314"/>
    </row>
    <row r="71" spans="1:22" s="2" customFormat="1" ht="12.75">
      <c r="O71" s="314"/>
      <c r="P71" s="314"/>
      <c r="Q71" s="314"/>
      <c r="R71" s="314"/>
      <c r="S71" s="314"/>
      <c r="T71" s="314"/>
      <c r="U71" s="314"/>
      <c r="V71" s="314"/>
    </row>
    <row r="72" spans="1:22" s="2" customFormat="1" ht="12.75">
      <c r="O72" s="314"/>
      <c r="P72" s="314"/>
      <c r="Q72" s="314"/>
      <c r="R72" s="314"/>
      <c r="S72" s="314"/>
      <c r="T72" s="314"/>
      <c r="U72" s="314"/>
      <c r="V72" s="314"/>
    </row>
    <row r="73" spans="1:22" s="2" customFormat="1" ht="12.75">
      <c r="O73" s="314"/>
      <c r="P73" s="314"/>
      <c r="Q73" s="314"/>
      <c r="R73" s="314"/>
      <c r="S73" s="314"/>
      <c r="T73" s="314"/>
      <c r="U73" s="314"/>
      <c r="V73" s="314"/>
    </row>
    <row r="74" spans="1:22" s="2" customFormat="1" ht="12.75">
      <c r="O74" s="314"/>
      <c r="P74" s="314"/>
      <c r="Q74" s="314"/>
      <c r="R74" s="314"/>
      <c r="S74" s="314"/>
      <c r="T74" s="314"/>
      <c r="U74" s="314"/>
      <c r="V74" s="314"/>
    </row>
    <row r="75" spans="1:22" s="2" customFormat="1" ht="12.75">
      <c r="O75" s="314"/>
      <c r="P75" s="314"/>
      <c r="Q75" s="314"/>
      <c r="R75" s="314"/>
      <c r="S75" s="314"/>
      <c r="T75" s="314"/>
      <c r="U75" s="314"/>
      <c r="V75" s="314"/>
    </row>
    <row r="76" spans="1:22" s="2" customFormat="1" ht="12.75">
      <c r="O76" s="314"/>
      <c r="P76" s="314"/>
      <c r="Q76" s="314"/>
      <c r="R76" s="314"/>
      <c r="S76" s="314"/>
      <c r="T76" s="314"/>
      <c r="U76" s="314"/>
      <c r="V76" s="314"/>
    </row>
    <row r="77" spans="1:22" s="2" customFormat="1" ht="12.75">
      <c r="O77" s="314"/>
      <c r="P77" s="314"/>
      <c r="Q77" s="314"/>
      <c r="R77" s="314"/>
      <c r="S77" s="314"/>
      <c r="T77" s="314"/>
      <c r="U77" s="314"/>
      <c r="V77" s="314"/>
    </row>
    <row r="78" spans="1:22" s="2" customFormat="1" ht="12.75">
      <c r="O78" s="314"/>
      <c r="P78" s="314"/>
      <c r="Q78" s="314"/>
      <c r="R78" s="314"/>
      <c r="S78" s="314"/>
      <c r="T78" s="314"/>
      <c r="U78" s="314"/>
      <c r="V78" s="314"/>
    </row>
    <row r="79" spans="1:22" s="2" customFormat="1" ht="12.75">
      <c r="O79" s="314"/>
      <c r="P79" s="314"/>
      <c r="Q79" s="314"/>
      <c r="R79" s="314"/>
      <c r="S79" s="314"/>
      <c r="T79" s="314"/>
      <c r="U79" s="314"/>
      <c r="V79" s="314"/>
    </row>
    <row r="80" spans="1:22" s="2" customFormat="1" ht="12.75">
      <c r="O80" s="314"/>
      <c r="P80" s="314"/>
      <c r="Q80" s="314"/>
      <c r="R80" s="314"/>
      <c r="S80" s="314"/>
      <c r="T80" s="314"/>
      <c r="U80" s="314"/>
      <c r="V80" s="314"/>
    </row>
    <row r="81" spans="15:22" s="2" customFormat="1" ht="12.75">
      <c r="O81" s="314"/>
      <c r="P81" s="314"/>
      <c r="Q81" s="314"/>
      <c r="R81" s="314"/>
      <c r="S81" s="314"/>
      <c r="T81" s="314"/>
      <c r="U81" s="314"/>
      <c r="V81" s="314"/>
    </row>
    <row r="82" spans="15:22" s="2" customFormat="1" ht="12.75">
      <c r="O82" s="314"/>
      <c r="P82" s="314"/>
      <c r="Q82" s="314"/>
      <c r="R82" s="314"/>
      <c r="S82" s="314"/>
      <c r="T82" s="314"/>
      <c r="U82" s="314"/>
      <c r="V82" s="314"/>
    </row>
    <row r="83" spans="15:22" s="2" customFormat="1" ht="12.75">
      <c r="O83" s="314"/>
      <c r="P83" s="314"/>
      <c r="Q83" s="314"/>
      <c r="R83" s="314"/>
      <c r="S83" s="314"/>
      <c r="T83" s="314"/>
      <c r="U83" s="314"/>
      <c r="V83" s="314"/>
    </row>
    <row r="84" spans="15:22" s="2" customFormat="1" ht="12.75">
      <c r="O84" s="314"/>
      <c r="P84" s="314"/>
      <c r="Q84" s="314"/>
      <c r="R84" s="314"/>
      <c r="S84" s="314"/>
      <c r="T84" s="314"/>
      <c r="U84" s="314"/>
      <c r="V84" s="314"/>
    </row>
    <row r="85" spans="15:22" s="2" customFormat="1" ht="12.75">
      <c r="O85" s="314"/>
      <c r="P85" s="314"/>
      <c r="Q85" s="314"/>
      <c r="R85" s="314"/>
      <c r="S85" s="314"/>
      <c r="T85" s="314"/>
      <c r="U85" s="314"/>
      <c r="V85" s="314"/>
    </row>
    <row r="86" spans="15:22" s="2" customFormat="1" ht="12.75">
      <c r="O86" s="314"/>
      <c r="P86" s="314"/>
      <c r="Q86" s="314"/>
      <c r="R86" s="314"/>
      <c r="S86" s="314"/>
      <c r="T86" s="314"/>
      <c r="U86" s="314"/>
      <c r="V86" s="314"/>
    </row>
    <row r="87" spans="15:22" s="2" customFormat="1" ht="12.75">
      <c r="O87" s="314"/>
      <c r="P87" s="314"/>
      <c r="Q87" s="314"/>
      <c r="R87" s="314"/>
      <c r="S87" s="314"/>
      <c r="T87" s="314"/>
      <c r="U87" s="314"/>
      <c r="V87" s="314"/>
    </row>
    <row r="88" spans="15:22" s="2" customFormat="1" ht="12.75">
      <c r="O88" s="314"/>
      <c r="P88" s="314"/>
      <c r="Q88" s="314"/>
      <c r="R88" s="314"/>
      <c r="S88" s="314"/>
      <c r="T88" s="314"/>
      <c r="U88" s="314"/>
      <c r="V88" s="314"/>
    </row>
    <row r="89" spans="15:22" s="2" customFormat="1" ht="12.75">
      <c r="O89" s="314"/>
      <c r="P89" s="314"/>
      <c r="Q89" s="314"/>
      <c r="R89" s="314"/>
      <c r="S89" s="314"/>
      <c r="T89" s="314"/>
      <c r="U89" s="314"/>
      <c r="V89" s="314"/>
    </row>
    <row r="90" spans="15:22" s="2" customFormat="1" ht="12.75">
      <c r="O90" s="314"/>
      <c r="P90" s="314"/>
      <c r="Q90" s="314"/>
      <c r="R90" s="314"/>
      <c r="S90" s="314"/>
      <c r="T90" s="314"/>
      <c r="U90" s="314"/>
      <c r="V90" s="314"/>
    </row>
    <row r="91" spans="15:22" s="2" customFormat="1" ht="12.75">
      <c r="O91" s="314"/>
      <c r="P91" s="314"/>
      <c r="Q91" s="314"/>
      <c r="R91" s="314"/>
      <c r="S91" s="314"/>
      <c r="T91" s="314"/>
      <c r="U91" s="314"/>
      <c r="V91" s="314"/>
    </row>
    <row r="92" spans="15:22" s="2" customFormat="1" ht="12.75">
      <c r="O92" s="314"/>
      <c r="P92" s="314"/>
      <c r="Q92" s="314"/>
      <c r="R92" s="314"/>
      <c r="S92" s="314"/>
      <c r="T92" s="314"/>
      <c r="U92" s="314"/>
      <c r="V92" s="314"/>
    </row>
    <row r="93" spans="15:22" s="2" customFormat="1" ht="12.75">
      <c r="O93" s="314"/>
      <c r="P93" s="314"/>
      <c r="Q93" s="314"/>
      <c r="R93" s="314"/>
      <c r="S93" s="314"/>
      <c r="T93" s="314"/>
      <c r="U93" s="314"/>
      <c r="V93" s="314"/>
    </row>
    <row r="94" spans="15:22" s="2" customFormat="1" ht="12.75">
      <c r="O94" s="314"/>
      <c r="P94" s="314"/>
      <c r="Q94" s="314"/>
      <c r="R94" s="314"/>
      <c r="S94" s="314"/>
      <c r="T94" s="314"/>
      <c r="U94" s="314"/>
      <c r="V94" s="314"/>
    </row>
    <row r="95" spans="15:22" s="2" customFormat="1" ht="12.75">
      <c r="O95" s="314"/>
      <c r="P95" s="314"/>
      <c r="Q95" s="314"/>
      <c r="R95" s="314"/>
      <c r="S95" s="314"/>
      <c r="T95" s="314"/>
      <c r="U95" s="314"/>
      <c r="V95" s="314"/>
    </row>
    <row r="96" spans="15:22" s="2" customFormat="1" ht="12.75">
      <c r="O96" s="314"/>
      <c r="P96" s="314"/>
      <c r="Q96" s="314"/>
      <c r="R96" s="314"/>
      <c r="S96" s="314"/>
      <c r="T96" s="314"/>
      <c r="U96" s="314"/>
      <c r="V96" s="314"/>
    </row>
    <row r="97" spans="15:22" s="2" customFormat="1" ht="12.75">
      <c r="O97" s="314"/>
      <c r="P97" s="314"/>
      <c r="Q97" s="314"/>
      <c r="R97" s="314"/>
      <c r="S97" s="314"/>
      <c r="T97" s="314"/>
      <c r="U97" s="314"/>
      <c r="V97" s="314"/>
    </row>
    <row r="98" spans="15:22" s="2" customFormat="1" ht="12.75">
      <c r="O98" s="314"/>
      <c r="P98" s="314"/>
      <c r="Q98" s="314"/>
      <c r="R98" s="314"/>
      <c r="S98" s="314"/>
      <c r="T98" s="314"/>
      <c r="U98" s="314"/>
      <c r="V98" s="314"/>
    </row>
    <row r="99" spans="15:22" s="2" customFormat="1" ht="12.75">
      <c r="O99" s="314"/>
      <c r="P99" s="314"/>
      <c r="Q99" s="314"/>
      <c r="R99" s="314"/>
      <c r="S99" s="314"/>
      <c r="T99" s="314"/>
      <c r="U99" s="314"/>
      <c r="V99" s="314"/>
    </row>
    <row r="100" spans="15:22" s="2" customFormat="1" ht="12.75">
      <c r="O100" s="314"/>
      <c r="P100" s="314"/>
      <c r="Q100" s="314"/>
      <c r="R100" s="314"/>
      <c r="S100" s="314"/>
      <c r="T100" s="314"/>
      <c r="U100" s="314"/>
      <c r="V100" s="314"/>
    </row>
    <row r="101" spans="15:22" s="2" customFormat="1" ht="12.75">
      <c r="O101" s="314"/>
      <c r="P101" s="314"/>
      <c r="Q101" s="314"/>
      <c r="R101" s="314"/>
      <c r="S101" s="314"/>
      <c r="T101" s="314"/>
      <c r="U101" s="314"/>
      <c r="V101" s="314"/>
    </row>
    <row r="102" spans="15:22" s="2" customFormat="1" ht="12.75">
      <c r="O102" s="314"/>
      <c r="P102" s="314"/>
      <c r="Q102" s="314"/>
      <c r="R102" s="314"/>
      <c r="S102" s="314"/>
      <c r="T102" s="314"/>
      <c r="U102" s="314"/>
      <c r="V102" s="314"/>
    </row>
    <row r="103" spans="15:22" s="2" customFormat="1" ht="12.75">
      <c r="O103" s="314"/>
      <c r="P103" s="314"/>
      <c r="Q103" s="314"/>
      <c r="R103" s="314"/>
      <c r="S103" s="314"/>
      <c r="T103" s="314"/>
      <c r="U103" s="314"/>
      <c r="V103" s="314"/>
    </row>
    <row r="104" spans="15:22" s="2" customFormat="1" ht="12.75">
      <c r="O104" s="314"/>
      <c r="P104" s="314"/>
      <c r="Q104" s="314"/>
      <c r="R104" s="314"/>
      <c r="S104" s="314"/>
      <c r="T104" s="314"/>
      <c r="U104" s="314"/>
      <c r="V104" s="314"/>
    </row>
    <row r="105" spans="15:22" s="2" customFormat="1" ht="12.75">
      <c r="O105" s="314"/>
      <c r="P105" s="314"/>
      <c r="Q105" s="314"/>
      <c r="R105" s="314"/>
      <c r="S105" s="314"/>
      <c r="T105" s="314"/>
      <c r="U105" s="314"/>
      <c r="V105" s="314"/>
    </row>
    <row r="106" spans="15:22" s="2" customFormat="1" ht="12.75">
      <c r="O106" s="314"/>
      <c r="P106" s="314"/>
      <c r="Q106" s="314"/>
      <c r="R106" s="314"/>
      <c r="S106" s="314"/>
      <c r="T106" s="314"/>
      <c r="U106" s="314"/>
      <c r="V106" s="314"/>
    </row>
    <row r="107" spans="15:22" s="2" customFormat="1" ht="12.75">
      <c r="O107" s="314"/>
      <c r="P107" s="314"/>
      <c r="Q107" s="314"/>
      <c r="R107" s="314"/>
      <c r="S107" s="314"/>
      <c r="T107" s="314"/>
      <c r="U107" s="314"/>
      <c r="V107" s="314"/>
    </row>
    <row r="108" spans="15:22" s="2" customFormat="1" ht="12.75">
      <c r="O108" s="314"/>
      <c r="P108" s="314"/>
      <c r="Q108" s="314"/>
      <c r="R108" s="314"/>
      <c r="S108" s="314"/>
      <c r="T108" s="314"/>
      <c r="U108" s="314"/>
      <c r="V108" s="314"/>
    </row>
    <row r="109" spans="15:22" s="2" customFormat="1" ht="12.75">
      <c r="O109" s="314"/>
      <c r="P109" s="314"/>
      <c r="Q109" s="314"/>
      <c r="R109" s="314"/>
      <c r="S109" s="314"/>
      <c r="T109" s="314"/>
      <c r="U109" s="314"/>
      <c r="V109" s="314"/>
    </row>
    <row r="110" spans="15:22" s="2" customFormat="1" ht="12.75">
      <c r="O110" s="314"/>
      <c r="P110" s="314"/>
      <c r="Q110" s="314"/>
      <c r="R110" s="314"/>
      <c r="S110" s="314"/>
      <c r="T110" s="314"/>
      <c r="U110" s="314"/>
      <c r="V110" s="314"/>
    </row>
    <row r="111" spans="15:22" s="2" customFormat="1" ht="12.75">
      <c r="O111" s="314"/>
      <c r="P111" s="314"/>
      <c r="Q111" s="314"/>
      <c r="R111" s="314"/>
      <c r="S111" s="314"/>
      <c r="T111" s="314"/>
      <c r="U111" s="314"/>
      <c r="V111" s="314"/>
    </row>
    <row r="112" spans="15:22" s="2" customFormat="1" ht="12.75">
      <c r="O112" s="314"/>
      <c r="P112" s="314"/>
      <c r="Q112" s="314"/>
      <c r="R112" s="314"/>
      <c r="S112" s="314"/>
      <c r="T112" s="314"/>
      <c r="U112" s="314"/>
      <c r="V112" s="314"/>
    </row>
    <row r="113" spans="15:22" s="2" customFormat="1" ht="12.75">
      <c r="O113" s="314"/>
      <c r="P113" s="314"/>
      <c r="Q113" s="314"/>
      <c r="R113" s="314"/>
      <c r="S113" s="314"/>
      <c r="T113" s="314"/>
      <c r="U113" s="314"/>
      <c r="V113" s="314"/>
    </row>
    <row r="114" spans="15:22" s="2" customFormat="1" ht="12.75">
      <c r="O114" s="314"/>
      <c r="P114" s="314"/>
      <c r="Q114" s="314"/>
      <c r="R114" s="314"/>
      <c r="S114" s="314"/>
      <c r="T114" s="314"/>
      <c r="U114" s="314"/>
      <c r="V114" s="314"/>
    </row>
    <row r="115" spans="15:22" s="2" customFormat="1" ht="12.75">
      <c r="O115" s="314"/>
      <c r="P115" s="314"/>
      <c r="Q115" s="314"/>
      <c r="R115" s="314"/>
      <c r="S115" s="314"/>
      <c r="T115" s="314"/>
      <c r="U115" s="314"/>
      <c r="V115" s="314"/>
    </row>
    <row r="116" spans="15:22" s="2" customFormat="1" ht="12.75">
      <c r="O116" s="314"/>
      <c r="P116" s="314"/>
      <c r="Q116" s="314"/>
      <c r="R116" s="314"/>
      <c r="S116" s="314"/>
      <c r="T116" s="314"/>
      <c r="U116" s="314"/>
      <c r="V116" s="314"/>
    </row>
    <row r="117" spans="15:22" s="2" customFormat="1" ht="12.75">
      <c r="O117" s="314"/>
      <c r="P117" s="314"/>
      <c r="Q117" s="314"/>
      <c r="R117" s="314"/>
      <c r="S117" s="314"/>
      <c r="T117" s="314"/>
      <c r="U117" s="314"/>
      <c r="V117" s="314"/>
    </row>
    <row r="118" spans="15:22" s="2" customFormat="1" ht="12.75">
      <c r="O118" s="314"/>
      <c r="P118" s="314"/>
      <c r="Q118" s="314"/>
      <c r="R118" s="314"/>
      <c r="S118" s="314"/>
      <c r="T118" s="314"/>
      <c r="U118" s="314"/>
      <c r="V118" s="314"/>
    </row>
    <row r="119" spans="15:22" s="2" customFormat="1" ht="12.75">
      <c r="O119" s="314"/>
      <c r="P119" s="314"/>
      <c r="Q119" s="314"/>
      <c r="R119" s="314"/>
      <c r="S119" s="314"/>
      <c r="T119" s="314"/>
      <c r="U119" s="314"/>
      <c r="V119" s="314"/>
    </row>
    <row r="120" spans="15:22" s="2" customFormat="1" ht="12.75">
      <c r="O120" s="314"/>
      <c r="P120" s="314"/>
      <c r="Q120" s="314"/>
      <c r="R120" s="314"/>
      <c r="S120" s="314"/>
      <c r="T120" s="314"/>
      <c r="U120" s="314"/>
      <c r="V120" s="314"/>
    </row>
    <row r="121" spans="15:22" s="2" customFormat="1" ht="12.75">
      <c r="O121" s="314"/>
      <c r="P121" s="314"/>
      <c r="Q121" s="314"/>
      <c r="R121" s="314"/>
      <c r="S121" s="314"/>
      <c r="T121" s="314"/>
      <c r="U121" s="314"/>
      <c r="V121" s="314"/>
    </row>
    <row r="122" spans="15:22" s="2" customFormat="1" ht="12.75">
      <c r="O122" s="314"/>
      <c r="P122" s="314"/>
      <c r="Q122" s="314"/>
      <c r="R122" s="314"/>
      <c r="S122" s="314"/>
      <c r="T122" s="314"/>
      <c r="U122" s="314"/>
      <c r="V122" s="314"/>
    </row>
    <row r="123" spans="15:22" s="2" customFormat="1" ht="12.75">
      <c r="O123" s="314"/>
      <c r="P123" s="314"/>
      <c r="Q123" s="314"/>
      <c r="R123" s="314"/>
      <c r="S123" s="314"/>
      <c r="T123" s="314"/>
      <c r="U123" s="314"/>
      <c r="V123" s="314"/>
    </row>
    <row r="124" spans="15:22" s="2" customFormat="1" ht="12.75">
      <c r="O124" s="314"/>
      <c r="P124" s="314"/>
      <c r="Q124" s="314"/>
      <c r="R124" s="314"/>
      <c r="S124" s="314"/>
      <c r="T124" s="314"/>
      <c r="U124" s="314"/>
      <c r="V124" s="314"/>
    </row>
    <row r="125" spans="15:22" s="2" customFormat="1" ht="12.75">
      <c r="O125" s="314"/>
      <c r="P125" s="314"/>
      <c r="Q125" s="314"/>
      <c r="R125" s="314"/>
      <c r="S125" s="314"/>
      <c r="T125" s="314"/>
      <c r="U125" s="314"/>
      <c r="V125" s="314"/>
    </row>
    <row r="126" spans="15:22" s="2" customFormat="1" ht="12.75">
      <c r="O126" s="314"/>
      <c r="P126" s="314"/>
      <c r="Q126" s="314"/>
      <c r="R126" s="314"/>
      <c r="S126" s="314"/>
      <c r="T126" s="314"/>
      <c r="U126" s="314"/>
      <c r="V126" s="314"/>
    </row>
    <row r="127" spans="15:22" s="2" customFormat="1" ht="12.75">
      <c r="O127" s="314"/>
      <c r="P127" s="314"/>
      <c r="Q127" s="314"/>
      <c r="R127" s="314"/>
      <c r="S127" s="314"/>
      <c r="T127" s="314"/>
      <c r="U127" s="314"/>
      <c r="V127" s="314"/>
    </row>
    <row r="128" spans="15:22" s="2" customFormat="1" ht="12.75">
      <c r="O128" s="314"/>
      <c r="P128" s="314"/>
      <c r="Q128" s="314"/>
      <c r="R128" s="314"/>
      <c r="S128" s="314"/>
      <c r="T128" s="314"/>
      <c r="U128" s="314"/>
      <c r="V128" s="314"/>
    </row>
    <row r="129" spans="15:22" s="2" customFormat="1" ht="12.75">
      <c r="O129" s="314"/>
      <c r="P129" s="314"/>
      <c r="Q129" s="314"/>
      <c r="R129" s="314"/>
      <c r="S129" s="314"/>
      <c r="T129" s="314"/>
      <c r="U129" s="314"/>
      <c r="V129" s="314"/>
    </row>
    <row r="130" spans="15:22" s="2" customFormat="1" ht="12.75">
      <c r="O130" s="314"/>
      <c r="P130" s="314"/>
      <c r="Q130" s="314"/>
      <c r="R130" s="314"/>
      <c r="S130" s="314"/>
      <c r="T130" s="314"/>
      <c r="U130" s="314"/>
      <c r="V130" s="314"/>
    </row>
    <row r="131" spans="15:22" s="2" customFormat="1" ht="12.75">
      <c r="O131" s="314"/>
      <c r="P131" s="314"/>
      <c r="Q131" s="314"/>
      <c r="R131" s="314"/>
      <c r="S131" s="314"/>
      <c r="T131" s="314"/>
      <c r="U131" s="314"/>
      <c r="V131" s="314"/>
    </row>
    <row r="132" spans="15:22" s="2" customFormat="1" ht="12.75">
      <c r="O132" s="314"/>
      <c r="P132" s="314"/>
      <c r="Q132" s="314"/>
      <c r="R132" s="314"/>
      <c r="S132" s="314"/>
      <c r="T132" s="314"/>
      <c r="U132" s="314"/>
      <c r="V132" s="314"/>
    </row>
    <row r="133" spans="15:22" s="2" customFormat="1" ht="12.75">
      <c r="O133" s="314"/>
      <c r="P133" s="314"/>
      <c r="Q133" s="314"/>
      <c r="R133" s="314"/>
      <c r="S133" s="314"/>
      <c r="T133" s="314"/>
      <c r="U133" s="314"/>
      <c r="V133" s="314"/>
    </row>
    <row r="134" spans="15:22" s="2" customFormat="1" ht="12.75">
      <c r="O134" s="314"/>
      <c r="P134" s="314"/>
      <c r="Q134" s="314"/>
      <c r="R134" s="314"/>
      <c r="S134" s="314"/>
      <c r="T134" s="314"/>
      <c r="U134" s="314"/>
      <c r="V134" s="314"/>
    </row>
    <row r="135" spans="15:22" s="2" customFormat="1" ht="12.75">
      <c r="O135" s="314"/>
      <c r="P135" s="314"/>
      <c r="Q135" s="314"/>
      <c r="R135" s="314"/>
      <c r="S135" s="314"/>
      <c r="T135" s="314"/>
      <c r="U135" s="314"/>
      <c r="V135" s="314"/>
    </row>
    <row r="136" spans="15:22" s="2" customFormat="1" ht="12.75">
      <c r="O136" s="314"/>
      <c r="P136" s="314"/>
      <c r="Q136" s="314"/>
      <c r="R136" s="314"/>
      <c r="S136" s="314"/>
      <c r="T136" s="314"/>
      <c r="U136" s="314"/>
      <c r="V136" s="314"/>
    </row>
    <row r="137" spans="15:22" s="2" customFormat="1" ht="12.75">
      <c r="O137" s="314"/>
      <c r="P137" s="314"/>
      <c r="Q137" s="314"/>
      <c r="R137" s="314"/>
      <c r="S137" s="314"/>
      <c r="T137" s="314"/>
      <c r="U137" s="314"/>
      <c r="V137" s="314"/>
    </row>
    <row r="138" spans="15:22" s="2" customFormat="1" ht="12.75">
      <c r="O138" s="314"/>
      <c r="P138" s="314"/>
      <c r="Q138" s="314"/>
      <c r="R138" s="314"/>
      <c r="S138" s="314"/>
      <c r="T138" s="314"/>
      <c r="U138" s="314"/>
      <c r="V138" s="314"/>
    </row>
    <row r="139" spans="15:22" s="2" customFormat="1" ht="12.75">
      <c r="O139" s="314"/>
      <c r="P139" s="314"/>
      <c r="Q139" s="314"/>
      <c r="R139" s="314"/>
      <c r="S139" s="314"/>
      <c r="T139" s="314"/>
      <c r="U139" s="314"/>
      <c r="V139" s="314"/>
    </row>
    <row r="140" spans="15:22" s="2" customFormat="1" ht="12.75">
      <c r="O140" s="314"/>
      <c r="P140" s="314"/>
      <c r="Q140" s="314"/>
      <c r="R140" s="314"/>
      <c r="S140" s="314"/>
      <c r="T140" s="314"/>
      <c r="U140" s="314"/>
      <c r="V140" s="314"/>
    </row>
    <row r="141" spans="15:22" s="2" customFormat="1" ht="12.75">
      <c r="O141" s="314"/>
      <c r="P141" s="314"/>
      <c r="Q141" s="314"/>
      <c r="R141" s="314"/>
      <c r="S141" s="314"/>
      <c r="T141" s="314"/>
      <c r="U141" s="314"/>
      <c r="V141" s="314"/>
    </row>
    <row r="142" spans="15:22" s="2" customFormat="1" ht="12.75">
      <c r="O142" s="314"/>
      <c r="P142" s="314"/>
      <c r="Q142" s="314"/>
      <c r="R142" s="314"/>
      <c r="S142" s="314"/>
      <c r="T142" s="314"/>
      <c r="U142" s="314"/>
      <c r="V142" s="314"/>
    </row>
    <row r="143" spans="15:22" s="2" customFormat="1" ht="12.75">
      <c r="O143" s="314"/>
      <c r="P143" s="314"/>
      <c r="Q143" s="314"/>
      <c r="R143" s="314"/>
      <c r="S143" s="314"/>
      <c r="T143" s="314"/>
      <c r="U143" s="314"/>
      <c r="V143" s="314"/>
    </row>
    <row r="144" spans="15:22" s="2" customFormat="1" ht="12.75">
      <c r="O144" s="314"/>
      <c r="P144" s="314"/>
      <c r="Q144" s="314"/>
      <c r="R144" s="314"/>
      <c r="S144" s="314"/>
      <c r="T144" s="314"/>
      <c r="U144" s="314"/>
      <c r="V144" s="314"/>
    </row>
    <row r="145" spans="9:41" s="2" customFormat="1" ht="12.75">
      <c r="O145" s="314"/>
      <c r="P145" s="314"/>
      <c r="Q145" s="314"/>
      <c r="R145" s="314"/>
      <c r="S145" s="314"/>
      <c r="T145" s="314"/>
      <c r="U145" s="314"/>
      <c r="V145" s="314"/>
    </row>
    <row r="146" spans="9:41" s="2" customFormat="1">
      <c r="I146" s="1"/>
      <c r="J146" s="1"/>
      <c r="K146" s="1"/>
      <c r="O146" s="314"/>
      <c r="P146" s="314"/>
      <c r="Q146" s="314"/>
      <c r="R146" s="314"/>
      <c r="S146" s="314"/>
      <c r="T146" s="314"/>
      <c r="U146" s="314"/>
      <c r="V146" s="314"/>
    </row>
    <row r="147" spans="9:41" s="2" customFormat="1">
      <c r="I147" s="1"/>
      <c r="J147" s="1"/>
      <c r="K147" s="1"/>
      <c r="O147" s="314"/>
      <c r="P147" s="314"/>
      <c r="Q147" s="314"/>
      <c r="R147" s="314"/>
      <c r="S147" s="314"/>
      <c r="T147" s="314"/>
      <c r="U147" s="314"/>
      <c r="V147" s="314"/>
    </row>
    <row r="148" spans="9:41">
      <c r="AB148" s="2"/>
      <c r="AC148" s="2"/>
      <c r="AD148" s="2"/>
      <c r="AE148" s="2"/>
      <c r="AF148" s="2"/>
      <c r="AG148" s="2"/>
      <c r="AH148" s="2"/>
      <c r="AI148" s="2"/>
      <c r="AJ148" s="2"/>
      <c r="AK148" s="2"/>
      <c r="AL148" s="2"/>
      <c r="AM148" s="2"/>
      <c r="AN148" s="2"/>
      <c r="AO148" s="2"/>
    </row>
    <row r="149" spans="9:41">
      <c r="AB149" s="2"/>
      <c r="AC149" s="2"/>
      <c r="AD149" s="2"/>
      <c r="AE149" s="2"/>
      <c r="AF149" s="2"/>
      <c r="AG149" s="2"/>
      <c r="AH149" s="2"/>
      <c r="AI149" s="2"/>
      <c r="AJ149" s="2"/>
      <c r="AK149" s="2"/>
      <c r="AL149" s="2"/>
      <c r="AM149" s="2"/>
      <c r="AN149" s="2"/>
      <c r="AO149" s="2"/>
    </row>
    <row r="150" spans="9:41">
      <c r="AB150" s="2"/>
      <c r="AC150" s="2"/>
      <c r="AD150" s="2"/>
      <c r="AE150" s="2"/>
      <c r="AF150" s="2"/>
      <c r="AG150" s="2"/>
      <c r="AH150" s="2"/>
      <c r="AI150" s="2"/>
      <c r="AJ150" s="2"/>
      <c r="AK150" s="2"/>
      <c r="AL150" s="2"/>
      <c r="AM150" s="2"/>
      <c r="AN150" s="2"/>
      <c r="AO150" s="2"/>
    </row>
    <row r="151" spans="9:41">
      <c r="AB151" s="2"/>
      <c r="AC151" s="2"/>
      <c r="AD151" s="2"/>
      <c r="AE151" s="2"/>
      <c r="AF151" s="2"/>
      <c r="AG151" s="2"/>
      <c r="AH151" s="2"/>
      <c r="AI151" s="2"/>
      <c r="AJ151" s="2"/>
      <c r="AK151" s="2"/>
      <c r="AL151" s="2"/>
      <c r="AM151" s="2"/>
      <c r="AN151" s="2"/>
      <c r="AO151" s="2"/>
    </row>
    <row r="152" spans="9:41">
      <c r="AB152" s="2"/>
      <c r="AC152" s="2"/>
      <c r="AD152" s="2"/>
      <c r="AE152" s="2"/>
      <c r="AF152" s="2"/>
      <c r="AG152" s="2"/>
      <c r="AH152" s="2"/>
      <c r="AI152" s="2"/>
      <c r="AJ152" s="2"/>
      <c r="AK152" s="2"/>
      <c r="AL152" s="2"/>
      <c r="AM152" s="2"/>
      <c r="AN152" s="2"/>
      <c r="AO152" s="2"/>
    </row>
  </sheetData>
  <sheetProtection insertRows="0" insertHyperlinks="0"/>
  <protectedRanges>
    <protectedRange sqref="C17:C47" name="Range1"/>
  </protectedRanges>
  <mergeCells count="91">
    <mergeCell ref="J25:L25"/>
    <mergeCell ref="D60:E60"/>
    <mergeCell ref="D59:E59"/>
    <mergeCell ref="D52:E52"/>
    <mergeCell ref="AD9:AO9"/>
    <mergeCell ref="J33:L33"/>
    <mergeCell ref="J34:L34"/>
    <mergeCell ref="J36:L36"/>
    <mergeCell ref="J45:L45"/>
    <mergeCell ref="O9:V9"/>
    <mergeCell ref="J20:L20"/>
    <mergeCell ref="J16:L16"/>
    <mergeCell ref="J17:L17"/>
    <mergeCell ref="J18:L18"/>
    <mergeCell ref="J26:L26"/>
    <mergeCell ref="A8:M9"/>
    <mergeCell ref="D58:E58"/>
    <mergeCell ref="D54:E54"/>
    <mergeCell ref="D65:E65"/>
    <mergeCell ref="D64:E64"/>
    <mergeCell ref="F52:G52"/>
    <mergeCell ref="G65:H65"/>
    <mergeCell ref="F56:G56"/>
    <mergeCell ref="H60:I60"/>
    <mergeCell ref="F61:G61"/>
    <mergeCell ref="H61:I61"/>
    <mergeCell ref="J30:L30"/>
    <mergeCell ref="J31:L31"/>
    <mergeCell ref="F51:G51"/>
    <mergeCell ref="J39:L39"/>
    <mergeCell ref="J47:L47"/>
    <mergeCell ref="J32:L32"/>
    <mergeCell ref="J40:L40"/>
    <mergeCell ref="J46:L46"/>
    <mergeCell ref="J37:L37"/>
    <mergeCell ref="J38:L38"/>
    <mergeCell ref="J35:L35"/>
    <mergeCell ref="J41:L41"/>
    <mergeCell ref="J42:L42"/>
    <mergeCell ref="J43:L43"/>
    <mergeCell ref="C68:J68"/>
    <mergeCell ref="H54:I54"/>
    <mergeCell ref="H57:I57"/>
    <mergeCell ref="H62:I62"/>
    <mergeCell ref="H59:I59"/>
    <mergeCell ref="H55:I55"/>
    <mergeCell ref="H58:I58"/>
    <mergeCell ref="H56:I56"/>
    <mergeCell ref="G64:H64"/>
    <mergeCell ref="D57:E57"/>
    <mergeCell ref="F59:G59"/>
    <mergeCell ref="F60:G60"/>
    <mergeCell ref="D55:E55"/>
    <mergeCell ref="C67:J67"/>
    <mergeCell ref="D56:E56"/>
    <mergeCell ref="D61:E61"/>
    <mergeCell ref="D10:I10"/>
    <mergeCell ref="D11:I11"/>
    <mergeCell ref="D13:E13"/>
    <mergeCell ref="G13:I13"/>
    <mergeCell ref="F54:G54"/>
    <mergeCell ref="D12:E12"/>
    <mergeCell ref="D51:E51"/>
    <mergeCell ref="D53:E53"/>
    <mergeCell ref="G12:I12"/>
    <mergeCell ref="H52:I52"/>
    <mergeCell ref="H51:I51"/>
    <mergeCell ref="AJ12:AO12"/>
    <mergeCell ref="AD16:AO16"/>
    <mergeCell ref="J23:L23"/>
    <mergeCell ref="X9:AB9"/>
    <mergeCell ref="B62:C62"/>
    <mergeCell ref="D62:E62"/>
    <mergeCell ref="F62:G62"/>
    <mergeCell ref="J27:L27"/>
    <mergeCell ref="J28:L28"/>
    <mergeCell ref="J29:L29"/>
    <mergeCell ref="F58:G58"/>
    <mergeCell ref="H53:I53"/>
    <mergeCell ref="F57:G57"/>
    <mergeCell ref="F53:G53"/>
    <mergeCell ref="J44:L44"/>
    <mergeCell ref="F55:G55"/>
    <mergeCell ref="X8:AB8"/>
    <mergeCell ref="X16:AB16"/>
    <mergeCell ref="J24:L24"/>
    <mergeCell ref="AD12:AG12"/>
    <mergeCell ref="AH12:AI12"/>
    <mergeCell ref="J19:L19"/>
    <mergeCell ref="J21:L21"/>
    <mergeCell ref="J22:L22"/>
  </mergeCells>
  <phoneticPr fontId="3"/>
  <conditionalFormatting sqref="B17:L47">
    <cfRule type="expression" dxfId="88" priority="1" stopIfTrue="1">
      <formula>$S17&gt;1</formula>
    </cfRule>
    <cfRule type="expression" dxfId="87" priority="2" stopIfTrue="1">
      <formula>MOD(ROW(),2)=0</formula>
    </cfRule>
    <cfRule type="expression" dxfId="86" priority="3" stopIfTrue="1">
      <formula>MOD(ROW(),2)=1</formula>
    </cfRule>
  </conditionalFormatting>
  <dataValidations disablePrompts="1" count="1">
    <dataValidation allowBlank="1" showInputMessage="1" showErrorMessage="1" promptTitle="Formula" prompt="Do not input value" sqref="O12:V12"/>
  </dataValidations>
  <hyperlinks>
    <hyperlink ref="H2" r:id="rId1"/>
    <hyperlink ref="H3" r:id="rId2"/>
  </hyperlinks>
  <printOptions horizontalCentered="1"/>
  <pageMargins left="0.59055118110236227" right="0.39370078740157483" top="0.39370078740157483" bottom="0.39370078740157483" header="0.51181102362204722" footer="0.51181102362204722"/>
  <pageSetup paperSize="9" scale="99" orientation="portrait" r:id="rId3"/>
  <headerFooter alignWithMargins="0"/>
  <drawing r:id="rId4"/>
  <legacyDrawing r:id="rId5"/>
  <oleObjects>
    <oleObject progId="Microsoft Word Picture" shapeId="1094" r:id="rId6"/>
  </oleObjects>
</worksheet>
</file>

<file path=xl/worksheets/sheet2.xml><?xml version="1.0" encoding="utf-8"?>
<worksheet xmlns="http://schemas.openxmlformats.org/spreadsheetml/2006/main" xmlns:r="http://schemas.openxmlformats.org/officeDocument/2006/relationships">
  <sheetPr codeName="Sheet6"/>
  <dimension ref="A1:Q54"/>
  <sheetViews>
    <sheetView view="pageBreakPreview" zoomScale="85" zoomScaleNormal="100" workbookViewId="0">
      <pane xSplit="4" ySplit="3" topLeftCell="E4" activePane="bottomRight" state="frozen"/>
      <selection activeCell="F19" sqref="F19"/>
      <selection pane="topRight" activeCell="F19" sqref="F19"/>
      <selection pane="bottomLeft" activeCell="F19" sqref="F19"/>
      <selection pane="bottomRight" activeCell="C18" sqref="C18"/>
    </sheetView>
  </sheetViews>
  <sheetFormatPr defaultRowHeight="15"/>
  <cols>
    <col min="1" max="1" width="1.625" style="8" customWidth="1"/>
    <col min="2" max="2" width="3.875" style="8" bestFit="1" customWidth="1"/>
    <col min="3" max="4" width="30.625" style="8" customWidth="1"/>
    <col min="5" max="5" width="13.875" style="8" customWidth="1"/>
    <col min="6" max="6" width="12.25" style="8" customWidth="1"/>
    <col min="7" max="7" width="10" style="8" bestFit="1" customWidth="1"/>
    <col min="8" max="8" width="12.25" style="8" customWidth="1"/>
    <col min="9" max="9" width="7.25" style="26" hidden="1" customWidth="1"/>
    <col min="10" max="11" width="7.25" style="27" customWidth="1"/>
    <col min="12" max="12" width="31.875" style="8" customWidth="1"/>
    <col min="13" max="13" width="1.625" style="8" customWidth="1"/>
    <col min="14" max="16384" width="9" style="8"/>
  </cols>
  <sheetData>
    <row r="1" spans="1:17">
      <c r="B1" s="619" t="s">
        <v>13</v>
      </c>
      <c r="C1" s="619"/>
      <c r="D1" s="619"/>
      <c r="E1" s="619"/>
      <c r="F1" s="619"/>
      <c r="G1" s="619"/>
      <c r="H1" s="619"/>
      <c r="I1" s="619"/>
      <c r="J1" s="619"/>
      <c r="K1" s="619"/>
      <c r="L1" s="619"/>
    </row>
    <row r="2" spans="1:17" ht="15.75" thickBot="1">
      <c r="C2" s="65" t="s">
        <v>130</v>
      </c>
      <c r="D2" s="95"/>
      <c r="E2" s="259"/>
      <c r="G2" s="620" t="s">
        <v>155</v>
      </c>
      <c r="H2" s="620"/>
      <c r="I2" s="620"/>
      <c r="J2" s="620"/>
      <c r="K2" s="383">
        <f>Legend!F25</f>
        <v>1</v>
      </c>
      <c r="L2" s="8">
        <v>0.3</v>
      </c>
    </row>
    <row r="3" spans="1:17" ht="26.25" thickBot="1">
      <c r="B3" s="10" t="s">
        <v>9</v>
      </c>
      <c r="C3" s="11" t="s">
        <v>2</v>
      </c>
      <c r="D3" s="11" t="s">
        <v>10</v>
      </c>
      <c r="E3" s="133" t="s">
        <v>211</v>
      </c>
      <c r="F3" s="134" t="s">
        <v>381</v>
      </c>
      <c r="G3" s="17" t="s">
        <v>208</v>
      </c>
      <c r="H3" s="17" t="s">
        <v>224</v>
      </c>
      <c r="I3" s="146" t="s">
        <v>206</v>
      </c>
      <c r="J3" s="28" t="s">
        <v>101</v>
      </c>
      <c r="K3" s="29" t="s">
        <v>102</v>
      </c>
      <c r="L3" s="13" t="s">
        <v>11</v>
      </c>
      <c r="Q3" s="8" t="s">
        <v>349</v>
      </c>
    </row>
    <row r="4" spans="1:17" ht="15" customHeight="1">
      <c r="A4" s="140"/>
      <c r="B4" s="157">
        <f t="shared" ref="B4:B35" si="0">ROW() - 3</f>
        <v>1</v>
      </c>
      <c r="C4" s="196" t="s">
        <v>453</v>
      </c>
      <c r="D4" s="197" t="s">
        <v>453</v>
      </c>
      <c r="E4" s="211">
        <f>F4*$L$2</f>
        <v>2911.5</v>
      </c>
      <c r="F4" s="212">
        <v>9705</v>
      </c>
      <c r="G4" s="198"/>
      <c r="H4" s="198">
        <v>4</v>
      </c>
      <c r="I4" s="184">
        <f t="shared" ref="I4:I35" si="1">IF(TRIM(D4)="","",IF(G4&lt;&gt;"",G4*E4/PG3_Base*H4*PG3_Unit,1*E4/PG3_Base*H4*PG3_Unit))</f>
        <v>58.23</v>
      </c>
      <c r="J4" s="184">
        <f t="shared" ref="J4:J35" si="2">IF(TRIM(C4)="","",CEILING(I4*UnitPoint_Effort_Rate*10/5,1)*5/10)</f>
        <v>116.5</v>
      </c>
      <c r="K4" s="167">
        <f t="shared" ref="K4:K35" si="3">IF(TRIM(J4)="","",IF(I4 &gt;= 1,CEILING(J4*Source_Review_Rate*PG3_Review_Complexity*10/5,1)*5/10,J4*Source_Review_Rate*PG3_Review_Complexity))</f>
        <v>23.5</v>
      </c>
      <c r="L4" s="168"/>
      <c r="Q4" s="8">
        <f>COUNTIF($D$4:$D$53,D4)</f>
        <v>1</v>
      </c>
    </row>
    <row r="5" spans="1:17" ht="15" customHeight="1">
      <c r="A5" s="140"/>
      <c r="B5" s="160">
        <f t="shared" si="0"/>
        <v>2</v>
      </c>
      <c r="C5" s="554" t="s">
        <v>455</v>
      </c>
      <c r="D5" s="558" t="s">
        <v>455</v>
      </c>
      <c r="E5" s="211">
        <f t="shared" ref="E5:E18" si="4">F5*$L$2</f>
        <v>823.5</v>
      </c>
      <c r="F5" s="214">
        <v>2745</v>
      </c>
      <c r="G5" s="200"/>
      <c r="H5" s="200">
        <v>4</v>
      </c>
      <c r="I5" s="186">
        <f t="shared" si="1"/>
        <v>16.47</v>
      </c>
      <c r="J5" s="186">
        <f t="shared" si="2"/>
        <v>33</v>
      </c>
      <c r="K5" s="171">
        <f t="shared" si="3"/>
        <v>7</v>
      </c>
      <c r="L5" s="172"/>
      <c r="Q5" s="8">
        <f t="shared" ref="Q5:Q53" si="5">COUNTIF($D$4:$D$53,D5)</f>
        <v>1</v>
      </c>
    </row>
    <row r="6" spans="1:17">
      <c r="A6" s="140"/>
      <c r="B6" s="162">
        <f t="shared" si="0"/>
        <v>3</v>
      </c>
      <c r="C6" s="555" t="s">
        <v>456</v>
      </c>
      <c r="D6" s="559" t="s">
        <v>456</v>
      </c>
      <c r="E6" s="211">
        <f t="shared" si="4"/>
        <v>2703.6</v>
      </c>
      <c r="F6" s="216">
        <v>9012</v>
      </c>
      <c r="G6" s="202"/>
      <c r="H6" s="200">
        <v>4</v>
      </c>
      <c r="I6" s="188">
        <f t="shared" si="1"/>
        <v>54.071999999999996</v>
      </c>
      <c r="J6" s="188">
        <f t="shared" si="2"/>
        <v>108.5</v>
      </c>
      <c r="K6" s="174">
        <f t="shared" si="3"/>
        <v>22</v>
      </c>
      <c r="L6" s="175"/>
      <c r="Q6" s="8">
        <f t="shared" si="5"/>
        <v>1</v>
      </c>
    </row>
    <row r="7" spans="1:17">
      <c r="A7" s="140"/>
      <c r="B7" s="160">
        <f t="shared" si="0"/>
        <v>4</v>
      </c>
      <c r="C7" s="554" t="s">
        <v>457</v>
      </c>
      <c r="D7" s="558" t="s">
        <v>457</v>
      </c>
      <c r="E7" s="211">
        <f t="shared" si="4"/>
        <v>926.69999999999993</v>
      </c>
      <c r="F7" s="214">
        <v>3089</v>
      </c>
      <c r="G7" s="200"/>
      <c r="H7" s="200">
        <v>4</v>
      </c>
      <c r="I7" s="186">
        <f t="shared" si="1"/>
        <v>18.533999999999999</v>
      </c>
      <c r="J7" s="186">
        <f t="shared" si="2"/>
        <v>37.5</v>
      </c>
      <c r="K7" s="171">
        <f t="shared" si="3"/>
        <v>7.5</v>
      </c>
      <c r="L7" s="172"/>
      <c r="Q7" s="8">
        <f t="shared" si="5"/>
        <v>1</v>
      </c>
    </row>
    <row r="8" spans="1:17">
      <c r="B8" s="162">
        <f t="shared" si="0"/>
        <v>5</v>
      </c>
      <c r="C8" s="556" t="s">
        <v>458</v>
      </c>
      <c r="D8" s="559" t="s">
        <v>458</v>
      </c>
      <c r="E8" s="211">
        <f t="shared" si="4"/>
        <v>96</v>
      </c>
      <c r="F8" s="216">
        <v>320</v>
      </c>
      <c r="G8" s="202"/>
      <c r="H8" s="200">
        <v>4</v>
      </c>
      <c r="I8" s="188">
        <f t="shared" si="1"/>
        <v>1.92</v>
      </c>
      <c r="J8" s="188">
        <f t="shared" si="2"/>
        <v>4</v>
      </c>
      <c r="K8" s="174">
        <f t="shared" si="3"/>
        <v>1</v>
      </c>
      <c r="L8" s="175"/>
      <c r="Q8" s="8">
        <f t="shared" si="5"/>
        <v>1</v>
      </c>
    </row>
    <row r="9" spans="1:17">
      <c r="B9" s="160">
        <f t="shared" si="0"/>
        <v>6</v>
      </c>
      <c r="C9" s="554" t="s">
        <v>459</v>
      </c>
      <c r="D9" s="560" t="s">
        <v>459</v>
      </c>
      <c r="E9" s="211">
        <f t="shared" si="4"/>
        <v>7675.5</v>
      </c>
      <c r="F9" s="214">
        <v>25585</v>
      </c>
      <c r="G9" s="200"/>
      <c r="H9" s="200">
        <v>4</v>
      </c>
      <c r="I9" s="186">
        <f t="shared" si="1"/>
        <v>153.51</v>
      </c>
      <c r="J9" s="186">
        <f t="shared" si="2"/>
        <v>307.5</v>
      </c>
      <c r="K9" s="171">
        <f t="shared" si="3"/>
        <v>61.5</v>
      </c>
      <c r="L9" s="172"/>
      <c r="Q9" s="8">
        <f t="shared" si="5"/>
        <v>1</v>
      </c>
    </row>
    <row r="10" spans="1:17">
      <c r="B10" s="162">
        <f t="shared" si="0"/>
        <v>7</v>
      </c>
      <c r="C10" s="555" t="s">
        <v>460</v>
      </c>
      <c r="D10" s="559" t="s">
        <v>460</v>
      </c>
      <c r="E10" s="215">
        <f t="shared" si="4"/>
        <v>109.2</v>
      </c>
      <c r="F10" s="216">
        <v>364</v>
      </c>
      <c r="G10" s="202"/>
      <c r="H10" s="200">
        <v>5</v>
      </c>
      <c r="I10" s="188">
        <f t="shared" si="1"/>
        <v>2.7300000000000004</v>
      </c>
      <c r="J10" s="188">
        <f t="shared" si="2"/>
        <v>5.5</v>
      </c>
      <c r="K10" s="174">
        <f t="shared" si="3"/>
        <v>1.5</v>
      </c>
      <c r="L10" s="175"/>
      <c r="Q10" s="8">
        <f t="shared" si="5"/>
        <v>1</v>
      </c>
    </row>
    <row r="11" spans="1:17">
      <c r="B11" s="160">
        <f t="shared" si="0"/>
        <v>8</v>
      </c>
      <c r="C11" s="190" t="s">
        <v>462</v>
      </c>
      <c r="D11" s="199" t="s">
        <v>462</v>
      </c>
      <c r="E11" s="215">
        <f t="shared" si="4"/>
        <v>158.4</v>
      </c>
      <c r="F11" s="216">
        <v>528</v>
      </c>
      <c r="G11" s="200"/>
      <c r="H11" s="200">
        <v>5</v>
      </c>
      <c r="I11" s="186">
        <f t="shared" si="1"/>
        <v>3.96</v>
      </c>
      <c r="J11" s="186">
        <f t="shared" si="2"/>
        <v>8</v>
      </c>
      <c r="K11" s="171">
        <f t="shared" si="3"/>
        <v>2</v>
      </c>
      <c r="L11" s="172"/>
      <c r="Q11" s="8">
        <f t="shared" si="5"/>
        <v>1</v>
      </c>
    </row>
    <row r="12" spans="1:17">
      <c r="B12" s="162">
        <f t="shared" si="0"/>
        <v>9</v>
      </c>
      <c r="C12" s="557" t="s">
        <v>463</v>
      </c>
      <c r="D12" s="561" t="s">
        <v>463</v>
      </c>
      <c r="E12" s="215">
        <f t="shared" si="4"/>
        <v>312.59999999999997</v>
      </c>
      <c r="F12" s="216">
        <v>1042</v>
      </c>
      <c r="G12" s="202"/>
      <c r="H12" s="200">
        <v>5</v>
      </c>
      <c r="I12" s="188">
        <f t="shared" si="1"/>
        <v>7.8149999999999986</v>
      </c>
      <c r="J12" s="188">
        <f t="shared" si="2"/>
        <v>16</v>
      </c>
      <c r="K12" s="174">
        <f t="shared" si="3"/>
        <v>3.5</v>
      </c>
      <c r="L12" s="175"/>
      <c r="Q12" s="8">
        <f t="shared" si="5"/>
        <v>1</v>
      </c>
    </row>
    <row r="13" spans="1:17">
      <c r="B13" s="160">
        <f t="shared" si="0"/>
        <v>10</v>
      </c>
      <c r="C13" s="190" t="s">
        <v>465</v>
      </c>
      <c r="D13" s="199" t="s">
        <v>465</v>
      </c>
      <c r="E13" s="215">
        <f t="shared" si="4"/>
        <v>213</v>
      </c>
      <c r="F13" s="216">
        <v>710</v>
      </c>
      <c r="G13" s="200"/>
      <c r="H13" s="200">
        <v>5</v>
      </c>
      <c r="I13" s="186">
        <f t="shared" si="1"/>
        <v>5.3249999999999993</v>
      </c>
      <c r="J13" s="186">
        <f t="shared" si="2"/>
        <v>11</v>
      </c>
      <c r="K13" s="171">
        <f t="shared" si="3"/>
        <v>2.5</v>
      </c>
      <c r="L13" s="172"/>
      <c r="Q13" s="8">
        <f t="shared" si="5"/>
        <v>1</v>
      </c>
    </row>
    <row r="14" spans="1:17">
      <c r="B14" s="162">
        <f t="shared" si="0"/>
        <v>11</v>
      </c>
      <c r="C14" s="555" t="s">
        <v>466</v>
      </c>
      <c r="D14" s="559" t="s">
        <v>466</v>
      </c>
      <c r="E14" s="215">
        <f t="shared" si="4"/>
        <v>342.9</v>
      </c>
      <c r="F14" s="216">
        <v>1143</v>
      </c>
      <c r="G14" s="202"/>
      <c r="H14" s="200">
        <v>5</v>
      </c>
      <c r="I14" s="188">
        <f t="shared" si="1"/>
        <v>8.5724999999999998</v>
      </c>
      <c r="J14" s="188">
        <f t="shared" si="2"/>
        <v>17.5</v>
      </c>
      <c r="K14" s="174">
        <f t="shared" si="3"/>
        <v>3.5</v>
      </c>
      <c r="L14" s="175"/>
      <c r="Q14" s="8">
        <f t="shared" si="5"/>
        <v>1</v>
      </c>
    </row>
    <row r="15" spans="1:17">
      <c r="B15" s="160">
        <f t="shared" si="0"/>
        <v>12</v>
      </c>
      <c r="C15" s="554" t="s">
        <v>467</v>
      </c>
      <c r="D15" s="558" t="s">
        <v>467</v>
      </c>
      <c r="E15" s="215">
        <f t="shared" si="4"/>
        <v>290.7</v>
      </c>
      <c r="F15" s="216">
        <v>969</v>
      </c>
      <c r="G15" s="200"/>
      <c r="H15" s="200">
        <v>5</v>
      </c>
      <c r="I15" s="186">
        <f t="shared" si="1"/>
        <v>7.2675000000000001</v>
      </c>
      <c r="J15" s="186">
        <f t="shared" si="2"/>
        <v>15</v>
      </c>
      <c r="K15" s="171">
        <f t="shared" si="3"/>
        <v>3</v>
      </c>
      <c r="L15" s="172"/>
      <c r="Q15" s="8">
        <f t="shared" si="5"/>
        <v>1</v>
      </c>
    </row>
    <row r="16" spans="1:17" ht="15" customHeight="1">
      <c r="B16" s="162">
        <f t="shared" si="0"/>
        <v>13</v>
      </c>
      <c r="C16" s="555" t="s">
        <v>468</v>
      </c>
      <c r="D16" s="555" t="s">
        <v>468</v>
      </c>
      <c r="E16" s="215">
        <f t="shared" si="4"/>
        <v>956.4</v>
      </c>
      <c r="F16" s="216">
        <v>3188</v>
      </c>
      <c r="G16" s="202"/>
      <c r="H16" s="200">
        <v>5</v>
      </c>
      <c r="I16" s="188">
        <f t="shared" si="1"/>
        <v>23.91</v>
      </c>
      <c r="J16" s="188">
        <f t="shared" si="2"/>
        <v>48</v>
      </c>
      <c r="K16" s="174">
        <f t="shared" si="3"/>
        <v>10</v>
      </c>
      <c r="L16" s="175"/>
      <c r="Q16" s="8">
        <f t="shared" si="5"/>
        <v>1</v>
      </c>
    </row>
    <row r="17" spans="2:17">
      <c r="B17" s="160">
        <f t="shared" si="0"/>
        <v>14</v>
      </c>
      <c r="C17" s="190" t="s">
        <v>470</v>
      </c>
      <c r="D17" s="190" t="s">
        <v>470</v>
      </c>
      <c r="E17" s="215">
        <f t="shared" si="4"/>
        <v>42</v>
      </c>
      <c r="F17" s="216">
        <v>140</v>
      </c>
      <c r="G17" s="200"/>
      <c r="H17" s="200">
        <v>5</v>
      </c>
      <c r="I17" s="186">
        <f t="shared" si="1"/>
        <v>1.05</v>
      </c>
      <c r="J17" s="186">
        <f t="shared" si="2"/>
        <v>2.5</v>
      </c>
      <c r="K17" s="171">
        <f t="shared" si="3"/>
        <v>0.5</v>
      </c>
      <c r="L17" s="172"/>
      <c r="Q17" s="8">
        <f t="shared" si="5"/>
        <v>1</v>
      </c>
    </row>
    <row r="18" spans="2:17">
      <c r="B18" s="162">
        <f t="shared" si="0"/>
        <v>15</v>
      </c>
      <c r="C18" s="555" t="s">
        <v>471</v>
      </c>
      <c r="D18" s="555" t="s">
        <v>471</v>
      </c>
      <c r="E18" s="215">
        <f t="shared" si="4"/>
        <v>882.9</v>
      </c>
      <c r="F18" s="216">
        <v>2943</v>
      </c>
      <c r="G18" s="202"/>
      <c r="H18" s="200">
        <v>5</v>
      </c>
      <c r="I18" s="188">
        <f t="shared" si="1"/>
        <v>22.072500000000002</v>
      </c>
      <c r="J18" s="188">
        <f t="shared" si="2"/>
        <v>44.5</v>
      </c>
      <c r="K18" s="174">
        <f t="shared" si="3"/>
        <v>9</v>
      </c>
      <c r="L18" s="175"/>
      <c r="Q18" s="8">
        <f t="shared" si="5"/>
        <v>1</v>
      </c>
    </row>
    <row r="19" spans="2:17">
      <c r="B19" s="160">
        <f t="shared" si="0"/>
        <v>16</v>
      </c>
      <c r="C19" s="190"/>
      <c r="D19" s="190"/>
      <c r="E19" s="213"/>
      <c r="F19" s="214"/>
      <c r="G19" s="200"/>
      <c r="H19" s="200"/>
      <c r="I19" s="186" t="str">
        <f t="shared" si="1"/>
        <v/>
      </c>
      <c r="J19" s="186" t="str">
        <f t="shared" si="2"/>
        <v/>
      </c>
      <c r="K19" s="171" t="str">
        <f t="shared" si="3"/>
        <v/>
      </c>
      <c r="L19" s="172"/>
      <c r="Q19" s="8">
        <f t="shared" si="5"/>
        <v>0</v>
      </c>
    </row>
    <row r="20" spans="2:17">
      <c r="B20" s="162">
        <f t="shared" si="0"/>
        <v>17</v>
      </c>
      <c r="C20" s="189"/>
      <c r="D20" s="189"/>
      <c r="E20" s="215"/>
      <c r="F20" s="216"/>
      <c r="G20" s="202"/>
      <c r="H20" s="202"/>
      <c r="I20" s="188" t="str">
        <f t="shared" si="1"/>
        <v/>
      </c>
      <c r="J20" s="188" t="str">
        <f t="shared" si="2"/>
        <v/>
      </c>
      <c r="K20" s="174" t="str">
        <f t="shared" si="3"/>
        <v/>
      </c>
      <c r="L20" s="175"/>
      <c r="Q20" s="8">
        <f t="shared" si="5"/>
        <v>0</v>
      </c>
    </row>
    <row r="21" spans="2:17">
      <c r="B21" s="160">
        <f t="shared" si="0"/>
        <v>18</v>
      </c>
      <c r="C21" s="190"/>
      <c r="D21" s="190"/>
      <c r="E21" s="213"/>
      <c r="F21" s="214"/>
      <c r="G21" s="200"/>
      <c r="H21" s="200"/>
      <c r="I21" s="186" t="str">
        <f t="shared" si="1"/>
        <v/>
      </c>
      <c r="J21" s="186" t="str">
        <f t="shared" si="2"/>
        <v/>
      </c>
      <c r="K21" s="171" t="str">
        <f t="shared" si="3"/>
        <v/>
      </c>
      <c r="L21" s="172"/>
      <c r="Q21" s="8">
        <f t="shared" si="5"/>
        <v>0</v>
      </c>
    </row>
    <row r="22" spans="2:17">
      <c r="B22" s="162">
        <f t="shared" si="0"/>
        <v>19</v>
      </c>
      <c r="C22" s="191"/>
      <c r="D22" s="191"/>
      <c r="E22" s="215"/>
      <c r="F22" s="216"/>
      <c r="G22" s="202"/>
      <c r="H22" s="202"/>
      <c r="I22" s="188" t="str">
        <f t="shared" si="1"/>
        <v/>
      </c>
      <c r="J22" s="188" t="str">
        <f t="shared" si="2"/>
        <v/>
      </c>
      <c r="K22" s="174" t="str">
        <f t="shared" si="3"/>
        <v/>
      </c>
      <c r="L22" s="175"/>
      <c r="Q22" s="8">
        <f t="shared" si="5"/>
        <v>0</v>
      </c>
    </row>
    <row r="23" spans="2:17">
      <c r="B23" s="160">
        <f t="shared" si="0"/>
        <v>20</v>
      </c>
      <c r="C23" s="190"/>
      <c r="D23" s="190"/>
      <c r="E23" s="213"/>
      <c r="F23" s="214"/>
      <c r="G23" s="200"/>
      <c r="H23" s="200"/>
      <c r="I23" s="186" t="str">
        <f t="shared" si="1"/>
        <v/>
      </c>
      <c r="J23" s="186" t="str">
        <f t="shared" si="2"/>
        <v/>
      </c>
      <c r="K23" s="171" t="str">
        <f t="shared" si="3"/>
        <v/>
      </c>
      <c r="L23" s="172"/>
      <c r="Q23" s="8">
        <f t="shared" si="5"/>
        <v>0</v>
      </c>
    </row>
    <row r="24" spans="2:17">
      <c r="B24" s="162">
        <f t="shared" si="0"/>
        <v>21</v>
      </c>
      <c r="C24" s="189"/>
      <c r="D24" s="189"/>
      <c r="E24" s="215"/>
      <c r="F24" s="216"/>
      <c r="G24" s="202"/>
      <c r="H24" s="202"/>
      <c r="I24" s="188" t="str">
        <f t="shared" si="1"/>
        <v/>
      </c>
      <c r="J24" s="188" t="str">
        <f t="shared" si="2"/>
        <v/>
      </c>
      <c r="K24" s="174" t="str">
        <f t="shared" si="3"/>
        <v/>
      </c>
      <c r="L24" s="175"/>
      <c r="Q24" s="8">
        <f t="shared" si="5"/>
        <v>0</v>
      </c>
    </row>
    <row r="25" spans="2:17">
      <c r="B25" s="160">
        <f t="shared" si="0"/>
        <v>22</v>
      </c>
      <c r="C25" s="190"/>
      <c r="D25" s="190"/>
      <c r="E25" s="213"/>
      <c r="F25" s="214"/>
      <c r="G25" s="200"/>
      <c r="H25" s="200"/>
      <c r="I25" s="186" t="str">
        <f t="shared" si="1"/>
        <v/>
      </c>
      <c r="J25" s="186" t="str">
        <f t="shared" si="2"/>
        <v/>
      </c>
      <c r="K25" s="171" t="str">
        <f t="shared" si="3"/>
        <v/>
      </c>
      <c r="L25" s="172"/>
      <c r="Q25" s="8">
        <f t="shared" si="5"/>
        <v>0</v>
      </c>
    </row>
    <row r="26" spans="2:17">
      <c r="B26" s="162">
        <f t="shared" si="0"/>
        <v>23</v>
      </c>
      <c r="C26" s="189"/>
      <c r="D26" s="189"/>
      <c r="E26" s="215"/>
      <c r="F26" s="216"/>
      <c r="G26" s="202"/>
      <c r="H26" s="202"/>
      <c r="I26" s="188" t="str">
        <f t="shared" si="1"/>
        <v/>
      </c>
      <c r="J26" s="188" t="str">
        <f t="shared" si="2"/>
        <v/>
      </c>
      <c r="K26" s="174" t="str">
        <f t="shared" si="3"/>
        <v/>
      </c>
      <c r="L26" s="175"/>
      <c r="Q26" s="8">
        <f t="shared" si="5"/>
        <v>0</v>
      </c>
    </row>
    <row r="27" spans="2:17">
      <c r="B27" s="160">
        <f t="shared" si="0"/>
        <v>24</v>
      </c>
      <c r="C27" s="190"/>
      <c r="D27" s="190"/>
      <c r="E27" s="213"/>
      <c r="F27" s="214"/>
      <c r="G27" s="200"/>
      <c r="H27" s="200"/>
      <c r="I27" s="186" t="str">
        <f t="shared" si="1"/>
        <v/>
      </c>
      <c r="J27" s="186" t="str">
        <f t="shared" si="2"/>
        <v/>
      </c>
      <c r="K27" s="171" t="str">
        <f t="shared" si="3"/>
        <v/>
      </c>
      <c r="L27" s="172"/>
      <c r="Q27" s="8">
        <f t="shared" si="5"/>
        <v>0</v>
      </c>
    </row>
    <row r="28" spans="2:17">
      <c r="B28" s="162">
        <f t="shared" si="0"/>
        <v>25</v>
      </c>
      <c r="C28" s="189"/>
      <c r="D28" s="189"/>
      <c r="E28" s="215"/>
      <c r="F28" s="216"/>
      <c r="G28" s="202"/>
      <c r="H28" s="202"/>
      <c r="I28" s="188" t="str">
        <f t="shared" si="1"/>
        <v/>
      </c>
      <c r="J28" s="188" t="str">
        <f t="shared" si="2"/>
        <v/>
      </c>
      <c r="K28" s="174" t="str">
        <f t="shared" si="3"/>
        <v/>
      </c>
      <c r="L28" s="175"/>
      <c r="Q28" s="8">
        <f t="shared" si="5"/>
        <v>0</v>
      </c>
    </row>
    <row r="29" spans="2:17">
      <c r="B29" s="160">
        <f t="shared" si="0"/>
        <v>26</v>
      </c>
      <c r="C29" s="190"/>
      <c r="D29" s="190"/>
      <c r="E29" s="213"/>
      <c r="F29" s="214"/>
      <c r="G29" s="200"/>
      <c r="H29" s="200"/>
      <c r="I29" s="186" t="str">
        <f t="shared" si="1"/>
        <v/>
      </c>
      <c r="J29" s="186" t="str">
        <f t="shared" si="2"/>
        <v/>
      </c>
      <c r="K29" s="171" t="str">
        <f t="shared" si="3"/>
        <v/>
      </c>
      <c r="L29" s="172"/>
      <c r="Q29" s="8">
        <f t="shared" si="5"/>
        <v>0</v>
      </c>
    </row>
    <row r="30" spans="2:17">
      <c r="B30" s="162">
        <f t="shared" si="0"/>
        <v>27</v>
      </c>
      <c r="C30" s="189"/>
      <c r="D30" s="189"/>
      <c r="E30" s="215"/>
      <c r="F30" s="216"/>
      <c r="G30" s="202"/>
      <c r="H30" s="202"/>
      <c r="I30" s="188" t="str">
        <f t="shared" si="1"/>
        <v/>
      </c>
      <c r="J30" s="188" t="str">
        <f t="shared" si="2"/>
        <v/>
      </c>
      <c r="K30" s="174" t="str">
        <f t="shared" si="3"/>
        <v/>
      </c>
      <c r="L30" s="175"/>
      <c r="Q30" s="8">
        <f t="shared" si="5"/>
        <v>0</v>
      </c>
    </row>
    <row r="31" spans="2:17">
      <c r="B31" s="160">
        <f t="shared" si="0"/>
        <v>28</v>
      </c>
      <c r="C31" s="190"/>
      <c r="D31" s="190"/>
      <c r="E31" s="213"/>
      <c r="F31" s="214"/>
      <c r="G31" s="200"/>
      <c r="H31" s="200"/>
      <c r="I31" s="186" t="str">
        <f t="shared" si="1"/>
        <v/>
      </c>
      <c r="J31" s="186" t="str">
        <f t="shared" si="2"/>
        <v/>
      </c>
      <c r="K31" s="171" t="str">
        <f t="shared" si="3"/>
        <v/>
      </c>
      <c r="L31" s="172"/>
      <c r="Q31" s="8">
        <f t="shared" si="5"/>
        <v>0</v>
      </c>
    </row>
    <row r="32" spans="2:17">
      <c r="B32" s="162">
        <f t="shared" si="0"/>
        <v>29</v>
      </c>
      <c r="C32" s="191"/>
      <c r="D32" s="191"/>
      <c r="E32" s="215"/>
      <c r="F32" s="216"/>
      <c r="G32" s="202"/>
      <c r="H32" s="202"/>
      <c r="I32" s="188" t="str">
        <f t="shared" si="1"/>
        <v/>
      </c>
      <c r="J32" s="188" t="str">
        <f t="shared" si="2"/>
        <v/>
      </c>
      <c r="K32" s="174" t="str">
        <f t="shared" si="3"/>
        <v/>
      </c>
      <c r="L32" s="175"/>
      <c r="Q32" s="8">
        <f t="shared" si="5"/>
        <v>0</v>
      </c>
    </row>
    <row r="33" spans="2:17">
      <c r="B33" s="160">
        <f t="shared" si="0"/>
        <v>30</v>
      </c>
      <c r="C33" s="190"/>
      <c r="D33" s="190"/>
      <c r="E33" s="213"/>
      <c r="F33" s="214"/>
      <c r="G33" s="200"/>
      <c r="H33" s="200"/>
      <c r="I33" s="186" t="str">
        <f t="shared" si="1"/>
        <v/>
      </c>
      <c r="J33" s="186" t="str">
        <f t="shared" si="2"/>
        <v/>
      </c>
      <c r="K33" s="171" t="str">
        <f t="shared" si="3"/>
        <v/>
      </c>
      <c r="L33" s="172"/>
      <c r="Q33" s="8">
        <f t="shared" si="5"/>
        <v>0</v>
      </c>
    </row>
    <row r="34" spans="2:17">
      <c r="B34" s="162">
        <f t="shared" si="0"/>
        <v>31</v>
      </c>
      <c r="C34" s="189"/>
      <c r="D34" s="189"/>
      <c r="E34" s="215"/>
      <c r="F34" s="216"/>
      <c r="G34" s="202"/>
      <c r="H34" s="202"/>
      <c r="I34" s="188" t="str">
        <f t="shared" si="1"/>
        <v/>
      </c>
      <c r="J34" s="188" t="str">
        <f t="shared" si="2"/>
        <v/>
      </c>
      <c r="K34" s="174" t="str">
        <f t="shared" si="3"/>
        <v/>
      </c>
      <c r="L34" s="175"/>
      <c r="Q34" s="8">
        <f t="shared" si="5"/>
        <v>0</v>
      </c>
    </row>
    <row r="35" spans="2:17">
      <c r="B35" s="160">
        <f t="shared" si="0"/>
        <v>32</v>
      </c>
      <c r="C35" s="190"/>
      <c r="D35" s="190"/>
      <c r="E35" s="213"/>
      <c r="F35" s="214"/>
      <c r="G35" s="200"/>
      <c r="H35" s="200"/>
      <c r="I35" s="186" t="str">
        <f t="shared" si="1"/>
        <v/>
      </c>
      <c r="J35" s="186" t="str">
        <f t="shared" si="2"/>
        <v/>
      </c>
      <c r="K35" s="171" t="str">
        <f t="shared" si="3"/>
        <v/>
      </c>
      <c r="L35" s="172"/>
      <c r="Q35" s="8">
        <f t="shared" si="5"/>
        <v>0</v>
      </c>
    </row>
    <row r="36" spans="2:17">
      <c r="B36" s="162">
        <f t="shared" ref="B36:B53" si="6">ROW() - 3</f>
        <v>33</v>
      </c>
      <c r="C36" s="189"/>
      <c r="D36" s="189"/>
      <c r="E36" s="215"/>
      <c r="F36" s="216"/>
      <c r="G36" s="202"/>
      <c r="H36" s="202"/>
      <c r="I36" s="188" t="str">
        <f t="shared" ref="I36:I53" si="7">IF(TRIM(D36)="","",IF(G36&lt;&gt;"",G36*E36/PG3_Base*H36*PG3_Unit,1*E36/PG3_Base*H36*PG3_Unit))</f>
        <v/>
      </c>
      <c r="J36" s="188" t="str">
        <f t="shared" ref="J36:J53" si="8">IF(TRIM(C36)="","",CEILING(I36*UnitPoint_Effort_Rate*10/5,1)*5/10)</f>
        <v/>
      </c>
      <c r="K36" s="174" t="str">
        <f t="shared" ref="K36:K53" si="9">IF(TRIM(J36)="","",IF(I36 &gt;= 1,CEILING(J36*Source_Review_Rate*PG3_Review_Complexity*10/5,1)*5/10,J36*Source_Review_Rate*PG3_Review_Complexity))</f>
        <v/>
      </c>
      <c r="L36" s="175"/>
      <c r="Q36" s="8">
        <f t="shared" si="5"/>
        <v>0</v>
      </c>
    </row>
    <row r="37" spans="2:17">
      <c r="B37" s="160">
        <f t="shared" si="6"/>
        <v>34</v>
      </c>
      <c r="C37" s="190"/>
      <c r="D37" s="190"/>
      <c r="E37" s="213"/>
      <c r="F37" s="214"/>
      <c r="G37" s="200"/>
      <c r="H37" s="200"/>
      <c r="I37" s="186" t="str">
        <f t="shared" si="7"/>
        <v/>
      </c>
      <c r="J37" s="186" t="str">
        <f t="shared" si="8"/>
        <v/>
      </c>
      <c r="K37" s="171" t="str">
        <f t="shared" si="9"/>
        <v/>
      </c>
      <c r="L37" s="172"/>
      <c r="Q37" s="8">
        <f t="shared" si="5"/>
        <v>0</v>
      </c>
    </row>
    <row r="38" spans="2:17">
      <c r="B38" s="162">
        <f t="shared" si="6"/>
        <v>35</v>
      </c>
      <c r="C38" s="189"/>
      <c r="D38" s="189"/>
      <c r="E38" s="215"/>
      <c r="F38" s="216"/>
      <c r="G38" s="202"/>
      <c r="H38" s="202"/>
      <c r="I38" s="188" t="str">
        <f t="shared" si="7"/>
        <v/>
      </c>
      <c r="J38" s="188" t="str">
        <f t="shared" si="8"/>
        <v/>
      </c>
      <c r="K38" s="174" t="str">
        <f t="shared" si="9"/>
        <v/>
      </c>
      <c r="L38" s="175"/>
      <c r="Q38" s="8">
        <f t="shared" si="5"/>
        <v>0</v>
      </c>
    </row>
    <row r="39" spans="2:17">
      <c r="B39" s="160">
        <f t="shared" si="6"/>
        <v>36</v>
      </c>
      <c r="C39" s="190"/>
      <c r="D39" s="190"/>
      <c r="E39" s="213"/>
      <c r="F39" s="214"/>
      <c r="G39" s="200"/>
      <c r="H39" s="200"/>
      <c r="I39" s="186" t="str">
        <f t="shared" si="7"/>
        <v/>
      </c>
      <c r="J39" s="186" t="str">
        <f t="shared" si="8"/>
        <v/>
      </c>
      <c r="K39" s="171" t="str">
        <f t="shared" si="9"/>
        <v/>
      </c>
      <c r="L39" s="172"/>
      <c r="Q39" s="8">
        <f t="shared" si="5"/>
        <v>0</v>
      </c>
    </row>
    <row r="40" spans="2:17">
      <c r="B40" s="162">
        <f t="shared" si="6"/>
        <v>37</v>
      </c>
      <c r="C40" s="189"/>
      <c r="D40" s="189"/>
      <c r="E40" s="215"/>
      <c r="F40" s="216"/>
      <c r="G40" s="202"/>
      <c r="H40" s="202"/>
      <c r="I40" s="188" t="str">
        <f t="shared" si="7"/>
        <v/>
      </c>
      <c r="J40" s="188" t="str">
        <f t="shared" si="8"/>
        <v/>
      </c>
      <c r="K40" s="174" t="str">
        <f t="shared" si="9"/>
        <v/>
      </c>
      <c r="L40" s="175"/>
      <c r="Q40" s="8">
        <f t="shared" si="5"/>
        <v>0</v>
      </c>
    </row>
    <row r="41" spans="2:17">
      <c r="B41" s="160">
        <f t="shared" si="6"/>
        <v>38</v>
      </c>
      <c r="C41" s="190"/>
      <c r="D41" s="190"/>
      <c r="E41" s="213"/>
      <c r="F41" s="214"/>
      <c r="G41" s="200"/>
      <c r="H41" s="200"/>
      <c r="I41" s="186" t="str">
        <f t="shared" si="7"/>
        <v/>
      </c>
      <c r="J41" s="186" t="str">
        <f t="shared" si="8"/>
        <v/>
      </c>
      <c r="K41" s="171" t="str">
        <f t="shared" si="9"/>
        <v/>
      </c>
      <c r="L41" s="172"/>
      <c r="Q41" s="8">
        <f t="shared" si="5"/>
        <v>0</v>
      </c>
    </row>
    <row r="42" spans="2:17">
      <c r="B42" s="162">
        <f t="shared" si="6"/>
        <v>39</v>
      </c>
      <c r="C42" s="191"/>
      <c r="D42" s="191"/>
      <c r="E42" s="215"/>
      <c r="F42" s="216"/>
      <c r="G42" s="202"/>
      <c r="H42" s="202"/>
      <c r="I42" s="188" t="str">
        <f t="shared" si="7"/>
        <v/>
      </c>
      <c r="J42" s="188" t="str">
        <f t="shared" si="8"/>
        <v/>
      </c>
      <c r="K42" s="174" t="str">
        <f t="shared" si="9"/>
        <v/>
      </c>
      <c r="L42" s="175"/>
      <c r="Q42" s="8">
        <f t="shared" si="5"/>
        <v>0</v>
      </c>
    </row>
    <row r="43" spans="2:17">
      <c r="B43" s="160">
        <f t="shared" si="6"/>
        <v>40</v>
      </c>
      <c r="C43" s="190"/>
      <c r="D43" s="190"/>
      <c r="E43" s="213"/>
      <c r="F43" s="214"/>
      <c r="G43" s="200"/>
      <c r="H43" s="200"/>
      <c r="I43" s="186" t="str">
        <f t="shared" si="7"/>
        <v/>
      </c>
      <c r="J43" s="186" t="str">
        <f t="shared" si="8"/>
        <v/>
      </c>
      <c r="K43" s="171" t="str">
        <f t="shared" si="9"/>
        <v/>
      </c>
      <c r="L43" s="172"/>
      <c r="Q43" s="8">
        <f t="shared" si="5"/>
        <v>0</v>
      </c>
    </row>
    <row r="44" spans="2:17">
      <c r="B44" s="162">
        <f t="shared" si="6"/>
        <v>41</v>
      </c>
      <c r="C44" s="189"/>
      <c r="D44" s="189"/>
      <c r="E44" s="215"/>
      <c r="F44" s="216"/>
      <c r="G44" s="202"/>
      <c r="H44" s="202"/>
      <c r="I44" s="188" t="str">
        <f t="shared" si="7"/>
        <v/>
      </c>
      <c r="J44" s="188" t="str">
        <f t="shared" si="8"/>
        <v/>
      </c>
      <c r="K44" s="174" t="str">
        <f t="shared" si="9"/>
        <v/>
      </c>
      <c r="L44" s="175"/>
      <c r="Q44" s="8">
        <f t="shared" si="5"/>
        <v>0</v>
      </c>
    </row>
    <row r="45" spans="2:17">
      <c r="B45" s="160">
        <f t="shared" si="6"/>
        <v>42</v>
      </c>
      <c r="C45" s="190"/>
      <c r="D45" s="190"/>
      <c r="E45" s="213"/>
      <c r="F45" s="214"/>
      <c r="G45" s="200"/>
      <c r="H45" s="200"/>
      <c r="I45" s="186" t="str">
        <f t="shared" si="7"/>
        <v/>
      </c>
      <c r="J45" s="186" t="str">
        <f t="shared" si="8"/>
        <v/>
      </c>
      <c r="K45" s="171" t="str">
        <f t="shared" si="9"/>
        <v/>
      </c>
      <c r="L45" s="172"/>
      <c r="Q45" s="8">
        <f t="shared" si="5"/>
        <v>0</v>
      </c>
    </row>
    <row r="46" spans="2:17">
      <c r="B46" s="162">
        <f t="shared" si="6"/>
        <v>43</v>
      </c>
      <c r="C46" s="189"/>
      <c r="D46" s="189"/>
      <c r="E46" s="215"/>
      <c r="F46" s="216"/>
      <c r="G46" s="202"/>
      <c r="H46" s="202"/>
      <c r="I46" s="188" t="str">
        <f t="shared" si="7"/>
        <v/>
      </c>
      <c r="J46" s="188" t="str">
        <f t="shared" si="8"/>
        <v/>
      </c>
      <c r="K46" s="174" t="str">
        <f t="shared" si="9"/>
        <v/>
      </c>
      <c r="L46" s="175"/>
      <c r="Q46" s="8">
        <f t="shared" si="5"/>
        <v>0</v>
      </c>
    </row>
    <row r="47" spans="2:17">
      <c r="B47" s="160">
        <f t="shared" si="6"/>
        <v>44</v>
      </c>
      <c r="C47" s="190"/>
      <c r="D47" s="190"/>
      <c r="E47" s="213"/>
      <c r="F47" s="214"/>
      <c r="G47" s="200"/>
      <c r="H47" s="200"/>
      <c r="I47" s="186" t="str">
        <f t="shared" si="7"/>
        <v/>
      </c>
      <c r="J47" s="186" t="str">
        <f t="shared" si="8"/>
        <v/>
      </c>
      <c r="K47" s="171" t="str">
        <f t="shared" si="9"/>
        <v/>
      </c>
      <c r="L47" s="172"/>
      <c r="Q47" s="8">
        <f t="shared" si="5"/>
        <v>0</v>
      </c>
    </row>
    <row r="48" spans="2:17">
      <c r="B48" s="162">
        <f t="shared" si="6"/>
        <v>45</v>
      </c>
      <c r="C48" s="189"/>
      <c r="D48" s="189"/>
      <c r="E48" s="215"/>
      <c r="F48" s="216"/>
      <c r="G48" s="202"/>
      <c r="H48" s="202"/>
      <c r="I48" s="188" t="str">
        <f t="shared" si="7"/>
        <v/>
      </c>
      <c r="J48" s="188" t="str">
        <f t="shared" si="8"/>
        <v/>
      </c>
      <c r="K48" s="174" t="str">
        <f t="shared" si="9"/>
        <v/>
      </c>
      <c r="L48" s="175"/>
      <c r="Q48" s="8">
        <f t="shared" si="5"/>
        <v>0</v>
      </c>
    </row>
    <row r="49" spans="2:17">
      <c r="B49" s="160">
        <f t="shared" si="6"/>
        <v>46</v>
      </c>
      <c r="C49" s="190"/>
      <c r="D49" s="190"/>
      <c r="E49" s="213"/>
      <c r="F49" s="214"/>
      <c r="G49" s="200"/>
      <c r="H49" s="200"/>
      <c r="I49" s="186" t="str">
        <f t="shared" si="7"/>
        <v/>
      </c>
      <c r="J49" s="186" t="str">
        <f t="shared" si="8"/>
        <v/>
      </c>
      <c r="K49" s="171" t="str">
        <f t="shared" si="9"/>
        <v/>
      </c>
      <c r="L49" s="172"/>
      <c r="Q49" s="8">
        <f t="shared" si="5"/>
        <v>0</v>
      </c>
    </row>
    <row r="50" spans="2:17">
      <c r="B50" s="162">
        <f t="shared" si="6"/>
        <v>47</v>
      </c>
      <c r="C50" s="189"/>
      <c r="D50" s="189"/>
      <c r="E50" s="215"/>
      <c r="F50" s="216"/>
      <c r="G50" s="202"/>
      <c r="H50" s="202"/>
      <c r="I50" s="188" t="str">
        <f t="shared" si="7"/>
        <v/>
      </c>
      <c r="J50" s="188" t="str">
        <f t="shared" si="8"/>
        <v/>
      </c>
      <c r="K50" s="174" t="str">
        <f t="shared" si="9"/>
        <v/>
      </c>
      <c r="L50" s="175"/>
      <c r="Q50" s="8">
        <f t="shared" si="5"/>
        <v>0</v>
      </c>
    </row>
    <row r="51" spans="2:17">
      <c r="B51" s="160">
        <f t="shared" si="6"/>
        <v>48</v>
      </c>
      <c r="C51" s="190"/>
      <c r="D51" s="190"/>
      <c r="E51" s="213"/>
      <c r="F51" s="214"/>
      <c r="G51" s="200"/>
      <c r="H51" s="200"/>
      <c r="I51" s="186" t="str">
        <f t="shared" si="7"/>
        <v/>
      </c>
      <c r="J51" s="186" t="str">
        <f t="shared" si="8"/>
        <v/>
      </c>
      <c r="K51" s="171" t="str">
        <f t="shared" si="9"/>
        <v/>
      </c>
      <c r="L51" s="172"/>
      <c r="Q51" s="8">
        <f t="shared" si="5"/>
        <v>0</v>
      </c>
    </row>
    <row r="52" spans="2:17">
      <c r="B52" s="162">
        <f t="shared" si="6"/>
        <v>49</v>
      </c>
      <c r="C52" s="191"/>
      <c r="D52" s="191"/>
      <c r="E52" s="215"/>
      <c r="F52" s="216"/>
      <c r="G52" s="202"/>
      <c r="H52" s="202"/>
      <c r="I52" s="188" t="str">
        <f t="shared" si="7"/>
        <v/>
      </c>
      <c r="J52" s="188" t="str">
        <f t="shared" si="8"/>
        <v/>
      </c>
      <c r="K52" s="174" t="str">
        <f t="shared" si="9"/>
        <v/>
      </c>
      <c r="L52" s="175"/>
      <c r="Q52" s="8">
        <f t="shared" si="5"/>
        <v>0</v>
      </c>
    </row>
    <row r="53" spans="2:17" ht="15.75" thickBot="1">
      <c r="B53" s="192">
        <f t="shared" si="6"/>
        <v>50</v>
      </c>
      <c r="C53" s="193"/>
      <c r="D53" s="193"/>
      <c r="E53" s="217"/>
      <c r="F53" s="218"/>
      <c r="G53" s="206"/>
      <c r="H53" s="206"/>
      <c r="I53" s="195" t="str">
        <f t="shared" si="7"/>
        <v/>
      </c>
      <c r="J53" s="195" t="str">
        <f t="shared" si="8"/>
        <v/>
      </c>
      <c r="K53" s="179" t="str">
        <f t="shared" si="9"/>
        <v/>
      </c>
      <c r="L53" s="180"/>
      <c r="Q53" s="8">
        <f t="shared" si="5"/>
        <v>0</v>
      </c>
    </row>
    <row r="54" spans="2:17">
      <c r="B54" s="137"/>
      <c r="C54" s="137"/>
      <c r="D54" s="137"/>
      <c r="E54" s="137"/>
      <c r="F54" s="137"/>
      <c r="G54" s="137"/>
      <c r="I54" s="139"/>
      <c r="J54" s="138"/>
      <c r="K54" s="138"/>
      <c r="L54" s="137"/>
    </row>
  </sheetData>
  <protectedRanges>
    <protectedRange sqref="L4:L53" name="Range2"/>
    <protectedRange sqref="E19:F53 C4:D53 G4:G53" name="Range1"/>
    <protectedRange sqref="E4:F18" name="Range1_1"/>
    <protectedRange sqref="H4:H53" name="Range1_2"/>
  </protectedRanges>
  <mergeCells count="2">
    <mergeCell ref="B1:L1"/>
    <mergeCell ref="G2:J2"/>
  </mergeCells>
  <phoneticPr fontId="3"/>
  <conditionalFormatting sqref="L4:L53 B4:H53">
    <cfRule type="expression" dxfId="85" priority="1" stopIfTrue="1">
      <formula>$Q4&gt;1</formula>
    </cfRule>
    <cfRule type="expression" dxfId="84" priority="2" stopIfTrue="1">
      <formula>MOD(ROW(),2)=0</formula>
    </cfRule>
    <cfRule type="expression" dxfId="83" priority="3" stopIfTrue="1">
      <formula>MOD(ROW(),2)=1</formula>
    </cfRule>
  </conditionalFormatting>
  <conditionalFormatting sqref="I4:K53">
    <cfRule type="expression" dxfId="82" priority="4" stopIfTrue="1">
      <formula>MOD(ROW(),2)=0</formula>
    </cfRule>
    <cfRule type="expression" dxfId="81" priority="5" stopIfTrue="1">
      <formula>MOD(ROW(),2)=1</formula>
    </cfRule>
  </conditionalFormatting>
  <dataValidations count="1">
    <dataValidation showInputMessage="1" showErrorMessage="1" sqref="E4:H53"/>
  </dataValidations>
  <printOptions horizontalCentered="1"/>
  <pageMargins left="0.59055118110236227" right="0.39370078740157483" top="0.39370078740157483" bottom="0.39370078740157483" header="0.51181102362204722" footer="0.51181102362204722"/>
  <pageSetup paperSize="9" scale="81"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8"/>
  <dimension ref="A1:S54"/>
  <sheetViews>
    <sheetView view="pageBreakPreview" zoomScale="85" zoomScaleNormal="100" workbookViewId="0">
      <pane xSplit="4" ySplit="3" topLeftCell="E4" activePane="bottomRight" state="frozen"/>
      <selection activeCell="F19" sqref="F19"/>
      <selection pane="topRight" activeCell="F19" sqref="F19"/>
      <selection pane="bottomLeft" activeCell="F19" sqref="F19"/>
      <selection pane="bottomRight" activeCell="D32" sqref="D32"/>
    </sheetView>
  </sheetViews>
  <sheetFormatPr defaultRowHeight="15"/>
  <cols>
    <col min="1" max="1" width="1.625" style="8" customWidth="1"/>
    <col min="2" max="2" width="3.875" style="8" bestFit="1" customWidth="1"/>
    <col min="3" max="4" width="30.625" style="8" customWidth="1"/>
    <col min="5" max="6" width="13.5" style="27" customWidth="1"/>
    <col min="7" max="9" width="7.25" style="26" hidden="1" customWidth="1"/>
    <col min="10" max="12" width="7.25" style="27" customWidth="1"/>
    <col min="13" max="13" width="31.875" style="8" customWidth="1"/>
    <col min="14" max="14" width="1.625" style="8" customWidth="1"/>
    <col min="15" max="16384" width="9" style="8"/>
  </cols>
  <sheetData>
    <row r="1" spans="1:19">
      <c r="B1" s="619" t="s">
        <v>426</v>
      </c>
      <c r="C1" s="619"/>
      <c r="D1" s="619"/>
      <c r="E1" s="619"/>
      <c r="F1" s="619"/>
      <c r="G1" s="619"/>
      <c r="H1" s="619"/>
      <c r="I1" s="619"/>
      <c r="J1" s="619"/>
      <c r="K1" s="619"/>
      <c r="L1" s="619"/>
      <c r="M1" s="619"/>
    </row>
    <row r="2" spans="1:19" ht="15.75" thickBot="1">
      <c r="C2" s="65" t="s">
        <v>130</v>
      </c>
      <c r="D2" s="95"/>
      <c r="E2" s="95"/>
      <c r="F2" s="95"/>
      <c r="G2" s="95"/>
      <c r="H2" s="95"/>
      <c r="I2" s="147"/>
      <c r="J2" s="147"/>
      <c r="K2" s="147"/>
      <c r="L2" s="147"/>
    </row>
    <row r="3" spans="1:19" ht="26.25" thickBot="1">
      <c r="B3" s="10" t="s">
        <v>1</v>
      </c>
      <c r="C3" s="11" t="s">
        <v>2</v>
      </c>
      <c r="D3" s="11" t="s">
        <v>10</v>
      </c>
      <c r="E3" s="333" t="s">
        <v>211</v>
      </c>
      <c r="F3" s="136" t="s">
        <v>381</v>
      </c>
      <c r="G3" s="541" t="s">
        <v>444</v>
      </c>
      <c r="H3" s="35" t="s">
        <v>321</v>
      </c>
      <c r="I3" s="302" t="s">
        <v>322</v>
      </c>
      <c r="J3" s="30" t="s">
        <v>443</v>
      </c>
      <c r="K3" s="549" t="s">
        <v>319</v>
      </c>
      <c r="L3" s="329" t="s">
        <v>320</v>
      </c>
      <c r="M3" s="13" t="s">
        <v>3</v>
      </c>
      <c r="S3" s="8" t="s">
        <v>349</v>
      </c>
    </row>
    <row r="4" spans="1:19" ht="25.5">
      <c r="A4" s="140"/>
      <c r="B4" s="157">
        <f t="shared" ref="B4:B53" si="0">ROW() - 3</f>
        <v>1</v>
      </c>
      <c r="C4" s="196" t="s">
        <v>453</v>
      </c>
      <c r="D4" s="197" t="s">
        <v>453</v>
      </c>
      <c r="E4" s="221">
        <f>IF(TRIM(C4)="","",(SUMIF('PG1'!$D$4:$D$53,D4,'PG1'!$L$4:$L$53)) + (SUMIF('PG2'!$D$4:$D$53,D4,'PG2'!$E$4:$E$53)) + (SUMIF('PG3'!$D$4:$D$53,D4,'PG3'!$E$4:$E$53)))</f>
        <v>2911.5</v>
      </c>
      <c r="F4" s="167">
        <f>IF(TRIM(D4)="","",(SUMIF('PG2'!$D$4:$D$53,D4,'PG2'!$F$4:$F$53)) + (SUMIF('PG3'!$D$4:$D$53,D4,'PG3'!$F$4:$F$53)))</f>
        <v>9705</v>
      </c>
      <c r="G4" s="542">
        <f t="shared" ref="G4:G35" si="1">IF(TRIM(D4)="","",(1-IsEstimateUT)*((E4/1000)+(F4/1000)*SampleLOCConvRate)*(AvgBugUT)*Fix1UTBugFUP)</f>
        <v>0</v>
      </c>
      <c r="H4" s="159">
        <f t="shared" ref="H4:H35" si="2">IF(TRIM(D4)="","",(1-IsEstimateCT)*((E4/1000)+(F4/1000)*SampleLOCConvRate)*(UTLatentDefect-CTLatentDefect)*Fix1CTBugFUP)</f>
        <v>0</v>
      </c>
      <c r="I4" s="167">
        <f t="shared" ref="I4:I35" si="3">IF(TRIM(D4)="","",(1-IsEstimateST)*((E4/1000)+(F4/1000)*SampleLOCConvRate)*CTLatentDefect*Fix1STBugFUP)</f>
        <v>7.7640000000000002</v>
      </c>
      <c r="J4" s="184">
        <f t="shared" ref="J4:J35" si="4">IF(TRIM(D4)="","",IF(G4 &gt;= 1,CEILING(G4*UnitPoint_Effort_Rate*10/5,1)*5/10,G4*UnitPoint_Effort_Rate))</f>
        <v>0</v>
      </c>
      <c r="K4" s="550">
        <f t="shared" ref="K4:K35" si="5">IF(TRIM(D4)="","",IF(H4 &gt;= 1,CEILING(H4*UnitPoint_Effort_Rate*10/5,1)*5/10,H4*UnitPoint_Effort_Rate))</f>
        <v>0</v>
      </c>
      <c r="L4" s="167">
        <f t="shared" ref="L4:L35" si="6">IF(TRIM(D4)="","",IF(I4 &gt;= 1,CEILING(I4*UnitPoint_Effort_Rate*10/5,1)*5/10,I4*UnitPoint_Effort_Rate))</f>
        <v>16</v>
      </c>
      <c r="M4" s="168"/>
      <c r="P4" s="324">
        <f>SUM(K4:L4)</f>
        <v>16</v>
      </c>
      <c r="S4" s="8">
        <f>COUNTIF($D$4:$D$53,D4)</f>
        <v>1</v>
      </c>
    </row>
    <row r="5" spans="1:19" ht="25.5">
      <c r="A5" s="140"/>
      <c r="B5" s="160">
        <f t="shared" si="0"/>
        <v>2</v>
      </c>
      <c r="C5" s="554" t="s">
        <v>455</v>
      </c>
      <c r="D5" s="558" t="s">
        <v>455</v>
      </c>
      <c r="E5" s="264">
        <f>IF(TRIM(C5)="","",(SUMIF('PG1'!$D$4:$D$53,D5,'PG1'!$L$4:$L$53)) + (SUMIF('PG2'!$D$4:$D$53,D5,'PG2'!$E$4:$E$53)) + (SUMIF('PG3'!$D$4:$D$53,D5,'PG3'!$E$4:$E$53)))</f>
        <v>823.5</v>
      </c>
      <c r="F5" s="171">
        <f>IF(TRIM(D5)="","",(SUMIF('PG2'!$D$4:$D$53,D5,'PG2'!$F$4:$F$53)) + (SUMIF('PG3'!$D$4:$D$53,D5,'PG3'!$F$4:$F$53)))</f>
        <v>2745</v>
      </c>
      <c r="G5" s="543">
        <f t="shared" si="1"/>
        <v>0</v>
      </c>
      <c r="H5" s="546">
        <f t="shared" si="2"/>
        <v>0</v>
      </c>
      <c r="I5" s="171">
        <f t="shared" si="3"/>
        <v>2.1960000000000002</v>
      </c>
      <c r="J5" s="186">
        <f t="shared" si="4"/>
        <v>0</v>
      </c>
      <c r="K5" s="551">
        <f t="shared" si="5"/>
        <v>0</v>
      </c>
      <c r="L5" s="171">
        <f t="shared" si="6"/>
        <v>4.5</v>
      </c>
      <c r="M5" s="172"/>
      <c r="P5" s="324">
        <f t="shared" ref="P5:P17" si="7">SUM(K5:L5)</f>
        <v>4.5</v>
      </c>
      <c r="S5" s="8">
        <f t="shared" ref="S5:S53" si="8">COUNTIF($D$4:$D$53,D5)</f>
        <v>1</v>
      </c>
    </row>
    <row r="6" spans="1:19">
      <c r="A6" s="140"/>
      <c r="B6" s="162">
        <f t="shared" si="0"/>
        <v>3</v>
      </c>
      <c r="C6" s="555" t="s">
        <v>456</v>
      </c>
      <c r="D6" s="559" t="s">
        <v>456</v>
      </c>
      <c r="E6" s="265">
        <f>IF(TRIM(C6)="","",(SUMIF('PG1'!$D$4:$D$53,D6,'PG1'!$L$4:$L$53)) + (SUMIF('PG2'!$D$4:$D$53,D6,'PG2'!$E$4:$E$53)) + (SUMIF('PG3'!$D$4:$D$53,D6,'PG3'!$E$4:$E$53)))</f>
        <v>2703.6</v>
      </c>
      <c r="F6" s="174">
        <f>IF(TRIM(D6)="","",(SUMIF('PG2'!$D$4:$D$53,D6,'PG2'!$F$4:$F$53)) + (SUMIF('PG3'!$D$4:$D$53,D6,'PG3'!$F$4:$F$53)))</f>
        <v>9012</v>
      </c>
      <c r="G6" s="544">
        <f t="shared" si="1"/>
        <v>0</v>
      </c>
      <c r="H6" s="547">
        <f t="shared" si="2"/>
        <v>0</v>
      </c>
      <c r="I6" s="174">
        <f t="shared" si="3"/>
        <v>7.2096</v>
      </c>
      <c r="J6" s="188">
        <f t="shared" si="4"/>
        <v>0</v>
      </c>
      <c r="K6" s="552">
        <f t="shared" si="5"/>
        <v>0</v>
      </c>
      <c r="L6" s="174">
        <f t="shared" si="6"/>
        <v>14.5</v>
      </c>
      <c r="M6" s="175"/>
      <c r="P6" s="324">
        <f t="shared" si="7"/>
        <v>14.5</v>
      </c>
      <c r="S6" s="8">
        <f t="shared" si="8"/>
        <v>1</v>
      </c>
    </row>
    <row r="7" spans="1:19">
      <c r="A7" s="140"/>
      <c r="B7" s="160">
        <f t="shared" si="0"/>
        <v>4</v>
      </c>
      <c r="C7" s="554" t="s">
        <v>457</v>
      </c>
      <c r="D7" s="558" t="s">
        <v>457</v>
      </c>
      <c r="E7" s="264">
        <f>IF(TRIM(C7)="","",(SUMIF('PG1'!$D$4:$D$53,D7,'PG1'!$L$4:$L$53)) + (SUMIF('PG2'!$D$4:$D$53,D7,'PG2'!$E$4:$E$53)) + (SUMIF('PG3'!$D$4:$D$53,D7,'PG3'!$E$4:$E$53)))</f>
        <v>926.69999999999993</v>
      </c>
      <c r="F7" s="171">
        <f>IF(TRIM(D7)="","",(SUMIF('PG2'!$D$4:$D$53,D7,'PG2'!$F$4:$F$53)) + (SUMIF('PG3'!$D$4:$D$53,D7,'PG3'!$F$4:$F$53)))</f>
        <v>3089</v>
      </c>
      <c r="G7" s="543">
        <f t="shared" si="1"/>
        <v>0</v>
      </c>
      <c r="H7" s="546">
        <f t="shared" si="2"/>
        <v>0</v>
      </c>
      <c r="I7" s="171">
        <f t="shared" si="3"/>
        <v>2.4712000000000001</v>
      </c>
      <c r="J7" s="186">
        <f t="shared" si="4"/>
        <v>0</v>
      </c>
      <c r="K7" s="551">
        <f t="shared" si="5"/>
        <v>0</v>
      </c>
      <c r="L7" s="171">
        <f t="shared" si="6"/>
        <v>5</v>
      </c>
      <c r="M7" s="172"/>
      <c r="P7" s="324">
        <f t="shared" si="7"/>
        <v>5</v>
      </c>
      <c r="S7" s="8">
        <f t="shared" si="8"/>
        <v>1</v>
      </c>
    </row>
    <row r="8" spans="1:19">
      <c r="B8" s="162">
        <f t="shared" si="0"/>
        <v>5</v>
      </c>
      <c r="C8" s="556" t="s">
        <v>458</v>
      </c>
      <c r="D8" s="559" t="s">
        <v>458</v>
      </c>
      <c r="E8" s="265">
        <f>IF(TRIM(C8)="","",(SUMIF('PG1'!$D$4:$D$53,D8,'PG1'!$L$4:$L$53)) + (SUMIF('PG2'!$D$4:$D$53,D8,'PG2'!$E$4:$E$53)) + (SUMIF('PG3'!$D$4:$D$53,D8,'PG3'!$E$4:$E$53)))</f>
        <v>96</v>
      </c>
      <c r="F8" s="174">
        <f>IF(TRIM(D8)="","",(SUMIF('PG2'!$D$4:$D$53,D8,'PG2'!$F$4:$F$53)) + (SUMIF('PG3'!$D$4:$D$53,D8,'PG3'!$F$4:$F$53)))</f>
        <v>320</v>
      </c>
      <c r="G8" s="544">
        <f t="shared" si="1"/>
        <v>0</v>
      </c>
      <c r="H8" s="547">
        <f t="shared" si="2"/>
        <v>0</v>
      </c>
      <c r="I8" s="174">
        <f t="shared" si="3"/>
        <v>0.25600000000000001</v>
      </c>
      <c r="J8" s="188">
        <f t="shared" si="4"/>
        <v>0</v>
      </c>
      <c r="K8" s="552">
        <f t="shared" si="5"/>
        <v>0</v>
      </c>
      <c r="L8" s="174">
        <f t="shared" si="6"/>
        <v>0.51200000000000001</v>
      </c>
      <c r="M8" s="175"/>
      <c r="P8" s="324">
        <f t="shared" si="7"/>
        <v>0.51200000000000001</v>
      </c>
      <c r="S8" s="8">
        <f t="shared" si="8"/>
        <v>1</v>
      </c>
    </row>
    <row r="9" spans="1:19">
      <c r="B9" s="160">
        <f t="shared" si="0"/>
        <v>6</v>
      </c>
      <c r="C9" s="554" t="s">
        <v>459</v>
      </c>
      <c r="D9" s="560" t="s">
        <v>459</v>
      </c>
      <c r="E9" s="264">
        <f>IF(TRIM(C9)="","",(SUMIF('PG1'!$D$4:$D$53,D9,'PG1'!$L$4:$L$53)) + (SUMIF('PG2'!$D$4:$D$53,D9,'PG2'!$E$4:$E$53)) + (SUMIF('PG3'!$D$4:$D$53,D9,'PG3'!$E$4:$E$53)))</f>
        <v>7675.5</v>
      </c>
      <c r="F9" s="171">
        <f>IF(TRIM(D9)="","",(SUMIF('PG2'!$D$4:$D$53,D9,'PG2'!$F$4:$F$53)) + (SUMIF('PG3'!$D$4:$D$53,D9,'PG3'!$F$4:$F$53)))</f>
        <v>25585</v>
      </c>
      <c r="G9" s="543">
        <f t="shared" si="1"/>
        <v>0</v>
      </c>
      <c r="H9" s="546">
        <f t="shared" si="2"/>
        <v>0</v>
      </c>
      <c r="I9" s="171">
        <f t="shared" si="3"/>
        <v>20.468000000000004</v>
      </c>
      <c r="J9" s="186">
        <f t="shared" si="4"/>
        <v>0</v>
      </c>
      <c r="K9" s="551">
        <f t="shared" si="5"/>
        <v>0</v>
      </c>
      <c r="L9" s="171">
        <f t="shared" si="6"/>
        <v>41</v>
      </c>
      <c r="M9" s="172"/>
      <c r="P9" s="324">
        <f t="shared" si="7"/>
        <v>41</v>
      </c>
      <c r="S9" s="8">
        <f t="shared" si="8"/>
        <v>1</v>
      </c>
    </row>
    <row r="10" spans="1:19">
      <c r="B10" s="162">
        <f t="shared" si="0"/>
        <v>7</v>
      </c>
      <c r="C10" s="555" t="s">
        <v>460</v>
      </c>
      <c r="D10" s="559" t="s">
        <v>460</v>
      </c>
      <c r="E10" s="265">
        <f>IF(TRIM(C10)="","",(SUMIF('PG1'!$D$4:$D$53,D10,'PG1'!$L$4:$L$53)) + (SUMIF('PG2'!$D$4:$D$53,D10,'PG2'!$E$4:$E$53)) + (SUMIF('PG3'!$D$4:$D$53,D10,'PG3'!$E$4:$E$53)))</f>
        <v>109.2</v>
      </c>
      <c r="F10" s="174">
        <f>IF(TRIM(D10)="","",(SUMIF('PG2'!$D$4:$D$53,D10,'PG2'!$F$4:$F$53)) + (SUMIF('PG3'!$D$4:$D$53,D10,'PG3'!$F$4:$F$53)))</f>
        <v>364</v>
      </c>
      <c r="G10" s="544">
        <f t="shared" si="1"/>
        <v>0</v>
      </c>
      <c r="H10" s="547">
        <f t="shared" si="2"/>
        <v>0</v>
      </c>
      <c r="I10" s="174">
        <f t="shared" si="3"/>
        <v>0.29120000000000001</v>
      </c>
      <c r="J10" s="188">
        <f t="shared" si="4"/>
        <v>0</v>
      </c>
      <c r="K10" s="552">
        <f t="shared" si="5"/>
        <v>0</v>
      </c>
      <c r="L10" s="174">
        <f t="shared" si="6"/>
        <v>0.58240000000000003</v>
      </c>
      <c r="M10" s="175"/>
      <c r="P10" s="324">
        <f t="shared" si="7"/>
        <v>0.58240000000000003</v>
      </c>
      <c r="S10" s="8">
        <f t="shared" si="8"/>
        <v>1</v>
      </c>
    </row>
    <row r="11" spans="1:19">
      <c r="B11" s="160">
        <f t="shared" si="0"/>
        <v>8</v>
      </c>
      <c r="C11" s="190" t="s">
        <v>462</v>
      </c>
      <c r="D11" s="199" t="s">
        <v>462</v>
      </c>
      <c r="E11" s="264">
        <f>IF(TRIM(C11)="","",(SUMIF('PG1'!$D$4:$D$53,D11,'PG1'!$L$4:$L$53)) + (SUMIF('PG2'!$D$4:$D$53,D11,'PG2'!$E$4:$E$53)) + (SUMIF('PG3'!$D$4:$D$53,D11,'PG3'!$E$4:$E$53)))</f>
        <v>158.4</v>
      </c>
      <c r="F11" s="171">
        <f>IF(TRIM(D11)="","",(SUMIF('PG2'!$D$4:$D$53,D11,'PG2'!$F$4:$F$53)) + (SUMIF('PG3'!$D$4:$D$53,D11,'PG3'!$F$4:$F$53)))</f>
        <v>528</v>
      </c>
      <c r="G11" s="543">
        <f t="shared" si="1"/>
        <v>0</v>
      </c>
      <c r="H11" s="546">
        <f t="shared" si="2"/>
        <v>0</v>
      </c>
      <c r="I11" s="171">
        <f t="shared" si="3"/>
        <v>0.42240000000000005</v>
      </c>
      <c r="J11" s="186">
        <f t="shared" si="4"/>
        <v>0</v>
      </c>
      <c r="K11" s="551">
        <f t="shared" si="5"/>
        <v>0</v>
      </c>
      <c r="L11" s="171">
        <f t="shared" si="6"/>
        <v>0.84480000000000011</v>
      </c>
      <c r="M11" s="172"/>
      <c r="P11" s="324">
        <f t="shared" si="7"/>
        <v>0.84480000000000011</v>
      </c>
      <c r="S11" s="8">
        <f t="shared" si="8"/>
        <v>1</v>
      </c>
    </row>
    <row r="12" spans="1:19">
      <c r="B12" s="162">
        <f t="shared" si="0"/>
        <v>9</v>
      </c>
      <c r="C12" s="557" t="s">
        <v>463</v>
      </c>
      <c r="D12" s="561" t="s">
        <v>463</v>
      </c>
      <c r="E12" s="265">
        <f>IF(TRIM(C12)="","",(SUMIF('PG1'!$D$4:$D$53,D12,'PG1'!$L$4:$L$53)) + (SUMIF('PG2'!$D$4:$D$53,D12,'PG2'!$E$4:$E$53)) + (SUMIF('PG3'!$D$4:$D$53,D12,'PG3'!$E$4:$E$53)))</f>
        <v>312.59999999999997</v>
      </c>
      <c r="F12" s="174">
        <f>IF(TRIM(D12)="","",(SUMIF('PG2'!$D$4:$D$53,D12,'PG2'!$F$4:$F$53)) + (SUMIF('PG3'!$D$4:$D$53,D12,'PG3'!$F$4:$F$53)))</f>
        <v>1042</v>
      </c>
      <c r="G12" s="544">
        <f t="shared" si="1"/>
        <v>0</v>
      </c>
      <c r="H12" s="547">
        <f t="shared" si="2"/>
        <v>0</v>
      </c>
      <c r="I12" s="174">
        <f t="shared" si="3"/>
        <v>0.83360000000000001</v>
      </c>
      <c r="J12" s="188">
        <f t="shared" si="4"/>
        <v>0</v>
      </c>
      <c r="K12" s="552">
        <f t="shared" si="5"/>
        <v>0</v>
      </c>
      <c r="L12" s="174">
        <f t="shared" si="6"/>
        <v>1.6672</v>
      </c>
      <c r="M12" s="175"/>
      <c r="P12" s="324">
        <f t="shared" si="7"/>
        <v>1.6672</v>
      </c>
      <c r="S12" s="8">
        <f t="shared" si="8"/>
        <v>1</v>
      </c>
    </row>
    <row r="13" spans="1:19">
      <c r="B13" s="160">
        <f t="shared" si="0"/>
        <v>10</v>
      </c>
      <c r="C13" s="190" t="s">
        <v>465</v>
      </c>
      <c r="D13" s="199" t="s">
        <v>465</v>
      </c>
      <c r="E13" s="264">
        <f>IF(TRIM(C13)="","",(SUMIF('PG1'!$D$4:$D$53,D13,'PG1'!$L$4:$L$53)) + (SUMIF('PG2'!$D$4:$D$53,D13,'PG2'!$E$4:$E$53)) + (SUMIF('PG3'!$D$4:$D$53,D13,'PG3'!$E$4:$E$53)))</f>
        <v>213</v>
      </c>
      <c r="F13" s="171">
        <f>IF(TRIM(D13)="","",(SUMIF('PG2'!$D$4:$D$53,D13,'PG2'!$F$4:$F$53)) + (SUMIF('PG3'!$D$4:$D$53,D13,'PG3'!$F$4:$F$53)))</f>
        <v>710</v>
      </c>
      <c r="G13" s="543">
        <f t="shared" si="1"/>
        <v>0</v>
      </c>
      <c r="H13" s="546">
        <f t="shared" si="2"/>
        <v>0</v>
      </c>
      <c r="I13" s="171">
        <f t="shared" si="3"/>
        <v>0.56799999999999995</v>
      </c>
      <c r="J13" s="186">
        <f t="shared" si="4"/>
        <v>0</v>
      </c>
      <c r="K13" s="551">
        <f t="shared" si="5"/>
        <v>0</v>
      </c>
      <c r="L13" s="171">
        <f t="shared" si="6"/>
        <v>1.1359999999999999</v>
      </c>
      <c r="M13" s="172"/>
      <c r="P13" s="324">
        <f t="shared" si="7"/>
        <v>1.1359999999999999</v>
      </c>
      <c r="S13" s="8">
        <f t="shared" si="8"/>
        <v>1</v>
      </c>
    </row>
    <row r="14" spans="1:19">
      <c r="B14" s="162">
        <f t="shared" si="0"/>
        <v>11</v>
      </c>
      <c r="C14" s="555" t="s">
        <v>466</v>
      </c>
      <c r="D14" s="559" t="s">
        <v>466</v>
      </c>
      <c r="E14" s="265">
        <f>IF(TRIM(C14)="","",(SUMIF('PG1'!$D$4:$D$53,D14,'PG1'!$L$4:$L$53)) + (SUMIF('PG2'!$D$4:$D$53,D14,'PG2'!$E$4:$E$53)) + (SUMIF('PG3'!$D$4:$D$53,D14,'PG3'!$E$4:$E$53)))</f>
        <v>342.9</v>
      </c>
      <c r="F14" s="174">
        <f>IF(TRIM(D14)="","",(SUMIF('PG2'!$D$4:$D$53,D14,'PG2'!$F$4:$F$53)) + (SUMIF('PG3'!$D$4:$D$53,D14,'PG3'!$F$4:$F$53)))</f>
        <v>1143</v>
      </c>
      <c r="G14" s="544">
        <f t="shared" si="1"/>
        <v>0</v>
      </c>
      <c r="H14" s="547">
        <f t="shared" si="2"/>
        <v>0</v>
      </c>
      <c r="I14" s="174">
        <f t="shared" si="3"/>
        <v>0.91439999999999999</v>
      </c>
      <c r="J14" s="188">
        <f t="shared" si="4"/>
        <v>0</v>
      </c>
      <c r="K14" s="552">
        <f t="shared" si="5"/>
        <v>0</v>
      </c>
      <c r="L14" s="174">
        <f t="shared" si="6"/>
        <v>1.8288</v>
      </c>
      <c r="M14" s="175"/>
      <c r="P14" s="324">
        <f t="shared" si="7"/>
        <v>1.8288</v>
      </c>
      <c r="S14" s="8">
        <f t="shared" si="8"/>
        <v>1</v>
      </c>
    </row>
    <row r="15" spans="1:19">
      <c r="B15" s="160">
        <f t="shared" si="0"/>
        <v>12</v>
      </c>
      <c r="C15" s="554" t="s">
        <v>467</v>
      </c>
      <c r="D15" s="558" t="s">
        <v>467</v>
      </c>
      <c r="E15" s="264">
        <f>IF(TRIM(C15)="","",(SUMIF('PG1'!$D$4:$D$53,D15,'PG1'!$L$4:$L$53)) + (SUMIF('PG2'!$D$4:$D$53,D15,'PG2'!$E$4:$E$53)) + (SUMIF('PG3'!$D$4:$D$53,D15,'PG3'!$E$4:$E$53)))</f>
        <v>290.7</v>
      </c>
      <c r="F15" s="171">
        <f>IF(TRIM(D15)="","",(SUMIF('PG2'!$D$4:$D$53,D15,'PG2'!$F$4:$F$53)) + (SUMIF('PG3'!$D$4:$D$53,D15,'PG3'!$F$4:$F$53)))</f>
        <v>969</v>
      </c>
      <c r="G15" s="543">
        <f t="shared" si="1"/>
        <v>0</v>
      </c>
      <c r="H15" s="546">
        <f t="shared" si="2"/>
        <v>0</v>
      </c>
      <c r="I15" s="171">
        <f t="shared" si="3"/>
        <v>0.7752</v>
      </c>
      <c r="J15" s="186">
        <f t="shared" si="4"/>
        <v>0</v>
      </c>
      <c r="K15" s="551">
        <f t="shared" si="5"/>
        <v>0</v>
      </c>
      <c r="L15" s="171">
        <f t="shared" si="6"/>
        <v>1.5504</v>
      </c>
      <c r="M15" s="172"/>
      <c r="P15" s="324">
        <f t="shared" si="7"/>
        <v>1.5504</v>
      </c>
      <c r="S15" s="8">
        <f t="shared" si="8"/>
        <v>1</v>
      </c>
    </row>
    <row r="16" spans="1:19" ht="24">
      <c r="B16" s="162">
        <f t="shared" si="0"/>
        <v>13</v>
      </c>
      <c r="C16" s="555" t="s">
        <v>468</v>
      </c>
      <c r="D16" s="555" t="s">
        <v>468</v>
      </c>
      <c r="E16" s="265">
        <f>IF(TRIM(C16)="","",(SUMIF('PG1'!$D$4:$D$53,D16,'PG1'!$L$4:$L$53)) + (SUMIF('PG2'!$D$4:$D$53,D16,'PG2'!$E$4:$E$53)) + (SUMIF('PG3'!$D$4:$D$53,D16,'PG3'!$E$4:$E$53)))</f>
        <v>956.4</v>
      </c>
      <c r="F16" s="174">
        <f>IF(TRIM(D16)="","",(SUMIF('PG2'!$D$4:$D$53,D16,'PG2'!$F$4:$F$53)) + (SUMIF('PG3'!$D$4:$D$53,D16,'PG3'!$F$4:$F$53)))</f>
        <v>3188</v>
      </c>
      <c r="G16" s="544">
        <f t="shared" si="1"/>
        <v>0</v>
      </c>
      <c r="H16" s="547">
        <f t="shared" si="2"/>
        <v>0</v>
      </c>
      <c r="I16" s="174">
        <f t="shared" si="3"/>
        <v>2.5504000000000002</v>
      </c>
      <c r="J16" s="188">
        <f t="shared" si="4"/>
        <v>0</v>
      </c>
      <c r="K16" s="552">
        <f t="shared" si="5"/>
        <v>0</v>
      </c>
      <c r="L16" s="174">
        <f t="shared" si="6"/>
        <v>5.5</v>
      </c>
      <c r="M16" s="175"/>
      <c r="P16" s="324">
        <f t="shared" si="7"/>
        <v>5.5</v>
      </c>
      <c r="S16" s="8">
        <f t="shared" si="8"/>
        <v>1</v>
      </c>
    </row>
    <row r="17" spans="2:19">
      <c r="B17" s="160">
        <f t="shared" si="0"/>
        <v>14</v>
      </c>
      <c r="C17" s="190" t="s">
        <v>470</v>
      </c>
      <c r="D17" s="190" t="s">
        <v>470</v>
      </c>
      <c r="E17" s="264">
        <f>IF(TRIM(C17)="","",(SUMIF('PG1'!$D$4:$D$53,D17,'PG1'!$L$4:$L$53)) + (SUMIF('PG2'!$D$4:$D$53,D17,'PG2'!$E$4:$E$53)) + (SUMIF('PG3'!$D$4:$D$53,D17,'PG3'!$E$4:$E$53)))</f>
        <v>42</v>
      </c>
      <c r="F17" s="171">
        <f>IF(TRIM(D17)="","",(SUMIF('PG2'!$D$4:$D$53,D17,'PG2'!$F$4:$F$53)) + (SUMIF('PG3'!$D$4:$D$53,D17,'PG3'!$F$4:$F$53)))</f>
        <v>140</v>
      </c>
      <c r="G17" s="543">
        <f t="shared" si="1"/>
        <v>0</v>
      </c>
      <c r="H17" s="546">
        <f t="shared" si="2"/>
        <v>0</v>
      </c>
      <c r="I17" s="171">
        <f t="shared" si="3"/>
        <v>0.11200000000000002</v>
      </c>
      <c r="J17" s="186">
        <f t="shared" si="4"/>
        <v>0</v>
      </c>
      <c r="K17" s="551">
        <f t="shared" si="5"/>
        <v>0</v>
      </c>
      <c r="L17" s="171">
        <f t="shared" si="6"/>
        <v>0.22400000000000003</v>
      </c>
      <c r="M17" s="172"/>
      <c r="P17" s="324">
        <f t="shared" si="7"/>
        <v>0.22400000000000003</v>
      </c>
      <c r="S17" s="8">
        <f t="shared" si="8"/>
        <v>1</v>
      </c>
    </row>
    <row r="18" spans="2:19">
      <c r="B18" s="162">
        <f t="shared" si="0"/>
        <v>15</v>
      </c>
      <c r="C18" s="555" t="s">
        <v>471</v>
      </c>
      <c r="D18" s="555" t="s">
        <v>471</v>
      </c>
      <c r="E18" s="265">
        <f>IF(TRIM(C18)="","",(SUMIF('PG1'!$D$4:$D$53,D18,'PG1'!$L$4:$L$53)) + (SUMIF('PG2'!$D$4:$D$53,D18,'PG2'!$E$4:$E$53)) + (SUMIF('PG3'!$D$4:$D$53,D18,'PG3'!$E$4:$E$53)))</f>
        <v>882.9</v>
      </c>
      <c r="F18" s="174">
        <f>IF(TRIM(D18)="","",(SUMIF('PG2'!$D$4:$D$53,D18,'PG2'!$F$4:$F$53)) + (SUMIF('PG3'!$D$4:$D$53,D18,'PG3'!$F$4:$F$53)))</f>
        <v>2943</v>
      </c>
      <c r="G18" s="544">
        <f t="shared" si="1"/>
        <v>0</v>
      </c>
      <c r="H18" s="547">
        <f t="shared" si="2"/>
        <v>0</v>
      </c>
      <c r="I18" s="174">
        <f t="shared" si="3"/>
        <v>2.3544</v>
      </c>
      <c r="J18" s="188">
        <f t="shared" si="4"/>
        <v>0</v>
      </c>
      <c r="K18" s="552">
        <f t="shared" si="5"/>
        <v>0</v>
      </c>
      <c r="L18" s="174">
        <f t="shared" si="6"/>
        <v>5</v>
      </c>
      <c r="M18" s="175"/>
      <c r="S18" s="8">
        <f t="shared" si="8"/>
        <v>1</v>
      </c>
    </row>
    <row r="19" spans="2:19">
      <c r="B19" s="160">
        <f t="shared" si="0"/>
        <v>16</v>
      </c>
      <c r="C19" s="190"/>
      <c r="D19" s="190"/>
      <c r="E19" s="264" t="str">
        <f>IF(TRIM(C19)="","",(SUMIF('PG1'!$D$4:$D$53,D19,'PG1'!$L$4:$L$53)) + (SUMIF('PG2'!$D$4:$D$53,D19,'PG2'!$E$4:$E$53)) + (SUMIF('PG3'!$D$4:$D$53,D19,'PG3'!$E$4:$E$53)))</f>
        <v/>
      </c>
      <c r="F19" s="171" t="str">
        <f>IF(TRIM(D19)="","",(SUMIF('PG2'!$D$4:$D$53,D19,'PG2'!$F$4:$F$53)) + (SUMIF('PG3'!$D$4:$D$53,D19,'PG3'!$F$4:$F$53)))</f>
        <v/>
      </c>
      <c r="G19" s="543" t="str">
        <f t="shared" si="1"/>
        <v/>
      </c>
      <c r="H19" s="546" t="str">
        <f t="shared" si="2"/>
        <v/>
      </c>
      <c r="I19" s="171" t="str">
        <f t="shared" si="3"/>
        <v/>
      </c>
      <c r="J19" s="186" t="str">
        <f t="shared" si="4"/>
        <v/>
      </c>
      <c r="K19" s="551" t="str">
        <f t="shared" si="5"/>
        <v/>
      </c>
      <c r="L19" s="171" t="str">
        <f t="shared" si="6"/>
        <v/>
      </c>
      <c r="M19" s="172"/>
      <c r="S19" s="8">
        <f t="shared" si="8"/>
        <v>0</v>
      </c>
    </row>
    <row r="20" spans="2:19">
      <c r="B20" s="162">
        <f t="shared" si="0"/>
        <v>17</v>
      </c>
      <c r="C20" s="189"/>
      <c r="D20" s="189"/>
      <c r="E20" s="265" t="str">
        <f>IF(TRIM(C20)="","",(SUMIF('PG1'!$D$4:$D$53,D20,'PG1'!$L$4:$L$53)) + (SUMIF('PG2'!$D$4:$D$53,D20,'PG2'!$E$4:$E$53)) + (SUMIF('PG3'!$D$4:$D$53,D20,'PG3'!$E$4:$E$53)))</f>
        <v/>
      </c>
      <c r="F20" s="174" t="str">
        <f>IF(TRIM(D20)="","",(SUMIF('PG2'!$D$4:$D$53,D20,'PG2'!$F$4:$F$53)) + (SUMIF('PG3'!$D$4:$D$53,D20,'PG3'!$F$4:$F$53)))</f>
        <v/>
      </c>
      <c r="G20" s="544" t="str">
        <f t="shared" si="1"/>
        <v/>
      </c>
      <c r="H20" s="547" t="str">
        <f t="shared" si="2"/>
        <v/>
      </c>
      <c r="I20" s="174" t="str">
        <f t="shared" si="3"/>
        <v/>
      </c>
      <c r="J20" s="188" t="str">
        <f t="shared" si="4"/>
        <v/>
      </c>
      <c r="K20" s="552" t="str">
        <f t="shared" si="5"/>
        <v/>
      </c>
      <c r="L20" s="174" t="str">
        <f t="shared" si="6"/>
        <v/>
      </c>
      <c r="M20" s="175"/>
      <c r="S20" s="8">
        <f t="shared" si="8"/>
        <v>0</v>
      </c>
    </row>
    <row r="21" spans="2:19">
      <c r="B21" s="160">
        <f t="shared" si="0"/>
        <v>18</v>
      </c>
      <c r="C21" s="190"/>
      <c r="D21" s="190"/>
      <c r="E21" s="264" t="str">
        <f>IF(TRIM(C21)="","",(SUMIF('PG1'!$D$4:$D$53,D21,'PG1'!$L$4:$L$53)) + (SUMIF('PG2'!$D$4:$D$53,D21,'PG2'!$E$4:$E$53)) + (SUMIF('PG3'!$D$4:$D$53,D21,'PG3'!$E$4:$E$53)))</f>
        <v/>
      </c>
      <c r="F21" s="171" t="str">
        <f>IF(TRIM(D21)="","",(SUMIF('PG2'!$D$4:$D$53,D21,'PG2'!$F$4:$F$53)) + (SUMIF('PG3'!$D$4:$D$53,D21,'PG3'!$F$4:$F$53)))</f>
        <v/>
      </c>
      <c r="G21" s="543" t="str">
        <f t="shared" si="1"/>
        <v/>
      </c>
      <c r="H21" s="546" t="str">
        <f t="shared" si="2"/>
        <v/>
      </c>
      <c r="I21" s="171" t="str">
        <f t="shared" si="3"/>
        <v/>
      </c>
      <c r="J21" s="186" t="str">
        <f t="shared" si="4"/>
        <v/>
      </c>
      <c r="K21" s="551" t="str">
        <f t="shared" si="5"/>
        <v/>
      </c>
      <c r="L21" s="171" t="str">
        <f t="shared" si="6"/>
        <v/>
      </c>
      <c r="M21" s="172"/>
      <c r="S21" s="8">
        <f t="shared" si="8"/>
        <v>0</v>
      </c>
    </row>
    <row r="22" spans="2:19">
      <c r="B22" s="162">
        <f t="shared" si="0"/>
        <v>19</v>
      </c>
      <c r="C22" s="191"/>
      <c r="D22" s="191"/>
      <c r="E22" s="265" t="str">
        <f>IF(TRIM(C22)="","",(SUMIF('PG1'!$D$4:$D$53,D22,'PG1'!$L$4:$L$53)) + (SUMIF('PG2'!$D$4:$D$53,D22,'PG2'!$E$4:$E$53)) + (SUMIF('PG3'!$D$4:$D$53,D22,'PG3'!$E$4:$E$53)))</f>
        <v/>
      </c>
      <c r="F22" s="174" t="str">
        <f>IF(TRIM(D22)="","",(SUMIF('PG2'!$D$4:$D$53,D22,'PG2'!$F$4:$F$53)) + (SUMIF('PG3'!$D$4:$D$53,D22,'PG3'!$F$4:$F$53)))</f>
        <v/>
      </c>
      <c r="G22" s="544" t="str">
        <f t="shared" si="1"/>
        <v/>
      </c>
      <c r="H22" s="547" t="str">
        <f t="shared" si="2"/>
        <v/>
      </c>
      <c r="I22" s="174" t="str">
        <f t="shared" si="3"/>
        <v/>
      </c>
      <c r="J22" s="188" t="str">
        <f t="shared" si="4"/>
        <v/>
      </c>
      <c r="K22" s="552" t="str">
        <f t="shared" si="5"/>
        <v/>
      </c>
      <c r="L22" s="174" t="str">
        <f t="shared" si="6"/>
        <v/>
      </c>
      <c r="M22" s="175"/>
      <c r="S22" s="8">
        <f t="shared" si="8"/>
        <v>0</v>
      </c>
    </row>
    <row r="23" spans="2:19">
      <c r="B23" s="160">
        <f t="shared" si="0"/>
        <v>20</v>
      </c>
      <c r="C23" s="190"/>
      <c r="D23" s="190"/>
      <c r="E23" s="264" t="str">
        <f>IF(TRIM(C23)="","",(SUMIF('PG1'!$D$4:$D$53,D23,'PG1'!$L$4:$L$53)) + (SUMIF('PG2'!$D$4:$D$53,D23,'PG2'!$E$4:$E$53)) + (SUMIF('PG3'!$D$4:$D$53,D23,'PG3'!$E$4:$E$53)))</f>
        <v/>
      </c>
      <c r="F23" s="171" t="str">
        <f>IF(TRIM(D23)="","",(SUMIF('PG2'!$D$4:$D$53,D23,'PG2'!$F$4:$F$53)) + (SUMIF('PG3'!$D$4:$D$53,D23,'PG3'!$F$4:$F$53)))</f>
        <v/>
      </c>
      <c r="G23" s="543" t="str">
        <f t="shared" si="1"/>
        <v/>
      </c>
      <c r="H23" s="546" t="str">
        <f t="shared" si="2"/>
        <v/>
      </c>
      <c r="I23" s="171" t="str">
        <f t="shared" si="3"/>
        <v/>
      </c>
      <c r="J23" s="186" t="str">
        <f t="shared" si="4"/>
        <v/>
      </c>
      <c r="K23" s="551" t="str">
        <f t="shared" si="5"/>
        <v/>
      </c>
      <c r="L23" s="171" t="str">
        <f t="shared" si="6"/>
        <v/>
      </c>
      <c r="M23" s="172"/>
      <c r="S23" s="8">
        <f t="shared" si="8"/>
        <v>0</v>
      </c>
    </row>
    <row r="24" spans="2:19">
      <c r="B24" s="162">
        <f t="shared" si="0"/>
        <v>21</v>
      </c>
      <c r="C24" s="189"/>
      <c r="D24" s="189"/>
      <c r="E24" s="265" t="str">
        <f>IF(TRIM(C24)="","",(SUMIF('PG1'!$D$4:$D$53,D24,'PG1'!$L$4:$L$53)) + (SUMIF('PG2'!$D$4:$D$53,D24,'PG2'!$E$4:$E$53)) + (SUMIF('PG3'!$D$4:$D$53,D24,'PG3'!$E$4:$E$53)))</f>
        <v/>
      </c>
      <c r="F24" s="174" t="str">
        <f>IF(TRIM(D24)="","",(SUMIF('PG2'!$D$4:$D$53,D24,'PG2'!$F$4:$F$53)) + (SUMIF('PG3'!$D$4:$D$53,D24,'PG3'!$F$4:$F$53)))</f>
        <v/>
      </c>
      <c r="G24" s="544" t="str">
        <f t="shared" si="1"/>
        <v/>
      </c>
      <c r="H24" s="547" t="str">
        <f t="shared" si="2"/>
        <v/>
      </c>
      <c r="I24" s="174" t="str">
        <f t="shared" si="3"/>
        <v/>
      </c>
      <c r="J24" s="188" t="str">
        <f t="shared" si="4"/>
        <v/>
      </c>
      <c r="K24" s="552" t="str">
        <f t="shared" si="5"/>
        <v/>
      </c>
      <c r="L24" s="174" t="str">
        <f t="shared" si="6"/>
        <v/>
      </c>
      <c r="M24" s="175"/>
      <c r="S24" s="8">
        <f t="shared" si="8"/>
        <v>0</v>
      </c>
    </row>
    <row r="25" spans="2:19">
      <c r="B25" s="160">
        <f t="shared" si="0"/>
        <v>22</v>
      </c>
      <c r="C25" s="190"/>
      <c r="D25" s="190"/>
      <c r="E25" s="264" t="str">
        <f>IF(TRIM(C25)="","",(SUMIF('PG1'!$D$4:$D$53,D25,'PG1'!$L$4:$L$53)) + (SUMIF('PG2'!$D$4:$D$53,D25,'PG2'!$E$4:$E$53)) + (SUMIF('PG3'!$D$4:$D$53,D25,'PG3'!$E$4:$E$53)))</f>
        <v/>
      </c>
      <c r="F25" s="171" t="str">
        <f>IF(TRIM(D25)="","",(SUMIF('PG2'!$D$4:$D$53,D25,'PG2'!$F$4:$F$53)) + (SUMIF('PG3'!$D$4:$D$53,D25,'PG3'!$F$4:$F$53)))</f>
        <v/>
      </c>
      <c r="G25" s="543" t="str">
        <f t="shared" si="1"/>
        <v/>
      </c>
      <c r="H25" s="546" t="str">
        <f t="shared" si="2"/>
        <v/>
      </c>
      <c r="I25" s="171" t="str">
        <f t="shared" si="3"/>
        <v/>
      </c>
      <c r="J25" s="186" t="str">
        <f t="shared" si="4"/>
        <v/>
      </c>
      <c r="K25" s="551" t="str">
        <f t="shared" si="5"/>
        <v/>
      </c>
      <c r="L25" s="171" t="str">
        <f t="shared" si="6"/>
        <v/>
      </c>
      <c r="M25" s="172"/>
      <c r="S25" s="8">
        <f t="shared" si="8"/>
        <v>0</v>
      </c>
    </row>
    <row r="26" spans="2:19">
      <c r="B26" s="162">
        <f t="shared" si="0"/>
        <v>23</v>
      </c>
      <c r="C26" s="189"/>
      <c r="D26" s="189"/>
      <c r="E26" s="265" t="str">
        <f>IF(TRIM(C26)="","",(SUMIF('PG1'!$D$4:$D$53,D26,'PG1'!$L$4:$L$53)) + (SUMIF('PG2'!$D$4:$D$53,D26,'PG2'!$E$4:$E$53)) + (SUMIF('PG3'!$D$4:$D$53,D26,'PG3'!$E$4:$E$53)))</f>
        <v/>
      </c>
      <c r="F26" s="174" t="str">
        <f>IF(TRIM(D26)="","",(SUMIF('PG2'!$D$4:$D$53,D26,'PG2'!$F$4:$F$53)) + (SUMIF('PG3'!$D$4:$D$53,D26,'PG3'!$F$4:$F$53)))</f>
        <v/>
      </c>
      <c r="G26" s="544" t="str">
        <f t="shared" si="1"/>
        <v/>
      </c>
      <c r="H26" s="547" t="str">
        <f t="shared" si="2"/>
        <v/>
      </c>
      <c r="I26" s="174" t="str">
        <f t="shared" si="3"/>
        <v/>
      </c>
      <c r="J26" s="188" t="str">
        <f t="shared" si="4"/>
        <v/>
      </c>
      <c r="K26" s="552" t="str">
        <f t="shared" si="5"/>
        <v/>
      </c>
      <c r="L26" s="174" t="str">
        <f t="shared" si="6"/>
        <v/>
      </c>
      <c r="M26" s="175"/>
      <c r="S26" s="8">
        <f t="shared" si="8"/>
        <v>0</v>
      </c>
    </row>
    <row r="27" spans="2:19">
      <c r="B27" s="160">
        <f t="shared" si="0"/>
        <v>24</v>
      </c>
      <c r="C27" s="190"/>
      <c r="D27" s="190"/>
      <c r="E27" s="264" t="str">
        <f>IF(TRIM(C27)="","",(SUMIF('PG1'!$D$4:$D$53,D27,'PG1'!$L$4:$L$53)) + (SUMIF('PG2'!$D$4:$D$53,D27,'PG2'!$E$4:$E$53)) + (SUMIF('PG3'!$D$4:$D$53,D27,'PG3'!$E$4:$E$53)))</f>
        <v/>
      </c>
      <c r="F27" s="171" t="str">
        <f>IF(TRIM(D27)="","",(SUMIF('PG2'!$D$4:$D$53,D27,'PG2'!$F$4:$F$53)) + (SUMIF('PG3'!$D$4:$D$53,D27,'PG3'!$F$4:$F$53)))</f>
        <v/>
      </c>
      <c r="G27" s="543" t="str">
        <f t="shared" si="1"/>
        <v/>
      </c>
      <c r="H27" s="546" t="str">
        <f t="shared" si="2"/>
        <v/>
      </c>
      <c r="I27" s="171" t="str">
        <f t="shared" si="3"/>
        <v/>
      </c>
      <c r="J27" s="186" t="str">
        <f t="shared" si="4"/>
        <v/>
      </c>
      <c r="K27" s="551" t="str">
        <f t="shared" si="5"/>
        <v/>
      </c>
      <c r="L27" s="171" t="str">
        <f t="shared" si="6"/>
        <v/>
      </c>
      <c r="M27" s="172"/>
      <c r="S27" s="8">
        <f t="shared" si="8"/>
        <v>0</v>
      </c>
    </row>
    <row r="28" spans="2:19">
      <c r="B28" s="162">
        <f t="shared" si="0"/>
        <v>25</v>
      </c>
      <c r="C28" s="189"/>
      <c r="D28" s="189"/>
      <c r="E28" s="265" t="str">
        <f>IF(TRIM(C28)="","",(SUMIF('PG1'!$D$4:$D$53,D28,'PG1'!$L$4:$L$53)) + (SUMIF('PG2'!$D$4:$D$53,D28,'PG2'!$E$4:$E$53)) + (SUMIF('PG3'!$D$4:$D$53,D28,'PG3'!$E$4:$E$53)))</f>
        <v/>
      </c>
      <c r="F28" s="174" t="str">
        <f>IF(TRIM(D28)="","",(SUMIF('PG2'!$D$4:$D$53,D28,'PG2'!$F$4:$F$53)) + (SUMIF('PG3'!$D$4:$D$53,D28,'PG3'!$F$4:$F$53)))</f>
        <v/>
      </c>
      <c r="G28" s="544" t="str">
        <f t="shared" si="1"/>
        <v/>
      </c>
      <c r="H28" s="547" t="str">
        <f t="shared" si="2"/>
        <v/>
      </c>
      <c r="I28" s="174" t="str">
        <f t="shared" si="3"/>
        <v/>
      </c>
      <c r="J28" s="188" t="str">
        <f t="shared" si="4"/>
        <v/>
      </c>
      <c r="K28" s="552" t="str">
        <f t="shared" si="5"/>
        <v/>
      </c>
      <c r="L28" s="174" t="str">
        <f t="shared" si="6"/>
        <v/>
      </c>
      <c r="M28" s="175"/>
      <c r="S28" s="8">
        <f t="shared" si="8"/>
        <v>0</v>
      </c>
    </row>
    <row r="29" spans="2:19">
      <c r="B29" s="160">
        <f t="shared" si="0"/>
        <v>26</v>
      </c>
      <c r="C29" s="190"/>
      <c r="D29" s="190"/>
      <c r="E29" s="264" t="str">
        <f>IF(TRIM(C29)="","",(SUMIF('PG1'!$D$4:$D$53,D29,'PG1'!$L$4:$L$53)) + (SUMIF('PG2'!$D$4:$D$53,D29,'PG2'!$E$4:$E$53)) + (SUMIF('PG3'!$D$4:$D$53,D29,'PG3'!$E$4:$E$53)))</f>
        <v/>
      </c>
      <c r="F29" s="171" t="str">
        <f>IF(TRIM(D29)="","",(SUMIF('PG2'!$D$4:$D$53,D29,'PG2'!$F$4:$F$53)) + (SUMIF('PG3'!$D$4:$D$53,D29,'PG3'!$F$4:$F$53)))</f>
        <v/>
      </c>
      <c r="G29" s="543" t="str">
        <f t="shared" si="1"/>
        <v/>
      </c>
      <c r="H29" s="546" t="str">
        <f t="shared" si="2"/>
        <v/>
      </c>
      <c r="I29" s="171" t="str">
        <f t="shared" si="3"/>
        <v/>
      </c>
      <c r="J29" s="186" t="str">
        <f t="shared" si="4"/>
        <v/>
      </c>
      <c r="K29" s="551" t="str">
        <f t="shared" si="5"/>
        <v/>
      </c>
      <c r="L29" s="171" t="str">
        <f t="shared" si="6"/>
        <v/>
      </c>
      <c r="M29" s="172"/>
      <c r="S29" s="8">
        <f t="shared" si="8"/>
        <v>0</v>
      </c>
    </row>
    <row r="30" spans="2:19">
      <c r="B30" s="162">
        <f t="shared" si="0"/>
        <v>27</v>
      </c>
      <c r="C30" s="189"/>
      <c r="D30" s="189"/>
      <c r="E30" s="265" t="str">
        <f>IF(TRIM(C30)="","",(SUMIF('PG1'!$D$4:$D$53,D30,'PG1'!$L$4:$L$53)) + (SUMIF('PG2'!$D$4:$D$53,D30,'PG2'!$E$4:$E$53)) + (SUMIF('PG3'!$D$4:$D$53,D30,'PG3'!$E$4:$E$53)))</f>
        <v/>
      </c>
      <c r="F30" s="174" t="str">
        <f>IF(TRIM(D30)="","",(SUMIF('PG2'!$D$4:$D$53,D30,'PG2'!$F$4:$F$53)) + (SUMIF('PG3'!$D$4:$D$53,D30,'PG3'!$F$4:$F$53)))</f>
        <v/>
      </c>
      <c r="G30" s="544" t="str">
        <f t="shared" si="1"/>
        <v/>
      </c>
      <c r="H30" s="547" t="str">
        <f t="shared" si="2"/>
        <v/>
      </c>
      <c r="I30" s="174" t="str">
        <f t="shared" si="3"/>
        <v/>
      </c>
      <c r="J30" s="188" t="str">
        <f t="shared" si="4"/>
        <v/>
      </c>
      <c r="K30" s="552" t="str">
        <f t="shared" si="5"/>
        <v/>
      </c>
      <c r="L30" s="174" t="str">
        <f t="shared" si="6"/>
        <v/>
      </c>
      <c r="M30" s="175"/>
      <c r="S30" s="8">
        <f t="shared" si="8"/>
        <v>0</v>
      </c>
    </row>
    <row r="31" spans="2:19">
      <c r="B31" s="160">
        <f t="shared" si="0"/>
        <v>28</v>
      </c>
      <c r="C31" s="190"/>
      <c r="D31" s="190"/>
      <c r="E31" s="264" t="str">
        <f>IF(TRIM(C31)="","",(SUMIF('PG1'!$D$4:$D$53,D31,'PG1'!$L$4:$L$53)) + (SUMIF('PG2'!$D$4:$D$53,D31,'PG2'!$E$4:$E$53)) + (SUMIF('PG3'!$D$4:$D$53,D31,'PG3'!$E$4:$E$53)))</f>
        <v/>
      </c>
      <c r="F31" s="171" t="str">
        <f>IF(TRIM(D31)="","",(SUMIF('PG2'!$D$4:$D$53,D31,'PG2'!$F$4:$F$53)) + (SUMIF('PG3'!$D$4:$D$53,D31,'PG3'!$F$4:$F$53)))</f>
        <v/>
      </c>
      <c r="G31" s="543" t="str">
        <f t="shared" si="1"/>
        <v/>
      </c>
      <c r="H31" s="546" t="str">
        <f t="shared" si="2"/>
        <v/>
      </c>
      <c r="I31" s="171" t="str">
        <f t="shared" si="3"/>
        <v/>
      </c>
      <c r="J31" s="186" t="str">
        <f t="shared" si="4"/>
        <v/>
      </c>
      <c r="K31" s="551" t="str">
        <f t="shared" si="5"/>
        <v/>
      </c>
      <c r="L31" s="171" t="str">
        <f t="shared" si="6"/>
        <v/>
      </c>
      <c r="M31" s="172"/>
      <c r="S31" s="8">
        <f t="shared" si="8"/>
        <v>0</v>
      </c>
    </row>
    <row r="32" spans="2:19">
      <c r="B32" s="162">
        <f t="shared" si="0"/>
        <v>29</v>
      </c>
      <c r="C32" s="191"/>
      <c r="D32" s="191"/>
      <c r="E32" s="265" t="str">
        <f>IF(TRIM(C32)="","",(SUMIF('PG1'!$D$4:$D$53,D32,'PG1'!$L$4:$L$53)) + (SUMIF('PG2'!$D$4:$D$53,D32,'PG2'!$E$4:$E$53)) + (SUMIF('PG3'!$D$4:$D$53,D32,'PG3'!$E$4:$E$53)))</f>
        <v/>
      </c>
      <c r="F32" s="174" t="str">
        <f>IF(TRIM(D32)="","",(SUMIF('PG2'!$D$4:$D$53,D32,'PG2'!$F$4:$F$53)) + (SUMIF('PG3'!$D$4:$D$53,D32,'PG3'!$F$4:$F$53)))</f>
        <v/>
      </c>
      <c r="G32" s="544" t="str">
        <f t="shared" si="1"/>
        <v/>
      </c>
      <c r="H32" s="547" t="str">
        <f t="shared" si="2"/>
        <v/>
      </c>
      <c r="I32" s="174" t="str">
        <f t="shared" si="3"/>
        <v/>
      </c>
      <c r="J32" s="188" t="str">
        <f t="shared" si="4"/>
        <v/>
      </c>
      <c r="K32" s="552" t="str">
        <f t="shared" si="5"/>
        <v/>
      </c>
      <c r="L32" s="174" t="str">
        <f t="shared" si="6"/>
        <v/>
      </c>
      <c r="M32" s="175"/>
      <c r="S32" s="8">
        <f t="shared" si="8"/>
        <v>0</v>
      </c>
    </row>
    <row r="33" spans="2:19">
      <c r="B33" s="160">
        <f t="shared" si="0"/>
        <v>30</v>
      </c>
      <c r="C33" s="190"/>
      <c r="D33" s="190"/>
      <c r="E33" s="264" t="str">
        <f>IF(TRIM(C33)="","",(SUMIF('PG1'!$D$4:$D$53,D33,'PG1'!$L$4:$L$53)) + (SUMIF('PG2'!$D$4:$D$53,D33,'PG2'!$E$4:$E$53)) + (SUMIF('PG3'!$D$4:$D$53,D33,'PG3'!$E$4:$E$53)))</f>
        <v/>
      </c>
      <c r="F33" s="171" t="str">
        <f>IF(TRIM(D33)="","",(SUMIF('PG2'!$D$4:$D$53,D33,'PG2'!$F$4:$F$53)) + (SUMIF('PG3'!$D$4:$D$53,D33,'PG3'!$F$4:$F$53)))</f>
        <v/>
      </c>
      <c r="G33" s="543" t="str">
        <f t="shared" si="1"/>
        <v/>
      </c>
      <c r="H33" s="546" t="str">
        <f t="shared" si="2"/>
        <v/>
      </c>
      <c r="I33" s="171" t="str">
        <f t="shared" si="3"/>
        <v/>
      </c>
      <c r="J33" s="186" t="str">
        <f t="shared" si="4"/>
        <v/>
      </c>
      <c r="K33" s="551" t="str">
        <f t="shared" si="5"/>
        <v/>
      </c>
      <c r="L33" s="171" t="str">
        <f t="shared" si="6"/>
        <v/>
      </c>
      <c r="M33" s="172"/>
      <c r="S33" s="8">
        <f t="shared" si="8"/>
        <v>0</v>
      </c>
    </row>
    <row r="34" spans="2:19">
      <c r="B34" s="162">
        <f t="shared" si="0"/>
        <v>31</v>
      </c>
      <c r="C34" s="189"/>
      <c r="D34" s="189"/>
      <c r="E34" s="265" t="str">
        <f>IF(TRIM(C34)="","",(SUMIF('PG1'!$D$4:$D$53,D34,'PG1'!$L$4:$L$53)) + (SUMIF('PG2'!$D$4:$D$53,D34,'PG2'!$E$4:$E$53)) + (SUMIF('PG3'!$D$4:$D$53,D34,'PG3'!$E$4:$E$53)))</f>
        <v/>
      </c>
      <c r="F34" s="174" t="str">
        <f>IF(TRIM(D34)="","",(SUMIF('PG2'!$D$4:$D$53,D34,'PG2'!$F$4:$F$53)) + (SUMIF('PG3'!$D$4:$D$53,D34,'PG3'!$F$4:$F$53)))</f>
        <v/>
      </c>
      <c r="G34" s="544" t="str">
        <f t="shared" si="1"/>
        <v/>
      </c>
      <c r="H34" s="547" t="str">
        <f t="shared" si="2"/>
        <v/>
      </c>
      <c r="I34" s="174" t="str">
        <f t="shared" si="3"/>
        <v/>
      </c>
      <c r="J34" s="188" t="str">
        <f t="shared" si="4"/>
        <v/>
      </c>
      <c r="K34" s="552" t="str">
        <f t="shared" si="5"/>
        <v/>
      </c>
      <c r="L34" s="174" t="str">
        <f t="shared" si="6"/>
        <v/>
      </c>
      <c r="M34" s="175"/>
      <c r="S34" s="8">
        <f t="shared" si="8"/>
        <v>0</v>
      </c>
    </row>
    <row r="35" spans="2:19">
      <c r="B35" s="160">
        <f t="shared" si="0"/>
        <v>32</v>
      </c>
      <c r="C35" s="190"/>
      <c r="D35" s="190"/>
      <c r="E35" s="264" t="str">
        <f>IF(TRIM(C35)="","",(SUMIF('PG1'!$D$4:$D$53,D35,'PG1'!$L$4:$L$53)) + (SUMIF('PG2'!$D$4:$D$53,D35,'PG2'!$E$4:$E$53)) + (SUMIF('PG3'!$D$4:$D$53,D35,'PG3'!$E$4:$E$53)))</f>
        <v/>
      </c>
      <c r="F35" s="171" t="str">
        <f>IF(TRIM(D35)="","",(SUMIF('PG2'!$D$4:$D$53,D35,'PG2'!$F$4:$F$53)) + (SUMIF('PG3'!$D$4:$D$53,D35,'PG3'!$F$4:$F$53)))</f>
        <v/>
      </c>
      <c r="G35" s="543" t="str">
        <f t="shared" si="1"/>
        <v/>
      </c>
      <c r="H35" s="546" t="str">
        <f t="shared" si="2"/>
        <v/>
      </c>
      <c r="I35" s="171" t="str">
        <f t="shared" si="3"/>
        <v/>
      </c>
      <c r="J35" s="186" t="str">
        <f t="shared" si="4"/>
        <v/>
      </c>
      <c r="K35" s="551" t="str">
        <f t="shared" si="5"/>
        <v/>
      </c>
      <c r="L35" s="171" t="str">
        <f t="shared" si="6"/>
        <v/>
      </c>
      <c r="M35" s="172"/>
      <c r="S35" s="8">
        <f t="shared" si="8"/>
        <v>0</v>
      </c>
    </row>
    <row r="36" spans="2:19">
      <c r="B36" s="162">
        <f t="shared" si="0"/>
        <v>33</v>
      </c>
      <c r="C36" s="189"/>
      <c r="D36" s="189"/>
      <c r="E36" s="265" t="str">
        <f>IF(TRIM(C36)="","",(SUMIF('PG1'!$D$4:$D$53,D36,'PG1'!$L$4:$L$53)) + (SUMIF('PG2'!$D$4:$D$53,D36,'PG2'!$E$4:$E$53)) + (SUMIF('PG3'!$D$4:$D$53,D36,'PG3'!$E$4:$E$53)))</f>
        <v/>
      </c>
      <c r="F36" s="174" t="str">
        <f>IF(TRIM(D36)="","",(SUMIF('PG2'!$D$4:$D$53,D36,'PG2'!$F$4:$F$53)) + (SUMIF('PG3'!$D$4:$D$53,D36,'PG3'!$F$4:$F$53)))</f>
        <v/>
      </c>
      <c r="G36" s="544" t="str">
        <f t="shared" ref="G36:G53" si="9">IF(TRIM(D36)="","",(1-IsEstimateUT)*((E36/1000)+(F36/1000)*SampleLOCConvRate)*(AvgBugUT)*Fix1UTBugFUP)</f>
        <v/>
      </c>
      <c r="H36" s="547" t="str">
        <f t="shared" ref="H36:H53" si="10">IF(TRIM(D36)="","",(1-IsEstimateCT)*((E36/1000)+(F36/1000)*SampleLOCConvRate)*(UTLatentDefect-CTLatentDefect)*Fix1CTBugFUP)</f>
        <v/>
      </c>
      <c r="I36" s="174" t="str">
        <f t="shared" ref="I36:I53" si="11">IF(TRIM(D36)="","",(1-IsEstimateST)*((E36/1000)+(F36/1000)*SampleLOCConvRate)*CTLatentDefect*Fix1STBugFUP)</f>
        <v/>
      </c>
      <c r="J36" s="188" t="str">
        <f t="shared" ref="J36:J53" si="12">IF(TRIM(D36)="","",IF(G36 &gt;= 1,CEILING(G36*UnitPoint_Effort_Rate*10/5,1)*5/10,G36*UnitPoint_Effort_Rate))</f>
        <v/>
      </c>
      <c r="K36" s="552" t="str">
        <f t="shared" ref="K36:K53" si="13">IF(TRIM(D36)="","",IF(H36 &gt;= 1,CEILING(H36*UnitPoint_Effort_Rate*10/5,1)*5/10,H36*UnitPoint_Effort_Rate))</f>
        <v/>
      </c>
      <c r="L36" s="174" t="str">
        <f t="shared" ref="L36:L53" si="14">IF(TRIM(D36)="","",IF(I36 &gt;= 1,CEILING(I36*UnitPoint_Effort_Rate*10/5,1)*5/10,I36*UnitPoint_Effort_Rate))</f>
        <v/>
      </c>
      <c r="M36" s="175"/>
      <c r="S36" s="8">
        <f t="shared" si="8"/>
        <v>0</v>
      </c>
    </row>
    <row r="37" spans="2:19">
      <c r="B37" s="160">
        <f t="shared" si="0"/>
        <v>34</v>
      </c>
      <c r="C37" s="190"/>
      <c r="D37" s="190"/>
      <c r="E37" s="264" t="str">
        <f>IF(TRIM(C37)="","",(SUMIF('PG1'!$D$4:$D$53,D37,'PG1'!$L$4:$L$53)) + (SUMIF('PG2'!$D$4:$D$53,D37,'PG2'!$E$4:$E$53)) + (SUMIF('PG3'!$D$4:$D$53,D37,'PG3'!$E$4:$E$53)))</f>
        <v/>
      </c>
      <c r="F37" s="171" t="str">
        <f>IF(TRIM(D37)="","",(SUMIF('PG2'!$D$4:$D$53,D37,'PG2'!$F$4:$F$53)) + (SUMIF('PG3'!$D$4:$D$53,D37,'PG3'!$F$4:$F$53)))</f>
        <v/>
      </c>
      <c r="G37" s="543" t="str">
        <f t="shared" si="9"/>
        <v/>
      </c>
      <c r="H37" s="546" t="str">
        <f t="shared" si="10"/>
        <v/>
      </c>
      <c r="I37" s="171" t="str">
        <f t="shared" si="11"/>
        <v/>
      </c>
      <c r="J37" s="186" t="str">
        <f t="shared" si="12"/>
        <v/>
      </c>
      <c r="K37" s="551" t="str">
        <f t="shared" si="13"/>
        <v/>
      </c>
      <c r="L37" s="171" t="str">
        <f t="shared" si="14"/>
        <v/>
      </c>
      <c r="M37" s="172"/>
      <c r="S37" s="8">
        <f t="shared" si="8"/>
        <v>0</v>
      </c>
    </row>
    <row r="38" spans="2:19">
      <c r="B38" s="162">
        <f t="shared" si="0"/>
        <v>35</v>
      </c>
      <c r="C38" s="189"/>
      <c r="D38" s="189"/>
      <c r="E38" s="265" t="str">
        <f>IF(TRIM(C38)="","",(SUMIF('PG1'!$D$4:$D$53,D38,'PG1'!$L$4:$L$53)) + (SUMIF('PG2'!$D$4:$D$53,D38,'PG2'!$E$4:$E$53)) + (SUMIF('PG3'!$D$4:$D$53,D38,'PG3'!$E$4:$E$53)))</f>
        <v/>
      </c>
      <c r="F38" s="174" t="str">
        <f>IF(TRIM(D38)="","",(SUMIF('PG2'!$D$4:$D$53,D38,'PG2'!$F$4:$F$53)) + (SUMIF('PG3'!$D$4:$D$53,D38,'PG3'!$F$4:$F$53)))</f>
        <v/>
      </c>
      <c r="G38" s="544" t="str">
        <f t="shared" si="9"/>
        <v/>
      </c>
      <c r="H38" s="547" t="str">
        <f t="shared" si="10"/>
        <v/>
      </c>
      <c r="I38" s="174" t="str">
        <f t="shared" si="11"/>
        <v/>
      </c>
      <c r="J38" s="188" t="str">
        <f t="shared" si="12"/>
        <v/>
      </c>
      <c r="K38" s="552" t="str">
        <f t="shared" si="13"/>
        <v/>
      </c>
      <c r="L38" s="174" t="str">
        <f t="shared" si="14"/>
        <v/>
      </c>
      <c r="M38" s="175"/>
      <c r="S38" s="8">
        <f t="shared" si="8"/>
        <v>0</v>
      </c>
    </row>
    <row r="39" spans="2:19">
      <c r="B39" s="160">
        <f t="shared" si="0"/>
        <v>36</v>
      </c>
      <c r="C39" s="190"/>
      <c r="D39" s="190"/>
      <c r="E39" s="264" t="str">
        <f>IF(TRIM(C39)="","",(SUMIF('PG1'!$D$4:$D$53,D39,'PG1'!$L$4:$L$53)) + (SUMIF('PG2'!$D$4:$D$53,D39,'PG2'!$E$4:$E$53)) + (SUMIF('PG3'!$D$4:$D$53,D39,'PG3'!$E$4:$E$53)))</f>
        <v/>
      </c>
      <c r="F39" s="171" t="str">
        <f>IF(TRIM(D39)="","",(SUMIF('PG2'!$D$4:$D$53,D39,'PG2'!$F$4:$F$53)) + (SUMIF('PG3'!$D$4:$D$53,D39,'PG3'!$F$4:$F$53)))</f>
        <v/>
      </c>
      <c r="G39" s="543" t="str">
        <f t="shared" si="9"/>
        <v/>
      </c>
      <c r="H39" s="546" t="str">
        <f t="shared" si="10"/>
        <v/>
      </c>
      <c r="I39" s="171" t="str">
        <f t="shared" si="11"/>
        <v/>
      </c>
      <c r="J39" s="186" t="str">
        <f t="shared" si="12"/>
        <v/>
      </c>
      <c r="K39" s="551" t="str">
        <f t="shared" si="13"/>
        <v/>
      </c>
      <c r="L39" s="171" t="str">
        <f t="shared" si="14"/>
        <v/>
      </c>
      <c r="M39" s="172"/>
      <c r="S39" s="8">
        <f t="shared" si="8"/>
        <v>0</v>
      </c>
    </row>
    <row r="40" spans="2:19">
      <c r="B40" s="162">
        <f t="shared" si="0"/>
        <v>37</v>
      </c>
      <c r="C40" s="189"/>
      <c r="D40" s="189"/>
      <c r="E40" s="265" t="str">
        <f>IF(TRIM(C40)="","",(SUMIF('PG1'!$D$4:$D$53,D40,'PG1'!$L$4:$L$53)) + (SUMIF('PG2'!$D$4:$D$53,D40,'PG2'!$E$4:$E$53)) + (SUMIF('PG3'!$D$4:$D$53,D40,'PG3'!$E$4:$E$53)))</f>
        <v/>
      </c>
      <c r="F40" s="174" t="str">
        <f>IF(TRIM(D40)="","",(SUMIF('PG2'!$D$4:$D$53,D40,'PG2'!$F$4:$F$53)) + (SUMIF('PG3'!$D$4:$D$53,D40,'PG3'!$F$4:$F$53)))</f>
        <v/>
      </c>
      <c r="G40" s="544" t="str">
        <f t="shared" si="9"/>
        <v/>
      </c>
      <c r="H40" s="547" t="str">
        <f t="shared" si="10"/>
        <v/>
      </c>
      <c r="I40" s="174" t="str">
        <f t="shared" si="11"/>
        <v/>
      </c>
      <c r="J40" s="188" t="str">
        <f t="shared" si="12"/>
        <v/>
      </c>
      <c r="K40" s="552" t="str">
        <f t="shared" si="13"/>
        <v/>
      </c>
      <c r="L40" s="174" t="str">
        <f t="shared" si="14"/>
        <v/>
      </c>
      <c r="M40" s="175"/>
      <c r="S40" s="8">
        <f t="shared" si="8"/>
        <v>0</v>
      </c>
    </row>
    <row r="41" spans="2:19">
      <c r="B41" s="160">
        <f t="shared" si="0"/>
        <v>38</v>
      </c>
      <c r="C41" s="190"/>
      <c r="D41" s="190"/>
      <c r="E41" s="264" t="str">
        <f>IF(TRIM(C41)="","",(SUMIF('PG1'!$D$4:$D$53,D41,'PG1'!$L$4:$L$53)) + (SUMIF('PG2'!$D$4:$D$53,D41,'PG2'!$E$4:$E$53)) + (SUMIF('PG3'!$D$4:$D$53,D41,'PG3'!$E$4:$E$53)))</f>
        <v/>
      </c>
      <c r="F41" s="171" t="str">
        <f>IF(TRIM(D41)="","",(SUMIF('PG2'!$D$4:$D$53,D41,'PG2'!$F$4:$F$53)) + (SUMIF('PG3'!$D$4:$D$53,D41,'PG3'!$F$4:$F$53)))</f>
        <v/>
      </c>
      <c r="G41" s="543" t="str">
        <f t="shared" si="9"/>
        <v/>
      </c>
      <c r="H41" s="546" t="str">
        <f t="shared" si="10"/>
        <v/>
      </c>
      <c r="I41" s="171" t="str">
        <f t="shared" si="11"/>
        <v/>
      </c>
      <c r="J41" s="186" t="str">
        <f t="shared" si="12"/>
        <v/>
      </c>
      <c r="K41" s="551" t="str">
        <f t="shared" si="13"/>
        <v/>
      </c>
      <c r="L41" s="171" t="str">
        <f t="shared" si="14"/>
        <v/>
      </c>
      <c r="M41" s="172"/>
      <c r="S41" s="8">
        <f t="shared" si="8"/>
        <v>0</v>
      </c>
    </row>
    <row r="42" spans="2:19">
      <c r="B42" s="162">
        <f t="shared" si="0"/>
        <v>39</v>
      </c>
      <c r="C42" s="191"/>
      <c r="D42" s="191"/>
      <c r="E42" s="265" t="str">
        <f>IF(TRIM(C42)="","",(SUMIF('PG1'!$D$4:$D$53,D42,'PG1'!$L$4:$L$53)) + (SUMIF('PG2'!$D$4:$D$53,D42,'PG2'!$E$4:$E$53)) + (SUMIF('PG3'!$D$4:$D$53,D42,'PG3'!$E$4:$E$53)))</f>
        <v/>
      </c>
      <c r="F42" s="174" t="str">
        <f>IF(TRIM(D42)="","",(SUMIF('PG2'!$D$4:$D$53,D42,'PG2'!$F$4:$F$53)) + (SUMIF('PG3'!$D$4:$D$53,D42,'PG3'!$F$4:$F$53)))</f>
        <v/>
      </c>
      <c r="G42" s="544" t="str">
        <f t="shared" si="9"/>
        <v/>
      </c>
      <c r="H42" s="547" t="str">
        <f t="shared" si="10"/>
        <v/>
      </c>
      <c r="I42" s="174" t="str">
        <f t="shared" si="11"/>
        <v/>
      </c>
      <c r="J42" s="188" t="str">
        <f t="shared" si="12"/>
        <v/>
      </c>
      <c r="K42" s="552" t="str">
        <f t="shared" si="13"/>
        <v/>
      </c>
      <c r="L42" s="174" t="str">
        <f t="shared" si="14"/>
        <v/>
      </c>
      <c r="M42" s="175"/>
      <c r="S42" s="8">
        <f t="shared" si="8"/>
        <v>0</v>
      </c>
    </row>
    <row r="43" spans="2:19">
      <c r="B43" s="160">
        <f t="shared" si="0"/>
        <v>40</v>
      </c>
      <c r="C43" s="190"/>
      <c r="D43" s="190"/>
      <c r="E43" s="264" t="str">
        <f>IF(TRIM(C43)="","",(SUMIF('PG1'!$D$4:$D$53,D43,'PG1'!$L$4:$L$53)) + (SUMIF('PG2'!$D$4:$D$53,D43,'PG2'!$E$4:$E$53)) + (SUMIF('PG3'!$D$4:$D$53,D43,'PG3'!$E$4:$E$53)))</f>
        <v/>
      </c>
      <c r="F43" s="171" t="str">
        <f>IF(TRIM(D43)="","",(SUMIF('PG2'!$D$4:$D$53,D43,'PG2'!$F$4:$F$53)) + (SUMIF('PG3'!$D$4:$D$53,D43,'PG3'!$F$4:$F$53)))</f>
        <v/>
      </c>
      <c r="G43" s="543" t="str">
        <f t="shared" si="9"/>
        <v/>
      </c>
      <c r="H43" s="546" t="str">
        <f t="shared" si="10"/>
        <v/>
      </c>
      <c r="I43" s="171" t="str">
        <f t="shared" si="11"/>
        <v/>
      </c>
      <c r="J43" s="186" t="str">
        <f t="shared" si="12"/>
        <v/>
      </c>
      <c r="K43" s="551" t="str">
        <f t="shared" si="13"/>
        <v/>
      </c>
      <c r="L43" s="171" t="str">
        <f t="shared" si="14"/>
        <v/>
      </c>
      <c r="M43" s="172"/>
      <c r="S43" s="8">
        <f t="shared" si="8"/>
        <v>0</v>
      </c>
    </row>
    <row r="44" spans="2:19">
      <c r="B44" s="162">
        <f t="shared" si="0"/>
        <v>41</v>
      </c>
      <c r="C44" s="189"/>
      <c r="D44" s="189"/>
      <c r="E44" s="265" t="str">
        <f>IF(TRIM(C44)="","",(SUMIF('PG1'!$D$4:$D$53,D44,'PG1'!$L$4:$L$53)) + (SUMIF('PG2'!$D$4:$D$53,D44,'PG2'!$E$4:$E$53)) + (SUMIF('PG3'!$D$4:$D$53,D44,'PG3'!$E$4:$E$53)))</f>
        <v/>
      </c>
      <c r="F44" s="174" t="str">
        <f>IF(TRIM(D44)="","",(SUMIF('PG2'!$D$4:$D$53,D44,'PG2'!$F$4:$F$53)) + (SUMIF('PG3'!$D$4:$D$53,D44,'PG3'!$F$4:$F$53)))</f>
        <v/>
      </c>
      <c r="G44" s="544" t="str">
        <f t="shared" si="9"/>
        <v/>
      </c>
      <c r="H44" s="547" t="str">
        <f t="shared" si="10"/>
        <v/>
      </c>
      <c r="I44" s="174" t="str">
        <f t="shared" si="11"/>
        <v/>
      </c>
      <c r="J44" s="188" t="str">
        <f t="shared" si="12"/>
        <v/>
      </c>
      <c r="K44" s="552" t="str">
        <f t="shared" si="13"/>
        <v/>
      </c>
      <c r="L44" s="174" t="str">
        <f t="shared" si="14"/>
        <v/>
      </c>
      <c r="M44" s="175"/>
      <c r="S44" s="8">
        <f t="shared" si="8"/>
        <v>0</v>
      </c>
    </row>
    <row r="45" spans="2:19">
      <c r="B45" s="160">
        <f t="shared" si="0"/>
        <v>42</v>
      </c>
      <c r="C45" s="190"/>
      <c r="D45" s="190"/>
      <c r="E45" s="264" t="str">
        <f>IF(TRIM(C45)="","",(SUMIF('PG1'!$D$4:$D$53,D45,'PG1'!$L$4:$L$53)) + (SUMIF('PG2'!$D$4:$D$53,D45,'PG2'!$E$4:$E$53)) + (SUMIF('PG3'!$D$4:$D$53,D45,'PG3'!$E$4:$E$53)))</f>
        <v/>
      </c>
      <c r="F45" s="171" t="str">
        <f>IF(TRIM(D45)="","",(SUMIF('PG2'!$D$4:$D$53,D45,'PG2'!$F$4:$F$53)) + (SUMIF('PG3'!$D$4:$D$53,D45,'PG3'!$F$4:$F$53)))</f>
        <v/>
      </c>
      <c r="G45" s="543" t="str">
        <f t="shared" si="9"/>
        <v/>
      </c>
      <c r="H45" s="546" t="str">
        <f t="shared" si="10"/>
        <v/>
      </c>
      <c r="I45" s="171" t="str">
        <f t="shared" si="11"/>
        <v/>
      </c>
      <c r="J45" s="186" t="str">
        <f t="shared" si="12"/>
        <v/>
      </c>
      <c r="K45" s="551" t="str">
        <f t="shared" si="13"/>
        <v/>
      </c>
      <c r="L45" s="171" t="str">
        <f t="shared" si="14"/>
        <v/>
      </c>
      <c r="M45" s="172"/>
      <c r="S45" s="8">
        <f t="shared" si="8"/>
        <v>0</v>
      </c>
    </row>
    <row r="46" spans="2:19">
      <c r="B46" s="162">
        <f t="shared" si="0"/>
        <v>43</v>
      </c>
      <c r="C46" s="189"/>
      <c r="D46" s="189"/>
      <c r="E46" s="265" t="str">
        <f>IF(TRIM(C46)="","",(SUMIF('PG1'!$D$4:$D$53,D46,'PG1'!$L$4:$L$53)) + (SUMIF('PG2'!$D$4:$D$53,D46,'PG2'!$E$4:$E$53)) + (SUMIF('PG3'!$D$4:$D$53,D46,'PG3'!$E$4:$E$53)))</f>
        <v/>
      </c>
      <c r="F46" s="174" t="str">
        <f>IF(TRIM(D46)="","",(SUMIF('PG2'!$D$4:$D$53,D46,'PG2'!$F$4:$F$53)) + (SUMIF('PG3'!$D$4:$D$53,D46,'PG3'!$F$4:$F$53)))</f>
        <v/>
      </c>
      <c r="G46" s="544" t="str">
        <f t="shared" si="9"/>
        <v/>
      </c>
      <c r="H46" s="547" t="str">
        <f t="shared" si="10"/>
        <v/>
      </c>
      <c r="I46" s="174" t="str">
        <f t="shared" si="11"/>
        <v/>
      </c>
      <c r="J46" s="188" t="str">
        <f t="shared" si="12"/>
        <v/>
      </c>
      <c r="K46" s="552" t="str">
        <f t="shared" si="13"/>
        <v/>
      </c>
      <c r="L46" s="174" t="str">
        <f t="shared" si="14"/>
        <v/>
      </c>
      <c r="M46" s="175"/>
      <c r="S46" s="8">
        <f t="shared" si="8"/>
        <v>0</v>
      </c>
    </row>
    <row r="47" spans="2:19">
      <c r="B47" s="160">
        <f t="shared" si="0"/>
        <v>44</v>
      </c>
      <c r="C47" s="190"/>
      <c r="D47" s="190"/>
      <c r="E47" s="264" t="str">
        <f>IF(TRIM(C47)="","",(SUMIF('PG1'!$D$4:$D$53,D47,'PG1'!$L$4:$L$53)) + (SUMIF('PG2'!$D$4:$D$53,D47,'PG2'!$E$4:$E$53)) + (SUMIF('PG3'!$D$4:$D$53,D47,'PG3'!$E$4:$E$53)))</f>
        <v/>
      </c>
      <c r="F47" s="171" t="str">
        <f>IF(TRIM(D47)="","",(SUMIF('PG2'!$D$4:$D$53,D47,'PG2'!$F$4:$F$53)) + (SUMIF('PG3'!$D$4:$D$53,D47,'PG3'!$F$4:$F$53)))</f>
        <v/>
      </c>
      <c r="G47" s="543" t="str">
        <f t="shared" si="9"/>
        <v/>
      </c>
      <c r="H47" s="546" t="str">
        <f t="shared" si="10"/>
        <v/>
      </c>
      <c r="I47" s="171" t="str">
        <f t="shared" si="11"/>
        <v/>
      </c>
      <c r="J47" s="186" t="str">
        <f t="shared" si="12"/>
        <v/>
      </c>
      <c r="K47" s="551" t="str">
        <f t="shared" si="13"/>
        <v/>
      </c>
      <c r="L47" s="171" t="str">
        <f t="shared" si="14"/>
        <v/>
      </c>
      <c r="M47" s="172"/>
      <c r="S47" s="8">
        <f t="shared" si="8"/>
        <v>0</v>
      </c>
    </row>
    <row r="48" spans="2:19">
      <c r="B48" s="162">
        <f t="shared" si="0"/>
        <v>45</v>
      </c>
      <c r="C48" s="189"/>
      <c r="D48" s="189"/>
      <c r="E48" s="265" t="str">
        <f>IF(TRIM(C48)="","",(SUMIF('PG1'!$D$4:$D$53,D48,'PG1'!$L$4:$L$53)) + (SUMIF('PG2'!$D$4:$D$53,D48,'PG2'!$E$4:$E$53)) + (SUMIF('PG3'!$D$4:$D$53,D48,'PG3'!$E$4:$E$53)))</f>
        <v/>
      </c>
      <c r="F48" s="174" t="str">
        <f>IF(TRIM(D48)="","",(SUMIF('PG2'!$D$4:$D$53,D48,'PG2'!$F$4:$F$53)) + (SUMIF('PG3'!$D$4:$D$53,D48,'PG3'!$F$4:$F$53)))</f>
        <v/>
      </c>
      <c r="G48" s="544" t="str">
        <f t="shared" si="9"/>
        <v/>
      </c>
      <c r="H48" s="547" t="str">
        <f t="shared" si="10"/>
        <v/>
      </c>
      <c r="I48" s="174" t="str">
        <f t="shared" si="11"/>
        <v/>
      </c>
      <c r="J48" s="188" t="str">
        <f t="shared" si="12"/>
        <v/>
      </c>
      <c r="K48" s="552" t="str">
        <f t="shared" si="13"/>
        <v/>
      </c>
      <c r="L48" s="174" t="str">
        <f t="shared" si="14"/>
        <v/>
      </c>
      <c r="M48" s="175"/>
      <c r="S48" s="8">
        <f t="shared" si="8"/>
        <v>0</v>
      </c>
    </row>
    <row r="49" spans="2:19">
      <c r="B49" s="160">
        <f t="shared" si="0"/>
        <v>46</v>
      </c>
      <c r="C49" s="190"/>
      <c r="D49" s="190"/>
      <c r="E49" s="264" t="str">
        <f>IF(TRIM(C49)="","",(SUMIF('PG1'!$D$4:$D$53,D49,'PG1'!$L$4:$L$53)) + (SUMIF('PG2'!$D$4:$D$53,D49,'PG2'!$E$4:$E$53)) + (SUMIF('PG3'!$D$4:$D$53,D49,'PG3'!$E$4:$E$53)))</f>
        <v/>
      </c>
      <c r="F49" s="171" t="str">
        <f>IF(TRIM(D49)="","",(SUMIF('PG2'!$D$4:$D$53,D49,'PG2'!$F$4:$F$53)) + (SUMIF('PG3'!$D$4:$D$53,D49,'PG3'!$F$4:$F$53)))</f>
        <v/>
      </c>
      <c r="G49" s="543" t="str">
        <f t="shared" si="9"/>
        <v/>
      </c>
      <c r="H49" s="546" t="str">
        <f t="shared" si="10"/>
        <v/>
      </c>
      <c r="I49" s="171" t="str">
        <f t="shared" si="11"/>
        <v/>
      </c>
      <c r="J49" s="186" t="str">
        <f t="shared" si="12"/>
        <v/>
      </c>
      <c r="K49" s="551" t="str">
        <f t="shared" si="13"/>
        <v/>
      </c>
      <c r="L49" s="171" t="str">
        <f t="shared" si="14"/>
        <v/>
      </c>
      <c r="M49" s="172"/>
      <c r="S49" s="8">
        <f t="shared" si="8"/>
        <v>0</v>
      </c>
    </row>
    <row r="50" spans="2:19">
      <c r="B50" s="162">
        <f t="shared" si="0"/>
        <v>47</v>
      </c>
      <c r="C50" s="189"/>
      <c r="D50" s="189"/>
      <c r="E50" s="265" t="str">
        <f>IF(TRIM(C50)="","",(SUMIF('PG1'!$D$4:$D$53,D50,'PG1'!$L$4:$L$53)) + (SUMIF('PG2'!$D$4:$D$53,D50,'PG2'!$E$4:$E$53)) + (SUMIF('PG3'!$D$4:$D$53,D50,'PG3'!$E$4:$E$53)))</f>
        <v/>
      </c>
      <c r="F50" s="174" t="str">
        <f>IF(TRIM(D50)="","",(SUMIF('PG2'!$D$4:$D$53,D50,'PG2'!$F$4:$F$53)) + (SUMIF('PG3'!$D$4:$D$53,D50,'PG3'!$F$4:$F$53)))</f>
        <v/>
      </c>
      <c r="G50" s="544" t="str">
        <f t="shared" si="9"/>
        <v/>
      </c>
      <c r="H50" s="547" t="str">
        <f t="shared" si="10"/>
        <v/>
      </c>
      <c r="I50" s="174" t="str">
        <f t="shared" si="11"/>
        <v/>
      </c>
      <c r="J50" s="188" t="str">
        <f t="shared" si="12"/>
        <v/>
      </c>
      <c r="K50" s="552" t="str">
        <f t="shared" si="13"/>
        <v/>
      </c>
      <c r="L50" s="174" t="str">
        <f t="shared" si="14"/>
        <v/>
      </c>
      <c r="M50" s="175"/>
      <c r="S50" s="8">
        <f t="shared" si="8"/>
        <v>0</v>
      </c>
    </row>
    <row r="51" spans="2:19">
      <c r="B51" s="160">
        <f t="shared" si="0"/>
        <v>48</v>
      </c>
      <c r="C51" s="190"/>
      <c r="D51" s="190"/>
      <c r="E51" s="264" t="str">
        <f>IF(TRIM(C51)="","",(SUMIF('PG1'!$D$4:$D$53,D51,'PG1'!$L$4:$L$53)) + (SUMIF('PG2'!$D$4:$D$53,D51,'PG2'!$E$4:$E$53)) + (SUMIF('PG3'!$D$4:$D$53,D51,'PG3'!$E$4:$E$53)))</f>
        <v/>
      </c>
      <c r="F51" s="171" t="str">
        <f>IF(TRIM(D51)="","",(SUMIF('PG2'!$D$4:$D$53,D51,'PG2'!$F$4:$F$53)) + (SUMIF('PG3'!$D$4:$D$53,D51,'PG3'!$F$4:$F$53)))</f>
        <v/>
      </c>
      <c r="G51" s="543" t="str">
        <f t="shared" si="9"/>
        <v/>
      </c>
      <c r="H51" s="546" t="str">
        <f t="shared" si="10"/>
        <v/>
      </c>
      <c r="I51" s="171" t="str">
        <f t="shared" si="11"/>
        <v/>
      </c>
      <c r="J51" s="186" t="str">
        <f t="shared" si="12"/>
        <v/>
      </c>
      <c r="K51" s="551" t="str">
        <f t="shared" si="13"/>
        <v/>
      </c>
      <c r="L51" s="171" t="str">
        <f t="shared" si="14"/>
        <v/>
      </c>
      <c r="M51" s="172"/>
      <c r="S51" s="8">
        <f t="shared" si="8"/>
        <v>0</v>
      </c>
    </row>
    <row r="52" spans="2:19">
      <c r="B52" s="162">
        <f t="shared" si="0"/>
        <v>49</v>
      </c>
      <c r="C52" s="191"/>
      <c r="D52" s="191"/>
      <c r="E52" s="265" t="str">
        <f>IF(TRIM(C52)="","",(SUMIF('PG1'!$D$4:$D$53,D52,'PG1'!$L$4:$L$53)) + (SUMIF('PG2'!$D$4:$D$53,D52,'PG2'!$E$4:$E$53)) + (SUMIF('PG3'!$D$4:$D$53,D52,'PG3'!$E$4:$E$53)))</f>
        <v/>
      </c>
      <c r="F52" s="174" t="str">
        <f>IF(TRIM(D52)="","",(SUMIF('PG2'!$D$4:$D$53,D52,'PG2'!$F$4:$F$53)) + (SUMIF('PG3'!$D$4:$D$53,D52,'PG3'!$F$4:$F$53)))</f>
        <v/>
      </c>
      <c r="G52" s="544" t="str">
        <f t="shared" si="9"/>
        <v/>
      </c>
      <c r="H52" s="547" t="str">
        <f t="shared" si="10"/>
        <v/>
      </c>
      <c r="I52" s="174" t="str">
        <f t="shared" si="11"/>
        <v/>
      </c>
      <c r="J52" s="188" t="str">
        <f t="shared" si="12"/>
        <v/>
      </c>
      <c r="K52" s="552" t="str">
        <f t="shared" si="13"/>
        <v/>
      </c>
      <c r="L52" s="174" t="str">
        <f t="shared" si="14"/>
        <v/>
      </c>
      <c r="M52" s="175"/>
      <c r="S52" s="8">
        <f t="shared" si="8"/>
        <v>0</v>
      </c>
    </row>
    <row r="53" spans="2:19" ht="15.75" thickBot="1">
      <c r="B53" s="192">
        <f t="shared" si="0"/>
        <v>50</v>
      </c>
      <c r="C53" s="193"/>
      <c r="D53" s="193"/>
      <c r="E53" s="334" t="str">
        <f>IF(TRIM(C53)="","",(SUMIF('PG1'!$D$4:$D$53,D53,'PG1'!$L$4:$L$53)) + (SUMIF('PG2'!$D$4:$D$53,D53,'PG2'!$E$4:$E$53)) + (SUMIF('PG3'!$D$4:$D$53,D53,'PG3'!$E$4:$E$53)))</f>
        <v/>
      </c>
      <c r="F53" s="179" t="str">
        <f>IF(TRIM(D53)="","",(SUMIF('PG2'!$D$4:$D$53,D53,'PG2'!$F$4:$F$53)) + (SUMIF('PG3'!$D$4:$D$53,D53,'PG3'!$F$4:$F$53)))</f>
        <v/>
      </c>
      <c r="G53" s="545" t="str">
        <f t="shared" si="9"/>
        <v/>
      </c>
      <c r="H53" s="548" t="str">
        <f t="shared" si="10"/>
        <v/>
      </c>
      <c r="I53" s="179" t="str">
        <f t="shared" si="11"/>
        <v/>
      </c>
      <c r="J53" s="195" t="str">
        <f t="shared" si="12"/>
        <v/>
      </c>
      <c r="K53" s="553" t="str">
        <f t="shared" si="13"/>
        <v/>
      </c>
      <c r="L53" s="179" t="str">
        <f t="shared" si="14"/>
        <v/>
      </c>
      <c r="M53" s="180"/>
      <c r="S53" s="8">
        <f t="shared" si="8"/>
        <v>0</v>
      </c>
    </row>
    <row r="54" spans="2:19">
      <c r="B54" s="137"/>
      <c r="C54" s="137"/>
      <c r="D54" s="137"/>
      <c r="E54" s="138"/>
      <c r="F54" s="138"/>
      <c r="G54" s="139"/>
      <c r="H54" s="139"/>
      <c r="I54" s="139"/>
      <c r="J54" s="138"/>
      <c r="K54" s="138"/>
      <c r="L54" s="138"/>
      <c r="M54" s="137"/>
    </row>
  </sheetData>
  <protectedRanges>
    <protectedRange sqref="M4:M53" name="Range2"/>
    <protectedRange sqref="C19:D53" name="Range1"/>
    <protectedRange sqref="C4:D18" name="Range1_1"/>
  </protectedRanges>
  <mergeCells count="1">
    <mergeCell ref="B1:M1"/>
  </mergeCells>
  <phoneticPr fontId="3"/>
  <conditionalFormatting sqref="M4:M53 B4:D53">
    <cfRule type="expression" dxfId="80" priority="8" stopIfTrue="1">
      <formula>$S4&gt;1</formula>
    </cfRule>
    <cfRule type="expression" dxfId="79" priority="15" stopIfTrue="1">
      <formula>MOD(ROW(),2)=0</formula>
    </cfRule>
    <cfRule type="expression" dxfId="78" priority="16" stopIfTrue="1">
      <formula>MOD(ROW(),2)=1</formula>
    </cfRule>
  </conditionalFormatting>
  <conditionalFormatting sqref="E4:F53 K4:L53 H4:I53">
    <cfRule type="expression" dxfId="77" priority="13" stopIfTrue="1">
      <formula>MOD(ROW(),2)=0</formula>
    </cfRule>
    <cfRule type="expression" dxfId="76" priority="14" stopIfTrue="1">
      <formula>MOD(ROW(),2)=1</formula>
    </cfRule>
  </conditionalFormatting>
  <conditionalFormatting sqref="J4:J53">
    <cfRule type="expression" dxfId="75" priority="6" stopIfTrue="1">
      <formula>MOD(ROW(),2)=0</formula>
    </cfRule>
    <cfRule type="expression" dxfId="74" priority="7" stopIfTrue="1">
      <formula>MOD(ROW(),2)=1</formula>
    </cfRule>
  </conditionalFormatting>
  <conditionalFormatting sqref="G4:G53">
    <cfRule type="expression" dxfId="73" priority="4" stopIfTrue="1">
      <formula>MOD(ROW(),2)=0</formula>
    </cfRule>
    <cfRule type="expression" dxfId="72" priority="5" stopIfTrue="1">
      <formula>MOD(ROW(),2)=1</formula>
    </cfRule>
  </conditionalFormatting>
  <conditionalFormatting sqref="C4:D18">
    <cfRule type="expression" dxfId="71" priority="1" stopIfTrue="1">
      <formula>$Q4&gt;1</formula>
    </cfRule>
    <cfRule type="expression" dxfId="70" priority="2" stopIfTrue="1">
      <formula>MOD(ROW(),2)=0</formula>
    </cfRule>
    <cfRule type="expression" dxfId="69" priority="3" stopIfTrue="1">
      <formula>MOD(ROW(),2)=1</formula>
    </cfRule>
  </conditionalFormatting>
  <printOptions horizontalCentered="1"/>
  <pageMargins left="0.59055118110236227" right="0.39370078740157483" top="0.39370078740157483" bottom="0.39370078740157483" header="0.51181102362204722" footer="0.51181102362204722"/>
  <pageSetup paperSize="9" scale="81" orientation="landscape" r:id="rId1"/>
  <headerFooter alignWithMargins="0"/>
</worksheet>
</file>

<file path=xl/worksheets/sheet4.xml><?xml version="1.0" encoding="utf-8"?>
<worksheet xmlns="http://schemas.openxmlformats.org/spreadsheetml/2006/main" xmlns:r="http://schemas.openxmlformats.org/officeDocument/2006/relationships">
  <sheetPr codeName="Sheet7"/>
  <dimension ref="A1:AH54"/>
  <sheetViews>
    <sheetView view="pageBreakPreview" zoomScale="85" zoomScaleNormal="100" workbookViewId="0">
      <pane xSplit="4" ySplit="3" topLeftCell="E4" activePane="bottomRight" state="frozen"/>
      <selection activeCell="C11" sqref="A8:W12"/>
      <selection pane="topRight" activeCell="C11" sqref="A8:W12"/>
      <selection pane="bottomLeft" activeCell="C11" sqref="A8:W12"/>
      <selection pane="bottomRight" activeCell="D33" sqref="D33"/>
    </sheetView>
  </sheetViews>
  <sheetFormatPr defaultRowHeight="15"/>
  <cols>
    <col min="1" max="1" width="1.625" style="8" customWidth="1"/>
    <col min="2" max="2" width="3.875" style="8" bestFit="1" customWidth="1"/>
    <col min="3" max="4" width="30.625" style="8" customWidth="1"/>
    <col min="5" max="5" width="11.25" style="8" customWidth="1"/>
    <col min="6" max="6" width="13.5" style="27" customWidth="1"/>
    <col min="7" max="7" width="11.625" style="27" customWidth="1"/>
    <col min="8" max="8" width="7.25" style="27" customWidth="1"/>
    <col min="9" max="10" width="7.25" style="26" hidden="1" customWidth="1"/>
    <col min="11" max="15" width="7.25" style="27" customWidth="1"/>
    <col min="16" max="16" width="31.875" style="8" customWidth="1"/>
    <col min="17" max="17" width="1.625" style="8" customWidth="1"/>
    <col min="18" max="16384" width="9" style="8"/>
  </cols>
  <sheetData>
    <row r="1" spans="1:34" ht="15.75" thickBot="1">
      <c r="B1" s="131" t="s">
        <v>137</v>
      </c>
      <c r="C1" s="131"/>
      <c r="D1" s="131"/>
      <c r="E1" s="144" t="s">
        <v>198</v>
      </c>
      <c r="F1" s="145" t="s">
        <v>199</v>
      </c>
      <c r="G1" s="145" t="s">
        <v>200</v>
      </c>
      <c r="H1" s="131"/>
      <c r="I1" s="131"/>
      <c r="J1" s="131"/>
      <c r="K1" s="131"/>
      <c r="L1" s="131"/>
      <c r="M1" s="131"/>
      <c r="N1" s="131"/>
      <c r="O1" s="131"/>
      <c r="P1" s="131"/>
    </row>
    <row r="2" spans="1:34" ht="15.75" thickBot="1">
      <c r="C2" s="65" t="s">
        <v>130</v>
      </c>
      <c r="E2" s="143" t="s">
        <v>213</v>
      </c>
      <c r="F2" s="341">
        <f>Legend!I15</f>
        <v>80</v>
      </c>
      <c r="G2" s="341">
        <f>Legend!J15</f>
        <v>8</v>
      </c>
      <c r="H2" s="621" t="s">
        <v>298</v>
      </c>
      <c r="I2" s="621"/>
      <c r="J2" s="341">
        <f>AvgBugUT</f>
        <v>9</v>
      </c>
      <c r="K2" s="380">
        <f>Legend!I20</f>
        <v>0.5</v>
      </c>
      <c r="L2" s="381">
        <f>Legend!J20</f>
        <v>0.2</v>
      </c>
      <c r="M2" s="381">
        <f>Legend!K20</f>
        <v>0.20000000000000007</v>
      </c>
      <c r="N2" s="382">
        <f>Legend!L20</f>
        <v>0.1</v>
      </c>
    </row>
    <row r="3" spans="1:34" s="46" customFormat="1" ht="26.25" thickBot="1">
      <c r="B3" s="10" t="s">
        <v>9</v>
      </c>
      <c r="C3" s="11" t="s">
        <v>2</v>
      </c>
      <c r="D3" s="11" t="s">
        <v>10</v>
      </c>
      <c r="E3" s="17" t="s">
        <v>208</v>
      </c>
      <c r="F3" s="135" t="s">
        <v>211</v>
      </c>
      <c r="G3" s="136" t="s">
        <v>381</v>
      </c>
      <c r="H3" s="132" t="s">
        <v>212</v>
      </c>
      <c r="I3" s="301" t="s">
        <v>266</v>
      </c>
      <c r="J3" s="35" t="s">
        <v>292</v>
      </c>
      <c r="K3" s="30" t="s">
        <v>29</v>
      </c>
      <c r="L3" s="31" t="s">
        <v>30</v>
      </c>
      <c r="M3" s="32" t="s">
        <v>15</v>
      </c>
      <c r="N3" s="32" t="s">
        <v>156</v>
      </c>
      <c r="O3" s="320" t="s">
        <v>293</v>
      </c>
      <c r="P3" s="536" t="s">
        <v>11</v>
      </c>
      <c r="R3" s="46" t="s">
        <v>323</v>
      </c>
      <c r="S3" s="46" t="s">
        <v>313</v>
      </c>
      <c r="U3" s="46" t="s">
        <v>312</v>
      </c>
      <c r="V3" s="46" t="s">
        <v>301</v>
      </c>
      <c r="Y3" s="325" t="s">
        <v>304</v>
      </c>
      <c r="Z3" s="46" t="s">
        <v>315</v>
      </c>
      <c r="AB3" s="325" t="s">
        <v>305</v>
      </c>
      <c r="AC3" s="46" t="s">
        <v>315</v>
      </c>
      <c r="AE3" s="46" t="s">
        <v>318</v>
      </c>
      <c r="AH3" s="46" t="s">
        <v>349</v>
      </c>
    </row>
    <row r="4" spans="1:34" ht="25.5">
      <c r="A4" s="140"/>
      <c r="B4" s="157">
        <f t="shared" ref="B4:B35" si="0">ROW() - 3</f>
        <v>1</v>
      </c>
      <c r="C4" s="196" t="s">
        <v>453</v>
      </c>
      <c r="D4" s="197" t="s">
        <v>453</v>
      </c>
      <c r="E4" s="198">
        <v>2.5</v>
      </c>
      <c r="F4" s="188">
        <f>IF(TRIM(D4)="","",(SUMIF('PG1'!$D$4:$D$53,D4,'PG1'!$L$4:$L$53)) +(SUMIF('PG2'!$D$4:$D$53,D4,'PG2'!$E$4:$E$53)) + (SUMIF('PG3'!$D$4:$D$53,D4,'PG3'!$E$4:$E$53)))</f>
        <v>2911.5</v>
      </c>
      <c r="G4" s="174">
        <f>IF(TRIM(D4)="","",(SUMIF('PG2'!$D$4:$D$53,D4,'PG2'!$F$4:$F$53)) + (SUMIF('PG3'!$D$4:$D$53,D4,'PG3'!$F$4:$F$53)))</f>
        <v>9705</v>
      </c>
      <c r="H4" s="219">
        <f t="shared" ref="H4:H35" si="1">IF(TRIM(D4)="","",CEILING(F4/1000*NEW_CaseRate+G4/1000*REUSE_CaseRate,1))</f>
        <v>311</v>
      </c>
      <c r="I4" s="220">
        <f t="shared" ref="I4:I35" si="2">IF(TRIM(D4)="","",IF(E4&lt;&gt;"",E4*H4/PT1_Base*PT1_Unit,1*H4/PT1_Base*PT1_Unit))</f>
        <v>103.66666666666667</v>
      </c>
      <c r="J4" s="159">
        <f t="shared" ref="J4:J35" si="3">IF(TRIM(D4)="","",((F4/1000)+(G4/1000)*SampleLOCConvRate)*AvgUTBugKLOC*Fix1UTBugFUP)</f>
        <v>6.9876000000000005</v>
      </c>
      <c r="K4" s="184">
        <f t="shared" ref="K4:K35" si="4">IF(TRIM(C4)="","",IF(I4 &gt;= 1,CEILING(I4*UnitPoint_Effort_Rate*TestDoc_Rate*10/5,1)*5/10,I4*UnitPoint_Effort_Rate*TestDoc_Rate))</f>
        <v>104</v>
      </c>
      <c r="L4" s="159">
        <f t="shared" ref="L4:L35" si="5">IF(TRIM(C4)="","",IF(I4 &gt;= 1, CEILING(I4*UnitPoint_Effort_Rate*TestData_Rate*10/5,1)*5/10,I4*UnitPoint_Effort_Rate*TestData_Rate))</f>
        <v>41.5</v>
      </c>
      <c r="M4" s="221">
        <f t="shared" ref="M4:M35" si="6">IF(TRIM(C4)="","",CEILING(I4*UnitPoint_Effort_Rate*TestExecute_Rate*10/5,1)*5/10)</f>
        <v>41.5</v>
      </c>
      <c r="N4" s="221">
        <f t="shared" ref="N4:N35" si="7">IF(TRIM(D4)="","",IF(I4 &gt;= 1,CEILING(I4*UnitPoint_Effort_Rate*TestEvidence_Rate*10/5,1)*5/10,I4*UnitPoint_Effort_Rate*TestEvidence_Rate))</f>
        <v>21</v>
      </c>
      <c r="O4" s="221">
        <f t="shared" ref="O4:O35" si="8">IF(TRIM(D4)="","",IF(J4 &gt;= 1,CEILING(J4*UnitPoint_Effort_Rate*10/5,1)*5/10,J4*UnitPoint_Effort_Rate))</f>
        <v>14</v>
      </c>
      <c r="P4" s="537"/>
      <c r="R4" s="8">
        <v>2.06</v>
      </c>
      <c r="S4" s="8">
        <f t="shared" ref="S4:S17" si="9">IF(TRIM(D4)="","",IF(R4 &gt;= 1,CEILING(R4*UnitPoint_Effort_Rate*10/5,1)*5/10,R4*UnitPoint_Effort_Rate))</f>
        <v>4.5</v>
      </c>
      <c r="U4" s="8">
        <f>((F4/1000)+(G4/1000)*SampleLOCConvRate)*AvgUTBugKLOC</f>
        <v>34.938000000000002</v>
      </c>
      <c r="V4" s="8">
        <f t="shared" ref="V4:V17" si="10">U4*Fix1UTBugFUP*UnitPoint_Effort_Rate</f>
        <v>13.975200000000001</v>
      </c>
      <c r="Y4" s="8">
        <f t="shared" ref="Y4:Y17" si="11">(1-IsEstimateCT)*(F4/1000)*UTLatentDefect</f>
        <v>0</v>
      </c>
      <c r="Z4" s="8">
        <f t="shared" ref="Z4:Z17" si="12">Y4*Fix1CTBugFUP*UnitPoint_Effort_Rate</f>
        <v>0</v>
      </c>
      <c r="AB4" s="8">
        <f t="shared" ref="AB4:AB17" si="13">(1-IsEstimateCT)*(1-IsEstimateST)*(F4/1000)*CTLatentDefect</f>
        <v>0</v>
      </c>
      <c r="AC4" s="8">
        <f t="shared" ref="AC4:AC17" si="14">AB4*Fix1STBugFUP*UnitPoint_Effort_Rate</f>
        <v>0</v>
      </c>
      <c r="AE4" s="8">
        <f>Z4+AC4</f>
        <v>0</v>
      </c>
      <c r="AH4" s="8">
        <f>COUNTIF($D$4:$D$53,D4)</f>
        <v>1</v>
      </c>
    </row>
    <row r="5" spans="1:34" ht="25.5">
      <c r="A5" s="140"/>
      <c r="B5" s="160">
        <f t="shared" si="0"/>
        <v>2</v>
      </c>
      <c r="C5" s="554" t="s">
        <v>455</v>
      </c>
      <c r="D5" s="558" t="s">
        <v>455</v>
      </c>
      <c r="E5" s="200">
        <v>2.5</v>
      </c>
      <c r="F5" s="186">
        <f>IF(TRIM(D5)="","",(SUMIF('PG1'!$D$4:$D$53,D5,'PG1'!$L$4:$L$53)) +(SUMIF('PG2'!$D$4:$D$53,D5,'PG2'!$E$4:$E$53)) + (SUMIF('PG3'!$D$4:$D$53,D5,'PG3'!$E$4:$E$53)))</f>
        <v>823.5</v>
      </c>
      <c r="G5" s="171">
        <f>IF(TRIM(D5)="","",(SUMIF('PG2'!$D$4:$D$53,D5,'PG2'!$F$4:$F$53)) + (SUMIF('PG3'!$D$4:$D$53,D5,'PG3'!$F$4:$F$53)))</f>
        <v>2745</v>
      </c>
      <c r="H5" s="222">
        <f t="shared" si="1"/>
        <v>88</v>
      </c>
      <c r="I5" s="223">
        <f t="shared" si="2"/>
        <v>29.333333333333332</v>
      </c>
      <c r="J5" s="318">
        <f t="shared" si="3"/>
        <v>1.9764000000000004</v>
      </c>
      <c r="K5" s="184">
        <f t="shared" si="4"/>
        <v>29.5</v>
      </c>
      <c r="L5" s="159">
        <f t="shared" si="5"/>
        <v>12</v>
      </c>
      <c r="M5" s="221">
        <f t="shared" si="6"/>
        <v>12</v>
      </c>
      <c r="N5" s="221">
        <f t="shared" si="7"/>
        <v>6</v>
      </c>
      <c r="O5" s="221">
        <f t="shared" si="8"/>
        <v>4</v>
      </c>
      <c r="P5" s="538"/>
      <c r="R5" s="8">
        <v>2.64</v>
      </c>
      <c r="S5" s="8">
        <f t="shared" si="9"/>
        <v>5.5</v>
      </c>
      <c r="U5" s="8">
        <f t="shared" ref="U5:U17" si="15">(F5/1000)*AvgUTBugKLOC</f>
        <v>7.4115000000000002</v>
      </c>
      <c r="V5" s="8">
        <f t="shared" si="10"/>
        <v>2.9646000000000003</v>
      </c>
      <c r="Y5" s="8">
        <f t="shared" si="11"/>
        <v>0</v>
      </c>
      <c r="Z5" s="8">
        <f t="shared" si="12"/>
        <v>0</v>
      </c>
      <c r="AB5" s="8">
        <f t="shared" si="13"/>
        <v>0</v>
      </c>
      <c r="AC5" s="8">
        <f t="shared" si="14"/>
        <v>0</v>
      </c>
      <c r="AE5" s="8">
        <f t="shared" ref="AE5:AE17" si="16">Z5+AC5</f>
        <v>0</v>
      </c>
      <c r="AH5" s="8">
        <f t="shared" ref="AH5:AH53" si="17">COUNTIF($D$4:$D$53,D5)</f>
        <v>1</v>
      </c>
    </row>
    <row r="6" spans="1:34">
      <c r="A6" s="140"/>
      <c r="B6" s="162">
        <f t="shared" si="0"/>
        <v>3</v>
      </c>
      <c r="C6" s="555" t="s">
        <v>456</v>
      </c>
      <c r="D6" s="559" t="s">
        <v>456</v>
      </c>
      <c r="E6" s="200">
        <v>2.5</v>
      </c>
      <c r="F6" s="188">
        <f>IF(TRIM(D6)="","",(SUMIF('PG1'!$D$4:$D$53,D6,'PG1'!$L$4:$L$53)) +(SUMIF('PG2'!$D$4:$D$53,D6,'PG2'!$E$4:$E$53)) + (SUMIF('PG3'!$D$4:$D$53,D6,'PG3'!$E$4:$E$53)))</f>
        <v>2703.6</v>
      </c>
      <c r="G6" s="174">
        <f>IF(TRIM(D6)="","",(SUMIF('PG2'!$D$4:$D$53,D6,'PG2'!$F$4:$F$53)) + (SUMIF('PG3'!$D$4:$D$53,D6,'PG3'!$F$4:$F$53)))</f>
        <v>9012</v>
      </c>
      <c r="H6" s="219">
        <f t="shared" si="1"/>
        <v>289</v>
      </c>
      <c r="I6" s="224">
        <f t="shared" si="2"/>
        <v>96.333333333333329</v>
      </c>
      <c r="J6" s="159">
        <f t="shared" si="3"/>
        <v>6.4886400000000002</v>
      </c>
      <c r="K6" s="184">
        <f t="shared" si="4"/>
        <v>96.5</v>
      </c>
      <c r="L6" s="159">
        <f t="shared" si="5"/>
        <v>39</v>
      </c>
      <c r="M6" s="221">
        <f t="shared" si="6"/>
        <v>39</v>
      </c>
      <c r="N6" s="221">
        <f t="shared" si="7"/>
        <v>19.5</v>
      </c>
      <c r="O6" s="221">
        <f t="shared" si="8"/>
        <v>13</v>
      </c>
      <c r="P6" s="539"/>
      <c r="R6" s="8">
        <v>1.2800000000000002</v>
      </c>
      <c r="S6" s="8">
        <f t="shared" si="9"/>
        <v>3</v>
      </c>
      <c r="U6" s="8">
        <f t="shared" si="15"/>
        <v>24.3324</v>
      </c>
      <c r="V6" s="8">
        <f t="shared" si="10"/>
        <v>9.7329600000000003</v>
      </c>
      <c r="Y6" s="8">
        <f t="shared" si="11"/>
        <v>0</v>
      </c>
      <c r="Z6" s="8">
        <f t="shared" si="12"/>
        <v>0</v>
      </c>
      <c r="AB6" s="8">
        <f t="shared" si="13"/>
        <v>0</v>
      </c>
      <c r="AC6" s="8">
        <f t="shared" si="14"/>
        <v>0</v>
      </c>
      <c r="AE6" s="8">
        <f t="shared" si="16"/>
        <v>0</v>
      </c>
      <c r="AH6" s="8">
        <f t="shared" si="17"/>
        <v>1</v>
      </c>
    </row>
    <row r="7" spans="1:34">
      <c r="A7" s="140"/>
      <c r="B7" s="160">
        <f t="shared" si="0"/>
        <v>4</v>
      </c>
      <c r="C7" s="554" t="s">
        <v>457</v>
      </c>
      <c r="D7" s="558" t="s">
        <v>457</v>
      </c>
      <c r="E7" s="200">
        <v>2.5</v>
      </c>
      <c r="F7" s="186">
        <f>IF(TRIM(D7)="","",(SUMIF('PG1'!$D$4:$D$53,D7,'PG1'!$L$4:$L$53)) +(SUMIF('PG2'!$D$4:$D$53,D7,'PG2'!$E$4:$E$53)) + (SUMIF('PG3'!$D$4:$D$53,D7,'PG3'!$E$4:$E$53)))</f>
        <v>926.69999999999993</v>
      </c>
      <c r="G7" s="171">
        <f>IF(TRIM(D7)="","",(SUMIF('PG2'!$D$4:$D$53,D7,'PG2'!$F$4:$F$53)) + (SUMIF('PG3'!$D$4:$D$53,D7,'PG3'!$F$4:$F$53)))</f>
        <v>3089</v>
      </c>
      <c r="H7" s="222">
        <f t="shared" si="1"/>
        <v>99</v>
      </c>
      <c r="I7" s="223">
        <f t="shared" si="2"/>
        <v>33</v>
      </c>
      <c r="J7" s="318">
        <f t="shared" si="3"/>
        <v>2.2240800000000003</v>
      </c>
      <c r="K7" s="184">
        <f t="shared" si="4"/>
        <v>33</v>
      </c>
      <c r="L7" s="159">
        <f t="shared" si="5"/>
        <v>13.5</v>
      </c>
      <c r="M7" s="221">
        <f t="shared" si="6"/>
        <v>13.5</v>
      </c>
      <c r="N7" s="221">
        <f t="shared" si="7"/>
        <v>7</v>
      </c>
      <c r="O7" s="221">
        <f t="shared" si="8"/>
        <v>4.5</v>
      </c>
      <c r="P7" s="538"/>
      <c r="R7" s="8">
        <v>14.080000000000002</v>
      </c>
      <c r="S7" s="8">
        <f t="shared" si="9"/>
        <v>28.5</v>
      </c>
      <c r="U7" s="8">
        <f t="shared" si="15"/>
        <v>8.3402999999999992</v>
      </c>
      <c r="V7" s="8">
        <f t="shared" si="10"/>
        <v>3.3361199999999998</v>
      </c>
      <c r="Y7" s="8">
        <f t="shared" si="11"/>
        <v>0</v>
      </c>
      <c r="Z7" s="8">
        <f t="shared" si="12"/>
        <v>0</v>
      </c>
      <c r="AB7" s="8">
        <f t="shared" si="13"/>
        <v>0</v>
      </c>
      <c r="AC7" s="8">
        <f t="shared" si="14"/>
        <v>0</v>
      </c>
      <c r="AE7" s="8">
        <f t="shared" si="16"/>
        <v>0</v>
      </c>
      <c r="AH7" s="8">
        <f t="shared" si="17"/>
        <v>1</v>
      </c>
    </row>
    <row r="8" spans="1:34">
      <c r="B8" s="162">
        <f t="shared" si="0"/>
        <v>5</v>
      </c>
      <c r="C8" s="556" t="s">
        <v>458</v>
      </c>
      <c r="D8" s="559" t="s">
        <v>458</v>
      </c>
      <c r="E8" s="200">
        <v>2.5</v>
      </c>
      <c r="F8" s="188">
        <f>IF(TRIM(D8)="","",(SUMIF('PG1'!$D$4:$D$53,D8,'PG1'!$L$4:$L$53)) +(SUMIF('PG2'!$D$4:$D$53,D8,'PG2'!$E$4:$E$53)) + (SUMIF('PG3'!$D$4:$D$53,D8,'PG3'!$E$4:$E$53)))</f>
        <v>96</v>
      </c>
      <c r="G8" s="174">
        <f>IF(TRIM(D8)="","",(SUMIF('PG2'!$D$4:$D$53,D8,'PG2'!$F$4:$F$53)) + (SUMIF('PG3'!$D$4:$D$53,D8,'PG3'!$F$4:$F$53)))</f>
        <v>320</v>
      </c>
      <c r="H8" s="219">
        <f t="shared" si="1"/>
        <v>11</v>
      </c>
      <c r="I8" s="224">
        <f t="shared" si="2"/>
        <v>3.6666666666666665</v>
      </c>
      <c r="J8" s="159">
        <f t="shared" si="3"/>
        <v>0.23040000000000005</v>
      </c>
      <c r="K8" s="184">
        <f t="shared" si="4"/>
        <v>4</v>
      </c>
      <c r="L8" s="159">
        <f t="shared" si="5"/>
        <v>1.5</v>
      </c>
      <c r="M8" s="221">
        <f t="shared" si="6"/>
        <v>1.5</v>
      </c>
      <c r="N8" s="221">
        <f t="shared" si="7"/>
        <v>1</v>
      </c>
      <c r="O8" s="221">
        <f t="shared" si="8"/>
        <v>0.4608000000000001</v>
      </c>
      <c r="P8" s="539"/>
      <c r="R8" s="8">
        <v>10.240000000000002</v>
      </c>
      <c r="S8" s="8">
        <f t="shared" si="9"/>
        <v>20.5</v>
      </c>
      <c r="U8" s="8">
        <f t="shared" si="15"/>
        <v>0.86399999999999999</v>
      </c>
      <c r="V8" s="8">
        <f t="shared" si="10"/>
        <v>0.34560000000000002</v>
      </c>
      <c r="Y8" s="8">
        <f t="shared" si="11"/>
        <v>0</v>
      </c>
      <c r="Z8" s="8">
        <f t="shared" si="12"/>
        <v>0</v>
      </c>
      <c r="AB8" s="8">
        <f t="shared" si="13"/>
        <v>0</v>
      </c>
      <c r="AC8" s="8">
        <f t="shared" si="14"/>
        <v>0</v>
      </c>
      <c r="AE8" s="8">
        <f t="shared" si="16"/>
        <v>0</v>
      </c>
      <c r="AH8" s="8">
        <f t="shared" si="17"/>
        <v>1</v>
      </c>
    </row>
    <row r="9" spans="1:34">
      <c r="B9" s="160">
        <f t="shared" si="0"/>
        <v>6</v>
      </c>
      <c r="C9" s="554" t="s">
        <v>459</v>
      </c>
      <c r="D9" s="560" t="s">
        <v>459</v>
      </c>
      <c r="E9" s="200">
        <v>2.5</v>
      </c>
      <c r="F9" s="186">
        <f>IF(TRIM(D9)="","",(SUMIF('PG1'!$D$4:$D$53,D9,'PG1'!$L$4:$L$53)) +(SUMIF('PG2'!$D$4:$D$53,D9,'PG2'!$E$4:$E$53)) + (SUMIF('PG3'!$D$4:$D$53,D9,'PG3'!$E$4:$E$53)))</f>
        <v>7675.5</v>
      </c>
      <c r="G9" s="171">
        <f>IF(TRIM(D9)="","",(SUMIF('PG2'!$D$4:$D$53,D9,'PG2'!$F$4:$F$53)) + (SUMIF('PG3'!$D$4:$D$53,D9,'PG3'!$F$4:$F$53)))</f>
        <v>25585</v>
      </c>
      <c r="H9" s="222">
        <f t="shared" si="1"/>
        <v>819</v>
      </c>
      <c r="I9" s="223">
        <f t="shared" si="2"/>
        <v>273</v>
      </c>
      <c r="J9" s="318">
        <f t="shared" si="3"/>
        <v>18.421200000000006</v>
      </c>
      <c r="K9" s="184">
        <f t="shared" si="4"/>
        <v>273</v>
      </c>
      <c r="L9" s="159">
        <f t="shared" si="5"/>
        <v>109.5</v>
      </c>
      <c r="M9" s="221">
        <f t="shared" si="6"/>
        <v>109.5</v>
      </c>
      <c r="N9" s="221">
        <f t="shared" si="7"/>
        <v>55</v>
      </c>
      <c r="O9" s="221">
        <f t="shared" si="8"/>
        <v>37</v>
      </c>
      <c r="P9" s="538"/>
      <c r="R9" s="8">
        <v>0.64000000000000012</v>
      </c>
      <c r="S9" s="8">
        <f t="shared" si="9"/>
        <v>1.2800000000000002</v>
      </c>
      <c r="U9" s="8">
        <f t="shared" si="15"/>
        <v>69.07950000000001</v>
      </c>
      <c r="V9" s="8">
        <f t="shared" si="10"/>
        <v>27.631800000000005</v>
      </c>
      <c r="Y9" s="8">
        <f t="shared" si="11"/>
        <v>0</v>
      </c>
      <c r="Z9" s="8">
        <f t="shared" si="12"/>
        <v>0</v>
      </c>
      <c r="AB9" s="8">
        <f t="shared" si="13"/>
        <v>0</v>
      </c>
      <c r="AC9" s="8">
        <f t="shared" si="14"/>
        <v>0</v>
      </c>
      <c r="AE9" s="8">
        <f t="shared" si="16"/>
        <v>0</v>
      </c>
      <c r="AH9" s="8">
        <f t="shared" si="17"/>
        <v>1</v>
      </c>
    </row>
    <row r="10" spans="1:34">
      <c r="B10" s="162">
        <f t="shared" si="0"/>
        <v>7</v>
      </c>
      <c r="C10" s="555" t="s">
        <v>460</v>
      </c>
      <c r="D10" s="559" t="s">
        <v>460</v>
      </c>
      <c r="E10" s="200">
        <v>2.5</v>
      </c>
      <c r="F10" s="188">
        <f>IF(TRIM(D10)="","",(SUMIF('PG1'!$D$4:$D$53,D10,'PG1'!$L$4:$L$53)) +(SUMIF('PG2'!$D$4:$D$53,D10,'PG2'!$E$4:$E$53)) + (SUMIF('PG3'!$D$4:$D$53,D10,'PG3'!$E$4:$E$53)))</f>
        <v>109.2</v>
      </c>
      <c r="G10" s="174">
        <f>IF(TRIM(D10)="","",(SUMIF('PG2'!$D$4:$D$53,D10,'PG2'!$F$4:$F$53)) + (SUMIF('PG3'!$D$4:$D$53,D10,'PG3'!$F$4:$F$53)))</f>
        <v>364</v>
      </c>
      <c r="H10" s="219">
        <f t="shared" si="1"/>
        <v>12</v>
      </c>
      <c r="I10" s="224">
        <f t="shared" si="2"/>
        <v>4</v>
      </c>
      <c r="J10" s="159">
        <f t="shared" si="3"/>
        <v>0.26208000000000004</v>
      </c>
      <c r="K10" s="184">
        <f t="shared" si="4"/>
        <v>4</v>
      </c>
      <c r="L10" s="159">
        <f t="shared" si="5"/>
        <v>2</v>
      </c>
      <c r="M10" s="221">
        <f t="shared" si="6"/>
        <v>2</v>
      </c>
      <c r="N10" s="221">
        <f t="shared" si="7"/>
        <v>1</v>
      </c>
      <c r="O10" s="221">
        <f t="shared" si="8"/>
        <v>0.52416000000000007</v>
      </c>
      <c r="P10" s="539"/>
      <c r="R10" s="8">
        <v>1.2400000000000002</v>
      </c>
      <c r="S10" s="8">
        <f t="shared" si="9"/>
        <v>2.5</v>
      </c>
      <c r="U10" s="8">
        <f t="shared" si="15"/>
        <v>0.98280000000000001</v>
      </c>
      <c r="V10" s="8">
        <f t="shared" si="10"/>
        <v>0.39312000000000002</v>
      </c>
      <c r="Y10" s="8">
        <f t="shared" si="11"/>
        <v>0</v>
      </c>
      <c r="Z10" s="8">
        <f t="shared" si="12"/>
        <v>0</v>
      </c>
      <c r="AB10" s="8">
        <f t="shared" si="13"/>
        <v>0</v>
      </c>
      <c r="AC10" s="8">
        <f t="shared" si="14"/>
        <v>0</v>
      </c>
      <c r="AE10" s="8">
        <f t="shared" si="16"/>
        <v>0</v>
      </c>
      <c r="AH10" s="8">
        <f t="shared" si="17"/>
        <v>1</v>
      </c>
    </row>
    <row r="11" spans="1:34">
      <c r="B11" s="160">
        <f t="shared" si="0"/>
        <v>8</v>
      </c>
      <c r="C11" s="190" t="s">
        <v>462</v>
      </c>
      <c r="D11" s="199" t="s">
        <v>462</v>
      </c>
      <c r="E11" s="200">
        <v>2.5</v>
      </c>
      <c r="F11" s="186">
        <f>IF(TRIM(D11)="","",(SUMIF('PG1'!$D$4:$D$53,D11,'PG1'!$L$4:$L$53)) +(SUMIF('PG2'!$D$4:$D$53,D11,'PG2'!$E$4:$E$53)) + (SUMIF('PG3'!$D$4:$D$53,D11,'PG3'!$E$4:$E$53)))</f>
        <v>158.4</v>
      </c>
      <c r="G11" s="171">
        <f>IF(TRIM(D11)="","",(SUMIF('PG2'!$D$4:$D$53,D11,'PG2'!$F$4:$F$53)) + (SUMIF('PG3'!$D$4:$D$53,D11,'PG3'!$F$4:$F$53)))</f>
        <v>528</v>
      </c>
      <c r="H11" s="222">
        <f t="shared" si="1"/>
        <v>17</v>
      </c>
      <c r="I11" s="223">
        <f t="shared" si="2"/>
        <v>5.666666666666667</v>
      </c>
      <c r="J11" s="318">
        <f t="shared" si="3"/>
        <v>0.38016000000000005</v>
      </c>
      <c r="K11" s="184">
        <f t="shared" si="4"/>
        <v>6</v>
      </c>
      <c r="L11" s="159">
        <f t="shared" si="5"/>
        <v>2.5</v>
      </c>
      <c r="M11" s="221">
        <f t="shared" si="6"/>
        <v>2.5</v>
      </c>
      <c r="N11" s="221">
        <f t="shared" si="7"/>
        <v>1.5</v>
      </c>
      <c r="O11" s="221">
        <f t="shared" si="8"/>
        <v>0.76032000000000011</v>
      </c>
      <c r="P11" s="538"/>
      <c r="R11" s="8">
        <v>2.5600000000000005</v>
      </c>
      <c r="S11" s="8">
        <f t="shared" si="9"/>
        <v>5.5</v>
      </c>
      <c r="U11" s="8">
        <f t="shared" si="15"/>
        <v>1.4256000000000002</v>
      </c>
      <c r="V11" s="8">
        <f t="shared" si="10"/>
        <v>0.57024000000000008</v>
      </c>
      <c r="Y11" s="8">
        <f t="shared" si="11"/>
        <v>0</v>
      </c>
      <c r="Z11" s="8">
        <f t="shared" si="12"/>
        <v>0</v>
      </c>
      <c r="AB11" s="8">
        <f t="shared" si="13"/>
        <v>0</v>
      </c>
      <c r="AC11" s="8">
        <f t="shared" si="14"/>
        <v>0</v>
      </c>
      <c r="AE11" s="8">
        <f t="shared" si="16"/>
        <v>0</v>
      </c>
      <c r="AH11" s="8">
        <f t="shared" si="17"/>
        <v>1</v>
      </c>
    </row>
    <row r="12" spans="1:34">
      <c r="B12" s="162">
        <f t="shared" si="0"/>
        <v>9</v>
      </c>
      <c r="C12" s="557" t="s">
        <v>463</v>
      </c>
      <c r="D12" s="561" t="s">
        <v>463</v>
      </c>
      <c r="E12" s="200">
        <v>2.5</v>
      </c>
      <c r="F12" s="188">
        <f>IF(TRIM(D12)="","",(SUMIF('PG1'!$D$4:$D$53,D12,'PG1'!$L$4:$L$53)) +(SUMIF('PG2'!$D$4:$D$53,D12,'PG2'!$E$4:$E$53)) + (SUMIF('PG3'!$D$4:$D$53,D12,'PG3'!$E$4:$E$53)))</f>
        <v>312.59999999999997</v>
      </c>
      <c r="G12" s="174">
        <f>IF(TRIM(D12)="","",(SUMIF('PG2'!$D$4:$D$53,D12,'PG2'!$F$4:$F$53)) + (SUMIF('PG3'!$D$4:$D$53,D12,'PG3'!$F$4:$F$53)))</f>
        <v>1042</v>
      </c>
      <c r="H12" s="219">
        <f t="shared" si="1"/>
        <v>34</v>
      </c>
      <c r="I12" s="224">
        <f t="shared" si="2"/>
        <v>11.333333333333334</v>
      </c>
      <c r="J12" s="159">
        <f t="shared" si="3"/>
        <v>0.75024000000000002</v>
      </c>
      <c r="K12" s="184">
        <f t="shared" si="4"/>
        <v>11.5</v>
      </c>
      <c r="L12" s="159">
        <f t="shared" si="5"/>
        <v>5</v>
      </c>
      <c r="M12" s="221">
        <f t="shared" si="6"/>
        <v>5</v>
      </c>
      <c r="N12" s="221">
        <f t="shared" si="7"/>
        <v>2.5</v>
      </c>
      <c r="O12" s="221">
        <f t="shared" si="8"/>
        <v>1.50048</v>
      </c>
      <c r="P12" s="539"/>
      <c r="R12" s="8">
        <v>1.56</v>
      </c>
      <c r="S12" s="8">
        <f t="shared" si="9"/>
        <v>3.5</v>
      </c>
      <c r="U12" s="8">
        <f t="shared" si="15"/>
        <v>2.8133999999999997</v>
      </c>
      <c r="V12" s="8">
        <f t="shared" si="10"/>
        <v>1.1253599999999999</v>
      </c>
      <c r="Y12" s="8">
        <f t="shared" si="11"/>
        <v>0</v>
      </c>
      <c r="Z12" s="8">
        <f t="shared" si="12"/>
        <v>0</v>
      </c>
      <c r="AB12" s="8">
        <f t="shared" si="13"/>
        <v>0</v>
      </c>
      <c r="AC12" s="8">
        <f t="shared" si="14"/>
        <v>0</v>
      </c>
      <c r="AE12" s="8">
        <f t="shared" si="16"/>
        <v>0</v>
      </c>
      <c r="AH12" s="8">
        <f t="shared" si="17"/>
        <v>1</v>
      </c>
    </row>
    <row r="13" spans="1:34">
      <c r="B13" s="160">
        <f t="shared" si="0"/>
        <v>10</v>
      </c>
      <c r="C13" s="190" t="s">
        <v>465</v>
      </c>
      <c r="D13" s="199" t="s">
        <v>465</v>
      </c>
      <c r="E13" s="200">
        <v>2.5</v>
      </c>
      <c r="F13" s="186">
        <f>IF(TRIM(D13)="","",(SUMIF('PG1'!$D$4:$D$53,D13,'PG1'!$L$4:$L$53)) +(SUMIF('PG2'!$D$4:$D$53,D13,'PG2'!$E$4:$E$53)) + (SUMIF('PG3'!$D$4:$D$53,D13,'PG3'!$E$4:$E$53)))</f>
        <v>213</v>
      </c>
      <c r="G13" s="171">
        <f>IF(TRIM(D13)="","",(SUMIF('PG2'!$D$4:$D$53,D13,'PG2'!$F$4:$F$53)) + (SUMIF('PG3'!$D$4:$D$53,D13,'PG3'!$F$4:$F$53)))</f>
        <v>710</v>
      </c>
      <c r="H13" s="222">
        <f t="shared" si="1"/>
        <v>23</v>
      </c>
      <c r="I13" s="223">
        <f t="shared" si="2"/>
        <v>7.666666666666667</v>
      </c>
      <c r="J13" s="318">
        <f t="shared" si="3"/>
        <v>0.51119999999999999</v>
      </c>
      <c r="K13" s="184">
        <f t="shared" si="4"/>
        <v>8</v>
      </c>
      <c r="L13" s="159">
        <f t="shared" si="5"/>
        <v>3.5</v>
      </c>
      <c r="M13" s="221">
        <f t="shared" si="6"/>
        <v>3.5</v>
      </c>
      <c r="N13" s="221">
        <f t="shared" si="7"/>
        <v>2</v>
      </c>
      <c r="O13" s="221">
        <f t="shared" si="8"/>
        <v>1.0224</v>
      </c>
      <c r="P13" s="538"/>
      <c r="R13" s="8">
        <v>14.719999999999999</v>
      </c>
      <c r="S13" s="8">
        <f t="shared" si="9"/>
        <v>29.5</v>
      </c>
      <c r="U13" s="8">
        <f t="shared" si="15"/>
        <v>1.917</v>
      </c>
      <c r="V13" s="8">
        <f t="shared" si="10"/>
        <v>0.76680000000000004</v>
      </c>
      <c r="Y13" s="8">
        <f t="shared" si="11"/>
        <v>0</v>
      </c>
      <c r="Z13" s="8">
        <f t="shared" si="12"/>
        <v>0</v>
      </c>
      <c r="AB13" s="8">
        <f t="shared" si="13"/>
        <v>0</v>
      </c>
      <c r="AC13" s="8">
        <f t="shared" si="14"/>
        <v>0</v>
      </c>
      <c r="AE13" s="8">
        <f t="shared" si="16"/>
        <v>0</v>
      </c>
      <c r="AH13" s="8">
        <f t="shared" si="17"/>
        <v>1</v>
      </c>
    </row>
    <row r="14" spans="1:34">
      <c r="B14" s="162">
        <f t="shared" si="0"/>
        <v>11</v>
      </c>
      <c r="C14" s="555" t="s">
        <v>466</v>
      </c>
      <c r="D14" s="559" t="s">
        <v>466</v>
      </c>
      <c r="E14" s="200">
        <v>2.5</v>
      </c>
      <c r="F14" s="188">
        <f>IF(TRIM(D14)="","",(SUMIF('PG1'!$D$4:$D$53,D14,'PG1'!$L$4:$L$53)) +(SUMIF('PG2'!$D$4:$D$53,D14,'PG2'!$E$4:$E$53)) + (SUMIF('PG3'!$D$4:$D$53,D14,'PG3'!$E$4:$E$53)))</f>
        <v>342.9</v>
      </c>
      <c r="G14" s="174">
        <f>IF(TRIM(D14)="","",(SUMIF('PG2'!$D$4:$D$53,D14,'PG2'!$F$4:$F$53)) + (SUMIF('PG3'!$D$4:$D$53,D14,'PG3'!$F$4:$F$53)))</f>
        <v>1143</v>
      </c>
      <c r="H14" s="219">
        <f t="shared" si="1"/>
        <v>37</v>
      </c>
      <c r="I14" s="224">
        <f t="shared" si="2"/>
        <v>12.333333333333334</v>
      </c>
      <c r="J14" s="159">
        <f t="shared" si="3"/>
        <v>0.82296000000000002</v>
      </c>
      <c r="K14" s="184">
        <f t="shared" si="4"/>
        <v>12.5</v>
      </c>
      <c r="L14" s="159">
        <f t="shared" si="5"/>
        <v>5</v>
      </c>
      <c r="M14" s="221">
        <f t="shared" si="6"/>
        <v>5</v>
      </c>
      <c r="N14" s="221">
        <f t="shared" si="7"/>
        <v>2.5</v>
      </c>
      <c r="O14" s="221">
        <f t="shared" si="8"/>
        <v>1.64592</v>
      </c>
      <c r="P14" s="539"/>
      <c r="R14" s="8">
        <v>4.12</v>
      </c>
      <c r="S14" s="8">
        <f t="shared" si="9"/>
        <v>8.5</v>
      </c>
      <c r="U14" s="8">
        <f t="shared" si="15"/>
        <v>3.0861000000000001</v>
      </c>
      <c r="V14" s="8">
        <f t="shared" si="10"/>
        <v>1.2344400000000002</v>
      </c>
      <c r="Y14" s="8">
        <f t="shared" si="11"/>
        <v>0</v>
      </c>
      <c r="Z14" s="8">
        <f t="shared" si="12"/>
        <v>0</v>
      </c>
      <c r="AB14" s="8">
        <f t="shared" si="13"/>
        <v>0</v>
      </c>
      <c r="AC14" s="8">
        <f t="shared" si="14"/>
        <v>0</v>
      </c>
      <c r="AE14" s="8">
        <f t="shared" si="16"/>
        <v>0</v>
      </c>
      <c r="AH14" s="8">
        <f t="shared" si="17"/>
        <v>1</v>
      </c>
    </row>
    <row r="15" spans="1:34">
      <c r="B15" s="160">
        <f t="shared" si="0"/>
        <v>12</v>
      </c>
      <c r="C15" s="554" t="s">
        <v>467</v>
      </c>
      <c r="D15" s="558" t="s">
        <v>467</v>
      </c>
      <c r="E15" s="200">
        <v>2.5</v>
      </c>
      <c r="F15" s="186">
        <f>IF(TRIM(D15)="","",(SUMIF('PG1'!$D$4:$D$53,D15,'PG1'!$L$4:$L$53)) +(SUMIF('PG2'!$D$4:$D$53,D15,'PG2'!$E$4:$E$53)) + (SUMIF('PG3'!$D$4:$D$53,D15,'PG3'!$E$4:$E$53)))</f>
        <v>290.7</v>
      </c>
      <c r="G15" s="171">
        <f>IF(TRIM(D15)="","",(SUMIF('PG2'!$D$4:$D$53,D15,'PG2'!$F$4:$F$53)) + (SUMIF('PG3'!$D$4:$D$53,D15,'PG3'!$F$4:$F$53)))</f>
        <v>969</v>
      </c>
      <c r="H15" s="222">
        <f t="shared" si="1"/>
        <v>32</v>
      </c>
      <c r="I15" s="223">
        <f t="shared" si="2"/>
        <v>10.666666666666666</v>
      </c>
      <c r="J15" s="318">
        <f t="shared" si="3"/>
        <v>0.69768000000000008</v>
      </c>
      <c r="K15" s="184">
        <f t="shared" si="4"/>
        <v>11</v>
      </c>
      <c r="L15" s="159">
        <f t="shared" si="5"/>
        <v>4.5</v>
      </c>
      <c r="M15" s="221">
        <f t="shared" si="6"/>
        <v>4.5</v>
      </c>
      <c r="N15" s="221">
        <f t="shared" si="7"/>
        <v>2.5</v>
      </c>
      <c r="O15" s="221">
        <f t="shared" si="8"/>
        <v>1.3953600000000002</v>
      </c>
      <c r="P15" s="538"/>
      <c r="R15" s="8">
        <v>2.12</v>
      </c>
      <c r="S15" s="8">
        <f t="shared" si="9"/>
        <v>4.5</v>
      </c>
      <c r="U15" s="8">
        <f t="shared" si="15"/>
        <v>2.6163000000000003</v>
      </c>
      <c r="V15" s="8">
        <f t="shared" si="10"/>
        <v>1.0465200000000001</v>
      </c>
      <c r="Y15" s="8">
        <f t="shared" si="11"/>
        <v>0</v>
      </c>
      <c r="Z15" s="8">
        <f t="shared" si="12"/>
        <v>0</v>
      </c>
      <c r="AB15" s="8">
        <f t="shared" si="13"/>
        <v>0</v>
      </c>
      <c r="AC15" s="8">
        <f t="shared" si="14"/>
        <v>0</v>
      </c>
      <c r="AE15" s="8">
        <f t="shared" si="16"/>
        <v>0</v>
      </c>
      <c r="AH15" s="8">
        <f t="shared" si="17"/>
        <v>1</v>
      </c>
    </row>
    <row r="16" spans="1:34" ht="24">
      <c r="B16" s="162">
        <f t="shared" si="0"/>
        <v>13</v>
      </c>
      <c r="C16" s="555" t="s">
        <v>468</v>
      </c>
      <c r="D16" s="555" t="s">
        <v>468</v>
      </c>
      <c r="E16" s="200">
        <v>2.5</v>
      </c>
      <c r="F16" s="188">
        <f>IF(TRIM(D16)="","",(SUMIF('PG1'!$D$4:$D$53,D16,'PG1'!$L$4:$L$53)) +(SUMIF('PG2'!$D$4:$D$53,D16,'PG2'!$E$4:$E$53)) + (SUMIF('PG3'!$D$4:$D$53,D16,'PG3'!$E$4:$E$53)))</f>
        <v>956.4</v>
      </c>
      <c r="G16" s="174">
        <f>IF(TRIM(D16)="","",(SUMIF('PG2'!$D$4:$D$53,D16,'PG2'!$F$4:$F$53)) + (SUMIF('PG3'!$D$4:$D$53,D16,'PG3'!$F$4:$F$53)))</f>
        <v>3188</v>
      </c>
      <c r="H16" s="219">
        <f t="shared" si="1"/>
        <v>103</v>
      </c>
      <c r="I16" s="224">
        <f t="shared" si="2"/>
        <v>34.333333333333336</v>
      </c>
      <c r="J16" s="159">
        <f t="shared" si="3"/>
        <v>2.2953600000000001</v>
      </c>
      <c r="K16" s="184">
        <f t="shared" si="4"/>
        <v>34.5</v>
      </c>
      <c r="L16" s="159">
        <f t="shared" si="5"/>
        <v>14</v>
      </c>
      <c r="M16" s="221">
        <f t="shared" si="6"/>
        <v>14</v>
      </c>
      <c r="N16" s="221">
        <f t="shared" si="7"/>
        <v>7</v>
      </c>
      <c r="O16" s="221">
        <f t="shared" si="8"/>
        <v>5</v>
      </c>
      <c r="P16" s="539"/>
      <c r="R16" s="8">
        <v>14.280000000000001</v>
      </c>
      <c r="S16" s="8">
        <f t="shared" si="9"/>
        <v>29</v>
      </c>
      <c r="U16" s="8">
        <f t="shared" si="15"/>
        <v>8.6075999999999997</v>
      </c>
      <c r="V16" s="8">
        <f t="shared" si="10"/>
        <v>3.4430399999999999</v>
      </c>
      <c r="Y16" s="8">
        <f t="shared" si="11"/>
        <v>0</v>
      </c>
      <c r="Z16" s="8">
        <f t="shared" si="12"/>
        <v>0</v>
      </c>
      <c r="AB16" s="8">
        <f t="shared" si="13"/>
        <v>0</v>
      </c>
      <c r="AC16" s="8">
        <f t="shared" si="14"/>
        <v>0</v>
      </c>
      <c r="AE16" s="8">
        <f t="shared" si="16"/>
        <v>0</v>
      </c>
      <c r="AH16" s="8">
        <f t="shared" si="17"/>
        <v>1</v>
      </c>
    </row>
    <row r="17" spans="2:34">
      <c r="B17" s="160">
        <f t="shared" si="0"/>
        <v>14</v>
      </c>
      <c r="C17" s="190" t="s">
        <v>470</v>
      </c>
      <c r="D17" s="190" t="s">
        <v>470</v>
      </c>
      <c r="E17" s="200">
        <v>2.5</v>
      </c>
      <c r="F17" s="186">
        <f>IF(TRIM(D17)="","",(SUMIF('PG1'!$D$4:$D$53,D17,'PG1'!$L$4:$L$53)) +(SUMIF('PG2'!$D$4:$D$53,D17,'PG2'!$E$4:$E$53)) + (SUMIF('PG3'!$D$4:$D$53,D17,'PG3'!$E$4:$E$53)))</f>
        <v>42</v>
      </c>
      <c r="G17" s="171">
        <f>IF(TRIM(D17)="","",(SUMIF('PG2'!$D$4:$D$53,D17,'PG2'!$F$4:$F$53)) + (SUMIF('PG3'!$D$4:$D$53,D17,'PG3'!$F$4:$F$53)))</f>
        <v>140</v>
      </c>
      <c r="H17" s="222">
        <f t="shared" si="1"/>
        <v>5</v>
      </c>
      <c r="I17" s="223">
        <f t="shared" si="2"/>
        <v>1.6666666666666667</v>
      </c>
      <c r="J17" s="318">
        <f t="shared" si="3"/>
        <v>0.10080000000000003</v>
      </c>
      <c r="K17" s="184">
        <f t="shared" si="4"/>
        <v>2</v>
      </c>
      <c r="L17" s="159">
        <f t="shared" si="5"/>
        <v>1</v>
      </c>
      <c r="M17" s="221">
        <f t="shared" si="6"/>
        <v>1</v>
      </c>
      <c r="N17" s="221">
        <f t="shared" si="7"/>
        <v>0.5</v>
      </c>
      <c r="O17" s="221">
        <f t="shared" si="8"/>
        <v>0.20160000000000006</v>
      </c>
      <c r="P17" s="538"/>
      <c r="R17" s="8">
        <v>5.28</v>
      </c>
      <c r="S17" s="8">
        <f t="shared" si="9"/>
        <v>11</v>
      </c>
      <c r="U17" s="8">
        <f t="shared" si="15"/>
        <v>0.378</v>
      </c>
      <c r="V17" s="8">
        <f t="shared" si="10"/>
        <v>0.1512</v>
      </c>
      <c r="Y17" s="8">
        <f t="shared" si="11"/>
        <v>0</v>
      </c>
      <c r="Z17" s="8">
        <f t="shared" si="12"/>
        <v>0</v>
      </c>
      <c r="AB17" s="8">
        <f t="shared" si="13"/>
        <v>0</v>
      </c>
      <c r="AC17" s="8">
        <f t="shared" si="14"/>
        <v>0</v>
      </c>
      <c r="AE17" s="8">
        <f t="shared" si="16"/>
        <v>0</v>
      </c>
      <c r="AH17" s="8">
        <f t="shared" si="17"/>
        <v>1</v>
      </c>
    </row>
    <row r="18" spans="2:34">
      <c r="B18" s="162">
        <f t="shared" si="0"/>
        <v>15</v>
      </c>
      <c r="C18" s="555" t="s">
        <v>471</v>
      </c>
      <c r="D18" s="555" t="s">
        <v>471</v>
      </c>
      <c r="E18" s="200">
        <v>2.5</v>
      </c>
      <c r="F18" s="188">
        <f>IF(TRIM(D18)="","",(SUMIF('PG1'!$D$4:$D$53,D18,'PG1'!$L$4:$L$53)) +(SUMIF('PG2'!$D$4:$D$53,D18,'PG2'!$E$4:$E$53)) + (SUMIF('PG3'!$D$4:$D$53,D18,'PG3'!$E$4:$E$53)))</f>
        <v>882.9</v>
      </c>
      <c r="G18" s="174">
        <f>IF(TRIM(D18)="","",(SUMIF('PG2'!$D$4:$D$53,D18,'PG2'!$F$4:$F$53)) + (SUMIF('PG3'!$D$4:$D$53,D18,'PG3'!$F$4:$F$53)))</f>
        <v>2943</v>
      </c>
      <c r="H18" s="219">
        <f t="shared" si="1"/>
        <v>95</v>
      </c>
      <c r="I18" s="224">
        <f t="shared" si="2"/>
        <v>31.666666666666668</v>
      </c>
      <c r="J18" s="159">
        <f t="shared" si="3"/>
        <v>2.11896</v>
      </c>
      <c r="K18" s="184">
        <f t="shared" si="4"/>
        <v>32</v>
      </c>
      <c r="L18" s="159">
        <f t="shared" si="5"/>
        <v>13</v>
      </c>
      <c r="M18" s="221">
        <f t="shared" si="6"/>
        <v>13</v>
      </c>
      <c r="N18" s="221">
        <f t="shared" si="7"/>
        <v>6.5</v>
      </c>
      <c r="O18" s="221">
        <f t="shared" si="8"/>
        <v>4.5</v>
      </c>
      <c r="P18" s="539"/>
      <c r="AH18" s="8">
        <f t="shared" si="17"/>
        <v>1</v>
      </c>
    </row>
    <row r="19" spans="2:34">
      <c r="B19" s="160">
        <f t="shared" si="0"/>
        <v>16</v>
      </c>
      <c r="C19" s="190"/>
      <c r="D19" s="190"/>
      <c r="E19" s="200"/>
      <c r="F19" s="186" t="str">
        <f>IF(TRIM(D19)="","",(SUMIF('PG1'!$D$4:$D$53,D19,'PG1'!$L$4:$L$53)) +(SUMIF('PG2'!$D$4:$D$53,D19,'PG2'!$E$4:$E$53)) + (SUMIF('PG3'!$D$4:$D$53,D19,'PG3'!$E$4:$E$53)))</f>
        <v/>
      </c>
      <c r="G19" s="171" t="str">
        <f>IF(TRIM(D19)="","",(SUMIF('PG2'!$D$4:$D$53,D19,'PG2'!$F$4:$F$53)) + (SUMIF('PG3'!$D$4:$D$53,D19,'PG3'!$F$4:$F$53)))</f>
        <v/>
      </c>
      <c r="H19" s="222" t="str">
        <f t="shared" si="1"/>
        <v/>
      </c>
      <c r="I19" s="223" t="str">
        <f t="shared" si="2"/>
        <v/>
      </c>
      <c r="J19" s="318" t="str">
        <f t="shared" si="3"/>
        <v/>
      </c>
      <c r="K19" s="184" t="str">
        <f t="shared" si="4"/>
        <v/>
      </c>
      <c r="L19" s="159" t="str">
        <f t="shared" si="5"/>
        <v/>
      </c>
      <c r="M19" s="221" t="str">
        <f t="shared" si="6"/>
        <v/>
      </c>
      <c r="N19" s="221" t="str">
        <f t="shared" si="7"/>
        <v/>
      </c>
      <c r="O19" s="221" t="str">
        <f t="shared" si="8"/>
        <v/>
      </c>
      <c r="P19" s="538"/>
      <c r="S19" s="8">
        <f>SUM(S4:S17)</f>
        <v>157.28</v>
      </c>
      <c r="V19" s="8">
        <f>SUM(V4:V17)</f>
        <v>66.717000000000013</v>
      </c>
      <c r="Z19" s="8">
        <f>SUM(Z4:Z17)</f>
        <v>0</v>
      </c>
      <c r="AC19" s="8">
        <f>SUM(AC4:AC17)</f>
        <v>0</v>
      </c>
      <c r="AE19" s="8">
        <f>SUM(AE4:AE17)</f>
        <v>0</v>
      </c>
      <c r="AH19" s="8">
        <f t="shared" si="17"/>
        <v>0</v>
      </c>
    </row>
    <row r="20" spans="2:34">
      <c r="B20" s="162">
        <f t="shared" si="0"/>
        <v>17</v>
      </c>
      <c r="C20" s="189"/>
      <c r="D20" s="189"/>
      <c r="E20" s="202"/>
      <c r="F20" s="188" t="str">
        <f>IF(TRIM(D20)="","",(SUMIF('PG1'!$D$4:$D$53,D20,'PG1'!$L$4:$L$53)) +(SUMIF('PG2'!$D$4:$D$53,D20,'PG2'!$E$4:$E$53)) + (SUMIF('PG3'!$D$4:$D$53,D20,'PG3'!$E$4:$E$53)))</f>
        <v/>
      </c>
      <c r="G20" s="174" t="str">
        <f>IF(TRIM(D20)="","",(SUMIF('PG2'!$D$4:$D$53,D20,'PG2'!$F$4:$F$53)) + (SUMIF('PG3'!$D$4:$D$53,D20,'PG3'!$F$4:$F$53)))</f>
        <v/>
      </c>
      <c r="H20" s="219" t="str">
        <f t="shared" si="1"/>
        <v/>
      </c>
      <c r="I20" s="224" t="str">
        <f t="shared" si="2"/>
        <v/>
      </c>
      <c r="J20" s="159" t="str">
        <f t="shared" si="3"/>
        <v/>
      </c>
      <c r="K20" s="184" t="str">
        <f t="shared" si="4"/>
        <v/>
      </c>
      <c r="L20" s="159" t="str">
        <f t="shared" si="5"/>
        <v/>
      </c>
      <c r="M20" s="221" t="str">
        <f t="shared" si="6"/>
        <v/>
      </c>
      <c r="N20" s="221" t="str">
        <f t="shared" si="7"/>
        <v/>
      </c>
      <c r="O20" s="221" t="str">
        <f t="shared" si="8"/>
        <v/>
      </c>
      <c r="P20" s="539"/>
      <c r="W20" s="324"/>
      <c r="AH20" s="8">
        <f t="shared" si="17"/>
        <v>0</v>
      </c>
    </row>
    <row r="21" spans="2:34">
      <c r="B21" s="160">
        <f t="shared" si="0"/>
        <v>18</v>
      </c>
      <c r="C21" s="190"/>
      <c r="D21" s="190"/>
      <c r="E21" s="200"/>
      <c r="F21" s="186" t="str">
        <f>IF(TRIM(D21)="","",(SUMIF('PG1'!$D$4:$D$53,D21,'PG1'!$L$4:$L$53)) +(SUMIF('PG2'!$D$4:$D$53,D21,'PG2'!$E$4:$E$53)) + (SUMIF('PG3'!$D$4:$D$53,D21,'PG3'!$E$4:$E$53)))</f>
        <v/>
      </c>
      <c r="G21" s="171" t="str">
        <f>IF(TRIM(D21)="","",(SUMIF('PG2'!$D$4:$D$53,D21,'PG2'!$F$4:$F$53)) + (SUMIF('PG3'!$D$4:$D$53,D21,'PG3'!$F$4:$F$53)))</f>
        <v/>
      </c>
      <c r="H21" s="222" t="str">
        <f t="shared" si="1"/>
        <v/>
      </c>
      <c r="I21" s="223" t="str">
        <f t="shared" si="2"/>
        <v/>
      </c>
      <c r="J21" s="318" t="str">
        <f t="shared" si="3"/>
        <v/>
      </c>
      <c r="K21" s="184" t="str">
        <f t="shared" si="4"/>
        <v/>
      </c>
      <c r="L21" s="159" t="str">
        <f t="shared" si="5"/>
        <v/>
      </c>
      <c r="M21" s="221" t="str">
        <f t="shared" si="6"/>
        <v/>
      </c>
      <c r="N21" s="221" t="str">
        <f t="shared" si="7"/>
        <v/>
      </c>
      <c r="O21" s="221" t="str">
        <f t="shared" si="8"/>
        <v/>
      </c>
      <c r="P21" s="538"/>
      <c r="V21" s="324"/>
      <c r="AH21" s="8">
        <f t="shared" si="17"/>
        <v>0</v>
      </c>
    </row>
    <row r="22" spans="2:34">
      <c r="B22" s="162">
        <f t="shared" si="0"/>
        <v>19</v>
      </c>
      <c r="C22" s="191"/>
      <c r="D22" s="191"/>
      <c r="E22" s="202"/>
      <c r="F22" s="188" t="str">
        <f>IF(TRIM(D22)="","",(SUMIF('PG1'!$D$4:$D$53,D22,'PG1'!$L$4:$L$53)) +(SUMIF('PG2'!$D$4:$D$53,D22,'PG2'!$E$4:$E$53)) + (SUMIF('PG3'!$D$4:$D$53,D22,'PG3'!$E$4:$E$53)))</f>
        <v/>
      </c>
      <c r="G22" s="174" t="str">
        <f>IF(TRIM(D22)="","",(SUMIF('PG2'!$D$4:$D$53,D22,'PG2'!$F$4:$F$53)) + (SUMIF('PG3'!$D$4:$D$53,D22,'PG3'!$F$4:$F$53)))</f>
        <v/>
      </c>
      <c r="H22" s="219" t="str">
        <f t="shared" si="1"/>
        <v/>
      </c>
      <c r="I22" s="224" t="str">
        <f t="shared" si="2"/>
        <v/>
      </c>
      <c r="J22" s="159" t="str">
        <f t="shared" si="3"/>
        <v/>
      </c>
      <c r="K22" s="184" t="str">
        <f t="shared" si="4"/>
        <v/>
      </c>
      <c r="L22" s="159" t="str">
        <f t="shared" si="5"/>
        <v/>
      </c>
      <c r="M22" s="221" t="str">
        <f t="shared" si="6"/>
        <v/>
      </c>
      <c r="N22" s="221" t="str">
        <f t="shared" si="7"/>
        <v/>
      </c>
      <c r="O22" s="221" t="str">
        <f t="shared" si="8"/>
        <v/>
      </c>
      <c r="P22" s="539"/>
      <c r="AH22" s="8">
        <f t="shared" si="17"/>
        <v>0</v>
      </c>
    </row>
    <row r="23" spans="2:34">
      <c r="B23" s="160">
        <f t="shared" si="0"/>
        <v>20</v>
      </c>
      <c r="C23" s="190"/>
      <c r="D23" s="190"/>
      <c r="E23" s="200"/>
      <c r="F23" s="186" t="str">
        <f>IF(TRIM(D23)="","",(SUMIF('PG1'!$D$4:$D$53,D23,'PG1'!$L$4:$L$53)) +(SUMIF('PG2'!$D$4:$D$53,D23,'PG2'!$E$4:$E$53)) + (SUMIF('PG3'!$D$4:$D$53,D23,'PG3'!$E$4:$E$53)))</f>
        <v/>
      </c>
      <c r="G23" s="171" t="str">
        <f>IF(TRIM(D23)="","",(SUMIF('PG2'!$D$4:$D$53,D23,'PG2'!$F$4:$F$53)) + (SUMIF('PG3'!$D$4:$D$53,D23,'PG3'!$F$4:$F$53)))</f>
        <v/>
      </c>
      <c r="H23" s="222" t="str">
        <f t="shared" si="1"/>
        <v/>
      </c>
      <c r="I23" s="223" t="str">
        <f t="shared" si="2"/>
        <v/>
      </c>
      <c r="J23" s="318" t="str">
        <f t="shared" si="3"/>
        <v/>
      </c>
      <c r="K23" s="184" t="str">
        <f t="shared" si="4"/>
        <v/>
      </c>
      <c r="L23" s="159" t="str">
        <f t="shared" si="5"/>
        <v/>
      </c>
      <c r="M23" s="221" t="str">
        <f t="shared" si="6"/>
        <v/>
      </c>
      <c r="N23" s="221" t="str">
        <f t="shared" si="7"/>
        <v/>
      </c>
      <c r="O23" s="221" t="str">
        <f t="shared" si="8"/>
        <v/>
      </c>
      <c r="P23" s="538"/>
      <c r="AH23" s="8">
        <f t="shared" si="17"/>
        <v>0</v>
      </c>
    </row>
    <row r="24" spans="2:34">
      <c r="B24" s="162">
        <f t="shared" si="0"/>
        <v>21</v>
      </c>
      <c r="C24" s="189"/>
      <c r="D24" s="189"/>
      <c r="E24" s="202"/>
      <c r="F24" s="188" t="str">
        <f>IF(TRIM(D24)="","",(SUMIF('PG1'!$D$4:$D$53,D24,'PG1'!$L$4:$L$53)) +(SUMIF('PG2'!$D$4:$D$53,D24,'PG2'!$E$4:$E$53)) + (SUMIF('PG3'!$D$4:$D$53,D24,'PG3'!$E$4:$E$53)))</f>
        <v/>
      </c>
      <c r="G24" s="174" t="str">
        <f>IF(TRIM(D24)="","",(SUMIF('PG2'!$D$4:$D$53,D24,'PG2'!$F$4:$F$53)) + (SUMIF('PG3'!$D$4:$D$53,D24,'PG3'!$F$4:$F$53)))</f>
        <v/>
      </c>
      <c r="H24" s="219" t="str">
        <f t="shared" si="1"/>
        <v/>
      </c>
      <c r="I24" s="224" t="str">
        <f t="shared" si="2"/>
        <v/>
      </c>
      <c r="J24" s="159" t="str">
        <f t="shared" si="3"/>
        <v/>
      </c>
      <c r="K24" s="184" t="str">
        <f t="shared" si="4"/>
        <v/>
      </c>
      <c r="L24" s="159" t="str">
        <f t="shared" si="5"/>
        <v/>
      </c>
      <c r="M24" s="221" t="str">
        <f t="shared" si="6"/>
        <v/>
      </c>
      <c r="N24" s="221" t="str">
        <f t="shared" si="7"/>
        <v/>
      </c>
      <c r="O24" s="221" t="str">
        <f t="shared" si="8"/>
        <v/>
      </c>
      <c r="P24" s="539"/>
      <c r="AH24" s="8">
        <f t="shared" si="17"/>
        <v>0</v>
      </c>
    </row>
    <row r="25" spans="2:34">
      <c r="B25" s="160">
        <f t="shared" si="0"/>
        <v>22</v>
      </c>
      <c r="C25" s="190"/>
      <c r="D25" s="190"/>
      <c r="E25" s="200"/>
      <c r="F25" s="186" t="str">
        <f>IF(TRIM(D25)="","",(SUMIF('PG1'!$D$4:$D$53,D25,'PG1'!$L$4:$L$53)) +(SUMIF('PG2'!$D$4:$D$53,D25,'PG2'!$E$4:$E$53)) + (SUMIF('PG3'!$D$4:$D$53,D25,'PG3'!$E$4:$E$53)))</f>
        <v/>
      </c>
      <c r="G25" s="171" t="str">
        <f>IF(TRIM(D25)="","",(SUMIF('PG2'!$D$4:$D$53,D25,'PG2'!$F$4:$F$53)) + (SUMIF('PG3'!$D$4:$D$53,D25,'PG3'!$F$4:$F$53)))</f>
        <v/>
      </c>
      <c r="H25" s="222" t="str">
        <f t="shared" si="1"/>
        <v/>
      </c>
      <c r="I25" s="223" t="str">
        <f t="shared" si="2"/>
        <v/>
      </c>
      <c r="J25" s="318" t="str">
        <f t="shared" si="3"/>
        <v/>
      </c>
      <c r="K25" s="184" t="str">
        <f t="shared" si="4"/>
        <v/>
      </c>
      <c r="L25" s="159" t="str">
        <f t="shared" si="5"/>
        <v/>
      </c>
      <c r="M25" s="221" t="str">
        <f t="shared" si="6"/>
        <v/>
      </c>
      <c r="N25" s="221" t="str">
        <f t="shared" si="7"/>
        <v/>
      </c>
      <c r="O25" s="221" t="str">
        <f t="shared" si="8"/>
        <v/>
      </c>
      <c r="P25" s="538"/>
      <c r="AH25" s="8">
        <f t="shared" si="17"/>
        <v>0</v>
      </c>
    </row>
    <row r="26" spans="2:34">
      <c r="B26" s="162">
        <f t="shared" si="0"/>
        <v>23</v>
      </c>
      <c r="C26" s="189"/>
      <c r="D26" s="189"/>
      <c r="E26" s="202"/>
      <c r="F26" s="188" t="str">
        <f>IF(TRIM(D26)="","",(SUMIF('PG1'!$D$4:$D$53,D26,'PG1'!$L$4:$L$53)) +(SUMIF('PG2'!$D$4:$D$53,D26,'PG2'!$E$4:$E$53)) + (SUMIF('PG3'!$D$4:$D$53,D26,'PG3'!$E$4:$E$53)))</f>
        <v/>
      </c>
      <c r="G26" s="174" t="str">
        <f>IF(TRIM(D26)="","",(SUMIF('PG2'!$D$4:$D$53,D26,'PG2'!$F$4:$F$53)) + (SUMIF('PG3'!$D$4:$D$53,D26,'PG3'!$F$4:$F$53)))</f>
        <v/>
      </c>
      <c r="H26" s="219" t="str">
        <f t="shared" si="1"/>
        <v/>
      </c>
      <c r="I26" s="224" t="str">
        <f t="shared" si="2"/>
        <v/>
      </c>
      <c r="J26" s="159" t="str">
        <f t="shared" si="3"/>
        <v/>
      </c>
      <c r="K26" s="184" t="str">
        <f t="shared" si="4"/>
        <v/>
      </c>
      <c r="L26" s="159" t="str">
        <f t="shared" si="5"/>
        <v/>
      </c>
      <c r="M26" s="221" t="str">
        <f t="shared" si="6"/>
        <v/>
      </c>
      <c r="N26" s="221" t="str">
        <f t="shared" si="7"/>
        <v/>
      </c>
      <c r="O26" s="221" t="str">
        <f t="shared" si="8"/>
        <v/>
      </c>
      <c r="P26" s="539"/>
      <c r="AH26" s="8">
        <f t="shared" si="17"/>
        <v>0</v>
      </c>
    </row>
    <row r="27" spans="2:34">
      <c r="B27" s="160">
        <f t="shared" si="0"/>
        <v>24</v>
      </c>
      <c r="C27" s="190"/>
      <c r="D27" s="190"/>
      <c r="E27" s="200"/>
      <c r="F27" s="186" t="str">
        <f>IF(TRIM(D27)="","",(SUMIF('PG1'!$D$4:$D$53,D27,'PG1'!$L$4:$L$53)) +(SUMIF('PG2'!$D$4:$D$53,D27,'PG2'!$E$4:$E$53)) + (SUMIF('PG3'!$D$4:$D$53,D27,'PG3'!$E$4:$E$53)))</f>
        <v/>
      </c>
      <c r="G27" s="171" t="str">
        <f>IF(TRIM(D27)="","",(SUMIF('PG2'!$D$4:$D$53,D27,'PG2'!$F$4:$F$53)) + (SUMIF('PG3'!$D$4:$D$53,D27,'PG3'!$F$4:$F$53)))</f>
        <v/>
      </c>
      <c r="H27" s="222" t="str">
        <f t="shared" si="1"/>
        <v/>
      </c>
      <c r="I27" s="223" t="str">
        <f t="shared" si="2"/>
        <v/>
      </c>
      <c r="J27" s="318" t="str">
        <f t="shared" si="3"/>
        <v/>
      </c>
      <c r="K27" s="184" t="str">
        <f t="shared" si="4"/>
        <v/>
      </c>
      <c r="L27" s="159" t="str">
        <f t="shared" si="5"/>
        <v/>
      </c>
      <c r="M27" s="221" t="str">
        <f t="shared" si="6"/>
        <v/>
      </c>
      <c r="N27" s="221" t="str">
        <f t="shared" si="7"/>
        <v/>
      </c>
      <c r="O27" s="221" t="str">
        <f t="shared" si="8"/>
        <v/>
      </c>
      <c r="P27" s="538"/>
      <c r="AH27" s="8">
        <f t="shared" si="17"/>
        <v>0</v>
      </c>
    </row>
    <row r="28" spans="2:34">
      <c r="B28" s="162">
        <f t="shared" si="0"/>
        <v>25</v>
      </c>
      <c r="C28" s="189"/>
      <c r="D28" s="189"/>
      <c r="E28" s="202"/>
      <c r="F28" s="188" t="str">
        <f>IF(TRIM(D28)="","",(SUMIF('PG1'!$D$4:$D$53,D28,'PG1'!$L$4:$L$53)) +(SUMIF('PG2'!$D$4:$D$53,D28,'PG2'!$E$4:$E$53)) + (SUMIF('PG3'!$D$4:$D$53,D28,'PG3'!$E$4:$E$53)))</f>
        <v/>
      </c>
      <c r="G28" s="174" t="str">
        <f>IF(TRIM(D28)="","",(SUMIF('PG2'!$D$4:$D$53,D28,'PG2'!$F$4:$F$53)) + (SUMIF('PG3'!$D$4:$D$53,D28,'PG3'!$F$4:$F$53)))</f>
        <v/>
      </c>
      <c r="H28" s="219" t="str">
        <f t="shared" si="1"/>
        <v/>
      </c>
      <c r="I28" s="224" t="str">
        <f t="shared" si="2"/>
        <v/>
      </c>
      <c r="J28" s="159" t="str">
        <f t="shared" si="3"/>
        <v/>
      </c>
      <c r="K28" s="184" t="str">
        <f t="shared" si="4"/>
        <v/>
      </c>
      <c r="L28" s="159" t="str">
        <f t="shared" si="5"/>
        <v/>
      </c>
      <c r="M28" s="221" t="str">
        <f t="shared" si="6"/>
        <v/>
      </c>
      <c r="N28" s="221" t="str">
        <f t="shared" si="7"/>
        <v/>
      </c>
      <c r="O28" s="221" t="str">
        <f t="shared" si="8"/>
        <v/>
      </c>
      <c r="P28" s="539"/>
      <c r="AH28" s="8">
        <f t="shared" si="17"/>
        <v>0</v>
      </c>
    </row>
    <row r="29" spans="2:34">
      <c r="B29" s="160">
        <f t="shared" si="0"/>
        <v>26</v>
      </c>
      <c r="C29" s="190"/>
      <c r="D29" s="190"/>
      <c r="E29" s="200"/>
      <c r="F29" s="186" t="str">
        <f>IF(TRIM(D29)="","",(SUMIF('PG1'!$D$4:$D$53,D29,'PG1'!$L$4:$L$53)) +(SUMIF('PG2'!$D$4:$D$53,D29,'PG2'!$E$4:$E$53)) + (SUMIF('PG3'!$D$4:$D$53,D29,'PG3'!$E$4:$E$53)))</f>
        <v/>
      </c>
      <c r="G29" s="171" t="str">
        <f>IF(TRIM(D29)="","",(SUMIF('PG2'!$D$4:$D$53,D29,'PG2'!$F$4:$F$53)) + (SUMIF('PG3'!$D$4:$D$53,D29,'PG3'!$F$4:$F$53)))</f>
        <v/>
      </c>
      <c r="H29" s="222" t="str">
        <f t="shared" si="1"/>
        <v/>
      </c>
      <c r="I29" s="223" t="str">
        <f t="shared" si="2"/>
        <v/>
      </c>
      <c r="J29" s="318" t="str">
        <f t="shared" si="3"/>
        <v/>
      </c>
      <c r="K29" s="184" t="str">
        <f t="shared" si="4"/>
        <v/>
      </c>
      <c r="L29" s="159" t="str">
        <f t="shared" si="5"/>
        <v/>
      </c>
      <c r="M29" s="221" t="str">
        <f t="shared" si="6"/>
        <v/>
      </c>
      <c r="N29" s="221" t="str">
        <f t="shared" si="7"/>
        <v/>
      </c>
      <c r="O29" s="221" t="str">
        <f t="shared" si="8"/>
        <v/>
      </c>
      <c r="P29" s="538"/>
      <c r="AH29" s="8">
        <f t="shared" si="17"/>
        <v>0</v>
      </c>
    </row>
    <row r="30" spans="2:34">
      <c r="B30" s="162">
        <f t="shared" si="0"/>
        <v>27</v>
      </c>
      <c r="C30" s="189"/>
      <c r="D30" s="189"/>
      <c r="E30" s="202"/>
      <c r="F30" s="188" t="str">
        <f>IF(TRIM(D30)="","",(SUMIF('PG1'!$D$4:$D$53,D30,'PG1'!$L$4:$L$53)) +(SUMIF('PG2'!$D$4:$D$53,D30,'PG2'!$E$4:$E$53)) + (SUMIF('PG3'!$D$4:$D$53,D30,'PG3'!$E$4:$E$53)))</f>
        <v/>
      </c>
      <c r="G30" s="174" t="str">
        <f>IF(TRIM(D30)="","",(SUMIF('PG2'!$D$4:$D$53,D30,'PG2'!$F$4:$F$53)) + (SUMIF('PG3'!$D$4:$D$53,D30,'PG3'!$F$4:$F$53)))</f>
        <v/>
      </c>
      <c r="H30" s="219" t="str">
        <f t="shared" si="1"/>
        <v/>
      </c>
      <c r="I30" s="224" t="str">
        <f t="shared" si="2"/>
        <v/>
      </c>
      <c r="J30" s="159" t="str">
        <f t="shared" si="3"/>
        <v/>
      </c>
      <c r="K30" s="184" t="str">
        <f t="shared" si="4"/>
        <v/>
      </c>
      <c r="L30" s="159" t="str">
        <f t="shared" si="5"/>
        <v/>
      </c>
      <c r="M30" s="221" t="str">
        <f t="shared" si="6"/>
        <v/>
      </c>
      <c r="N30" s="221" t="str">
        <f t="shared" si="7"/>
        <v/>
      </c>
      <c r="O30" s="221" t="str">
        <f t="shared" si="8"/>
        <v/>
      </c>
      <c r="P30" s="539"/>
      <c r="AH30" s="8">
        <f t="shared" si="17"/>
        <v>0</v>
      </c>
    </row>
    <row r="31" spans="2:34">
      <c r="B31" s="160">
        <f t="shared" si="0"/>
        <v>28</v>
      </c>
      <c r="C31" s="190"/>
      <c r="D31" s="190"/>
      <c r="E31" s="200"/>
      <c r="F31" s="186" t="str">
        <f>IF(TRIM(D31)="","",(SUMIF('PG1'!$D$4:$D$53,D31,'PG1'!$L$4:$L$53)) +(SUMIF('PG2'!$D$4:$D$53,D31,'PG2'!$E$4:$E$53)) + (SUMIF('PG3'!$D$4:$D$53,D31,'PG3'!$E$4:$E$53)))</f>
        <v/>
      </c>
      <c r="G31" s="171" t="str">
        <f>IF(TRIM(D31)="","",(SUMIF('PG2'!$D$4:$D$53,D31,'PG2'!$F$4:$F$53)) + (SUMIF('PG3'!$D$4:$D$53,D31,'PG3'!$F$4:$F$53)))</f>
        <v/>
      </c>
      <c r="H31" s="222" t="str">
        <f t="shared" si="1"/>
        <v/>
      </c>
      <c r="I31" s="223" t="str">
        <f t="shared" si="2"/>
        <v/>
      </c>
      <c r="J31" s="318" t="str">
        <f t="shared" si="3"/>
        <v/>
      </c>
      <c r="K31" s="184" t="str">
        <f t="shared" si="4"/>
        <v/>
      </c>
      <c r="L31" s="159" t="str">
        <f t="shared" si="5"/>
        <v/>
      </c>
      <c r="M31" s="221" t="str">
        <f t="shared" si="6"/>
        <v/>
      </c>
      <c r="N31" s="221" t="str">
        <f t="shared" si="7"/>
        <v/>
      </c>
      <c r="O31" s="221" t="str">
        <f t="shared" si="8"/>
        <v/>
      </c>
      <c r="P31" s="538"/>
      <c r="AH31" s="8">
        <f t="shared" si="17"/>
        <v>0</v>
      </c>
    </row>
    <row r="32" spans="2:34">
      <c r="B32" s="162">
        <f t="shared" si="0"/>
        <v>29</v>
      </c>
      <c r="C32" s="191"/>
      <c r="D32" s="191"/>
      <c r="E32" s="202"/>
      <c r="F32" s="188" t="str">
        <f>IF(TRIM(D32)="","",(SUMIF('PG1'!$D$4:$D$53,D32,'PG1'!$L$4:$L$53)) +(SUMIF('PG2'!$D$4:$D$53,D32,'PG2'!$E$4:$E$53)) + (SUMIF('PG3'!$D$4:$D$53,D32,'PG3'!$E$4:$E$53)))</f>
        <v/>
      </c>
      <c r="G32" s="174" t="str">
        <f>IF(TRIM(D32)="","",(SUMIF('PG2'!$D$4:$D$53,D32,'PG2'!$F$4:$F$53)) + (SUMIF('PG3'!$D$4:$D$53,D32,'PG3'!$F$4:$F$53)))</f>
        <v/>
      </c>
      <c r="H32" s="219" t="str">
        <f t="shared" si="1"/>
        <v/>
      </c>
      <c r="I32" s="224" t="str">
        <f t="shared" si="2"/>
        <v/>
      </c>
      <c r="J32" s="159" t="str">
        <f t="shared" si="3"/>
        <v/>
      </c>
      <c r="K32" s="184" t="str">
        <f t="shared" si="4"/>
        <v/>
      </c>
      <c r="L32" s="159" t="str">
        <f t="shared" si="5"/>
        <v/>
      </c>
      <c r="M32" s="221" t="str">
        <f t="shared" si="6"/>
        <v/>
      </c>
      <c r="N32" s="221" t="str">
        <f t="shared" si="7"/>
        <v/>
      </c>
      <c r="O32" s="221" t="str">
        <f t="shared" si="8"/>
        <v/>
      </c>
      <c r="P32" s="539"/>
      <c r="AH32" s="8">
        <f t="shared" si="17"/>
        <v>0</v>
      </c>
    </row>
    <row r="33" spans="2:34">
      <c r="B33" s="160">
        <f t="shared" si="0"/>
        <v>30</v>
      </c>
      <c r="C33" s="190"/>
      <c r="D33" s="190"/>
      <c r="E33" s="200"/>
      <c r="F33" s="186" t="str">
        <f>IF(TRIM(D33)="","",(SUMIF('PG1'!$D$4:$D$53,D33,'PG1'!$L$4:$L$53)) +(SUMIF('PG2'!$D$4:$D$53,D33,'PG2'!$E$4:$E$53)) + (SUMIF('PG3'!$D$4:$D$53,D33,'PG3'!$E$4:$E$53)))</f>
        <v/>
      </c>
      <c r="G33" s="171" t="str">
        <f>IF(TRIM(D33)="","",(SUMIF('PG2'!$D$4:$D$53,D33,'PG2'!$F$4:$F$53)) + (SUMIF('PG3'!$D$4:$D$53,D33,'PG3'!$F$4:$F$53)))</f>
        <v/>
      </c>
      <c r="H33" s="222" t="str">
        <f t="shared" si="1"/>
        <v/>
      </c>
      <c r="I33" s="223" t="str">
        <f t="shared" si="2"/>
        <v/>
      </c>
      <c r="J33" s="318" t="str">
        <f t="shared" si="3"/>
        <v/>
      </c>
      <c r="K33" s="184" t="str">
        <f t="shared" si="4"/>
        <v/>
      </c>
      <c r="L33" s="159" t="str">
        <f t="shared" si="5"/>
        <v/>
      </c>
      <c r="M33" s="221" t="str">
        <f t="shared" si="6"/>
        <v/>
      </c>
      <c r="N33" s="221" t="str">
        <f t="shared" si="7"/>
        <v/>
      </c>
      <c r="O33" s="221" t="str">
        <f t="shared" si="8"/>
        <v/>
      </c>
      <c r="P33" s="538"/>
      <c r="AH33" s="8">
        <f t="shared" si="17"/>
        <v>0</v>
      </c>
    </row>
    <row r="34" spans="2:34">
      <c r="B34" s="162">
        <f t="shared" si="0"/>
        <v>31</v>
      </c>
      <c r="C34" s="189"/>
      <c r="D34" s="189"/>
      <c r="E34" s="202"/>
      <c r="F34" s="188" t="str">
        <f>IF(TRIM(D34)="","",(SUMIF('PG1'!$D$4:$D$53,D34,'PG1'!$L$4:$L$53)) +(SUMIF('PG2'!$D$4:$D$53,D34,'PG2'!$E$4:$E$53)) + (SUMIF('PG3'!$D$4:$D$53,D34,'PG3'!$E$4:$E$53)))</f>
        <v/>
      </c>
      <c r="G34" s="174" t="str">
        <f>IF(TRIM(D34)="","",(SUMIF('PG2'!$D$4:$D$53,D34,'PG2'!$F$4:$F$53)) + (SUMIF('PG3'!$D$4:$D$53,D34,'PG3'!$F$4:$F$53)))</f>
        <v/>
      </c>
      <c r="H34" s="219" t="str">
        <f t="shared" si="1"/>
        <v/>
      </c>
      <c r="I34" s="224" t="str">
        <f t="shared" si="2"/>
        <v/>
      </c>
      <c r="J34" s="159" t="str">
        <f t="shared" si="3"/>
        <v/>
      </c>
      <c r="K34" s="184" t="str">
        <f t="shared" si="4"/>
        <v/>
      </c>
      <c r="L34" s="159" t="str">
        <f t="shared" si="5"/>
        <v/>
      </c>
      <c r="M34" s="221" t="str">
        <f t="shared" si="6"/>
        <v/>
      </c>
      <c r="N34" s="221" t="str">
        <f t="shared" si="7"/>
        <v/>
      </c>
      <c r="O34" s="221" t="str">
        <f t="shared" si="8"/>
        <v/>
      </c>
      <c r="P34" s="539"/>
      <c r="AH34" s="8">
        <f t="shared" si="17"/>
        <v>0</v>
      </c>
    </row>
    <row r="35" spans="2:34">
      <c r="B35" s="160">
        <f t="shared" si="0"/>
        <v>32</v>
      </c>
      <c r="C35" s="190"/>
      <c r="D35" s="190"/>
      <c r="E35" s="200"/>
      <c r="F35" s="186" t="str">
        <f>IF(TRIM(D35)="","",(SUMIF('PG1'!$D$4:$D$53,D35,'PG1'!$L$4:$L$53)) +(SUMIF('PG2'!$D$4:$D$53,D35,'PG2'!$E$4:$E$53)) + (SUMIF('PG3'!$D$4:$D$53,D35,'PG3'!$E$4:$E$53)))</f>
        <v/>
      </c>
      <c r="G35" s="171" t="str">
        <f>IF(TRIM(D35)="","",(SUMIF('PG2'!$D$4:$D$53,D35,'PG2'!$F$4:$F$53)) + (SUMIF('PG3'!$D$4:$D$53,D35,'PG3'!$F$4:$F$53)))</f>
        <v/>
      </c>
      <c r="H35" s="222" t="str">
        <f t="shared" si="1"/>
        <v/>
      </c>
      <c r="I35" s="223" t="str">
        <f t="shared" si="2"/>
        <v/>
      </c>
      <c r="J35" s="318" t="str">
        <f t="shared" si="3"/>
        <v/>
      </c>
      <c r="K35" s="184" t="str">
        <f t="shared" si="4"/>
        <v/>
      </c>
      <c r="L35" s="159" t="str">
        <f t="shared" si="5"/>
        <v/>
      </c>
      <c r="M35" s="221" t="str">
        <f t="shared" si="6"/>
        <v/>
      </c>
      <c r="N35" s="221" t="str">
        <f t="shared" si="7"/>
        <v/>
      </c>
      <c r="O35" s="221" t="str">
        <f t="shared" si="8"/>
        <v/>
      </c>
      <c r="P35" s="538"/>
      <c r="AH35" s="8">
        <f t="shared" si="17"/>
        <v>0</v>
      </c>
    </row>
    <row r="36" spans="2:34">
      <c r="B36" s="162">
        <f t="shared" ref="B36:B53" si="18">ROW() - 3</f>
        <v>33</v>
      </c>
      <c r="C36" s="189"/>
      <c r="D36" s="189"/>
      <c r="E36" s="202"/>
      <c r="F36" s="188" t="str">
        <f>IF(TRIM(D36)="","",(SUMIF('PG1'!$D$4:$D$53,D36,'PG1'!$L$4:$L$53)) +(SUMIF('PG2'!$D$4:$D$53,D36,'PG2'!$E$4:$E$53)) + (SUMIF('PG3'!$D$4:$D$53,D36,'PG3'!$E$4:$E$53)))</f>
        <v/>
      </c>
      <c r="G36" s="174" t="str">
        <f>IF(TRIM(D36)="","",(SUMIF('PG2'!$D$4:$D$53,D36,'PG2'!$F$4:$F$53)) + (SUMIF('PG3'!$D$4:$D$53,D36,'PG3'!$F$4:$F$53)))</f>
        <v/>
      </c>
      <c r="H36" s="219" t="str">
        <f t="shared" ref="H36:H53" si="19">IF(TRIM(D36)="","",CEILING(F36/1000*NEW_CaseRate+G36/1000*REUSE_CaseRate,1))</f>
        <v/>
      </c>
      <c r="I36" s="224" t="str">
        <f t="shared" ref="I36:I53" si="20">IF(TRIM(D36)="","",IF(E36&lt;&gt;"",E36*H36/PT1_Base*PT1_Unit,1*H36/PT1_Base*PT1_Unit))</f>
        <v/>
      </c>
      <c r="J36" s="159" t="str">
        <f t="shared" ref="J36:J53" si="21">IF(TRIM(D36)="","",((F36/1000)+(G36/1000)*SampleLOCConvRate)*AvgUTBugKLOC*Fix1UTBugFUP)</f>
        <v/>
      </c>
      <c r="K36" s="184" t="str">
        <f t="shared" ref="K36:K53" si="22">IF(TRIM(C36)="","",IF(I36 &gt;= 1,CEILING(I36*UnitPoint_Effort_Rate*TestDoc_Rate*10/5,1)*5/10,I36*UnitPoint_Effort_Rate*TestDoc_Rate))</f>
        <v/>
      </c>
      <c r="L36" s="159" t="str">
        <f t="shared" ref="L36:L53" si="23">IF(TRIM(C36)="","",IF(I36 &gt;= 1, CEILING(I36*UnitPoint_Effort_Rate*TestData_Rate*10/5,1)*5/10,I36*UnitPoint_Effort_Rate*TestData_Rate))</f>
        <v/>
      </c>
      <c r="M36" s="221" t="str">
        <f t="shared" ref="M36:M53" si="24">IF(TRIM(C36)="","",CEILING(I36*UnitPoint_Effort_Rate*TestExecute_Rate*10/5,1)*5/10)</f>
        <v/>
      </c>
      <c r="N36" s="221" t="str">
        <f t="shared" ref="N36:N53" si="25">IF(TRIM(D36)="","",IF(I36 &gt;= 1,CEILING(I36*UnitPoint_Effort_Rate*TestEvidence_Rate*10/5,1)*5/10,I36*UnitPoint_Effort_Rate*TestEvidence_Rate))</f>
        <v/>
      </c>
      <c r="O36" s="221" t="str">
        <f t="shared" ref="O36:O53" si="26">IF(TRIM(D36)="","",IF(J36 &gt;= 1,CEILING(J36*UnitPoint_Effort_Rate*10/5,1)*5/10,J36*UnitPoint_Effort_Rate))</f>
        <v/>
      </c>
      <c r="P36" s="539"/>
      <c r="AH36" s="8">
        <f t="shared" si="17"/>
        <v>0</v>
      </c>
    </row>
    <row r="37" spans="2:34">
      <c r="B37" s="160">
        <f t="shared" si="18"/>
        <v>34</v>
      </c>
      <c r="C37" s="190"/>
      <c r="D37" s="190"/>
      <c r="E37" s="200"/>
      <c r="F37" s="186" t="str">
        <f>IF(TRIM(D37)="","",(SUMIF('PG1'!$D$4:$D$53,D37,'PG1'!$L$4:$L$53)) +(SUMIF('PG2'!$D$4:$D$53,D37,'PG2'!$E$4:$E$53)) + (SUMIF('PG3'!$D$4:$D$53,D37,'PG3'!$E$4:$E$53)))</f>
        <v/>
      </c>
      <c r="G37" s="171" t="str">
        <f>IF(TRIM(D37)="","",(SUMIF('PG2'!$D$4:$D$53,D37,'PG2'!$F$4:$F$53)) + (SUMIF('PG3'!$D$4:$D$53,D37,'PG3'!$F$4:$F$53)))</f>
        <v/>
      </c>
      <c r="H37" s="222" t="str">
        <f t="shared" si="19"/>
        <v/>
      </c>
      <c r="I37" s="223" t="str">
        <f t="shared" si="20"/>
        <v/>
      </c>
      <c r="J37" s="318" t="str">
        <f t="shared" si="21"/>
        <v/>
      </c>
      <c r="K37" s="184" t="str">
        <f t="shared" si="22"/>
        <v/>
      </c>
      <c r="L37" s="159" t="str">
        <f t="shared" si="23"/>
        <v/>
      </c>
      <c r="M37" s="221" t="str">
        <f t="shared" si="24"/>
        <v/>
      </c>
      <c r="N37" s="221" t="str">
        <f t="shared" si="25"/>
        <v/>
      </c>
      <c r="O37" s="221" t="str">
        <f t="shared" si="26"/>
        <v/>
      </c>
      <c r="P37" s="538"/>
      <c r="AH37" s="8">
        <f t="shared" si="17"/>
        <v>0</v>
      </c>
    </row>
    <row r="38" spans="2:34">
      <c r="B38" s="162">
        <f t="shared" si="18"/>
        <v>35</v>
      </c>
      <c r="C38" s="189"/>
      <c r="D38" s="189"/>
      <c r="E38" s="202"/>
      <c r="F38" s="188" t="str">
        <f>IF(TRIM(D38)="","",(SUMIF('PG1'!$D$4:$D$53,D38,'PG1'!$L$4:$L$53)) +(SUMIF('PG2'!$D$4:$D$53,D38,'PG2'!$E$4:$E$53)) + (SUMIF('PG3'!$D$4:$D$53,D38,'PG3'!$E$4:$E$53)))</f>
        <v/>
      </c>
      <c r="G38" s="174" t="str">
        <f>IF(TRIM(D38)="","",(SUMIF('PG2'!$D$4:$D$53,D38,'PG2'!$F$4:$F$53)) + (SUMIF('PG3'!$D$4:$D$53,D38,'PG3'!$F$4:$F$53)))</f>
        <v/>
      </c>
      <c r="H38" s="219" t="str">
        <f t="shared" si="19"/>
        <v/>
      </c>
      <c r="I38" s="224" t="str">
        <f t="shared" si="20"/>
        <v/>
      </c>
      <c r="J38" s="159" t="str">
        <f t="shared" si="21"/>
        <v/>
      </c>
      <c r="K38" s="184" t="str">
        <f t="shared" si="22"/>
        <v/>
      </c>
      <c r="L38" s="159" t="str">
        <f t="shared" si="23"/>
        <v/>
      </c>
      <c r="M38" s="221" t="str">
        <f t="shared" si="24"/>
        <v/>
      </c>
      <c r="N38" s="221" t="str">
        <f t="shared" si="25"/>
        <v/>
      </c>
      <c r="O38" s="221" t="str">
        <f t="shared" si="26"/>
        <v/>
      </c>
      <c r="P38" s="539"/>
      <c r="AH38" s="8">
        <f t="shared" si="17"/>
        <v>0</v>
      </c>
    </row>
    <row r="39" spans="2:34">
      <c r="B39" s="160">
        <f t="shared" si="18"/>
        <v>36</v>
      </c>
      <c r="C39" s="190"/>
      <c r="D39" s="190"/>
      <c r="E39" s="200"/>
      <c r="F39" s="186" t="str">
        <f>IF(TRIM(D39)="","",(SUMIF('PG1'!$D$4:$D$53,D39,'PG1'!$L$4:$L$53)) +(SUMIF('PG2'!$D$4:$D$53,D39,'PG2'!$E$4:$E$53)) + (SUMIF('PG3'!$D$4:$D$53,D39,'PG3'!$E$4:$E$53)))</f>
        <v/>
      </c>
      <c r="G39" s="171" t="str">
        <f>IF(TRIM(D39)="","",(SUMIF('PG2'!$D$4:$D$53,D39,'PG2'!$F$4:$F$53)) + (SUMIF('PG3'!$D$4:$D$53,D39,'PG3'!$F$4:$F$53)))</f>
        <v/>
      </c>
      <c r="H39" s="222" t="str">
        <f t="shared" si="19"/>
        <v/>
      </c>
      <c r="I39" s="223" t="str">
        <f t="shared" si="20"/>
        <v/>
      </c>
      <c r="J39" s="318" t="str">
        <f t="shared" si="21"/>
        <v/>
      </c>
      <c r="K39" s="184" t="str">
        <f t="shared" si="22"/>
        <v/>
      </c>
      <c r="L39" s="159" t="str">
        <f t="shared" si="23"/>
        <v/>
      </c>
      <c r="M39" s="221" t="str">
        <f t="shared" si="24"/>
        <v/>
      </c>
      <c r="N39" s="221" t="str">
        <f t="shared" si="25"/>
        <v/>
      </c>
      <c r="O39" s="221" t="str">
        <f t="shared" si="26"/>
        <v/>
      </c>
      <c r="P39" s="538"/>
      <c r="AH39" s="8">
        <f t="shared" si="17"/>
        <v>0</v>
      </c>
    </row>
    <row r="40" spans="2:34">
      <c r="B40" s="162">
        <f t="shared" si="18"/>
        <v>37</v>
      </c>
      <c r="C40" s="189"/>
      <c r="D40" s="189"/>
      <c r="E40" s="202"/>
      <c r="F40" s="188" t="str">
        <f>IF(TRIM(D40)="","",(SUMIF('PG1'!$D$4:$D$53,D40,'PG1'!$L$4:$L$53)) +(SUMIF('PG2'!$D$4:$D$53,D40,'PG2'!$E$4:$E$53)) + (SUMIF('PG3'!$D$4:$D$53,D40,'PG3'!$E$4:$E$53)))</f>
        <v/>
      </c>
      <c r="G40" s="174" t="str">
        <f>IF(TRIM(D40)="","",(SUMIF('PG2'!$D$4:$D$53,D40,'PG2'!$F$4:$F$53)) + (SUMIF('PG3'!$D$4:$D$53,D40,'PG3'!$F$4:$F$53)))</f>
        <v/>
      </c>
      <c r="H40" s="219" t="str">
        <f t="shared" si="19"/>
        <v/>
      </c>
      <c r="I40" s="224" t="str">
        <f t="shared" si="20"/>
        <v/>
      </c>
      <c r="J40" s="159" t="str">
        <f t="shared" si="21"/>
        <v/>
      </c>
      <c r="K40" s="184" t="str">
        <f t="shared" si="22"/>
        <v/>
      </c>
      <c r="L40" s="159" t="str">
        <f t="shared" si="23"/>
        <v/>
      </c>
      <c r="M40" s="221" t="str">
        <f t="shared" si="24"/>
        <v/>
      </c>
      <c r="N40" s="221" t="str">
        <f t="shared" si="25"/>
        <v/>
      </c>
      <c r="O40" s="221" t="str">
        <f t="shared" si="26"/>
        <v/>
      </c>
      <c r="P40" s="539"/>
      <c r="AH40" s="8">
        <f t="shared" si="17"/>
        <v>0</v>
      </c>
    </row>
    <row r="41" spans="2:34">
      <c r="B41" s="160">
        <f t="shared" si="18"/>
        <v>38</v>
      </c>
      <c r="C41" s="190"/>
      <c r="D41" s="190"/>
      <c r="E41" s="200"/>
      <c r="F41" s="186" t="str">
        <f>IF(TRIM(D41)="","",(SUMIF('PG1'!$D$4:$D$53,D41,'PG1'!$L$4:$L$53)) +(SUMIF('PG2'!$D$4:$D$53,D41,'PG2'!$E$4:$E$53)) + (SUMIF('PG3'!$D$4:$D$53,D41,'PG3'!$E$4:$E$53)))</f>
        <v/>
      </c>
      <c r="G41" s="171" t="str">
        <f>IF(TRIM(D41)="","",(SUMIF('PG2'!$D$4:$D$53,D41,'PG2'!$F$4:$F$53)) + (SUMIF('PG3'!$D$4:$D$53,D41,'PG3'!$F$4:$F$53)))</f>
        <v/>
      </c>
      <c r="H41" s="222" t="str">
        <f t="shared" si="19"/>
        <v/>
      </c>
      <c r="I41" s="223" t="str">
        <f t="shared" si="20"/>
        <v/>
      </c>
      <c r="J41" s="318" t="str">
        <f t="shared" si="21"/>
        <v/>
      </c>
      <c r="K41" s="184" t="str">
        <f t="shared" si="22"/>
        <v/>
      </c>
      <c r="L41" s="159" t="str">
        <f t="shared" si="23"/>
        <v/>
      </c>
      <c r="M41" s="221" t="str">
        <f t="shared" si="24"/>
        <v/>
      </c>
      <c r="N41" s="221" t="str">
        <f t="shared" si="25"/>
        <v/>
      </c>
      <c r="O41" s="221" t="str">
        <f t="shared" si="26"/>
        <v/>
      </c>
      <c r="P41" s="538"/>
      <c r="AH41" s="8">
        <f t="shared" si="17"/>
        <v>0</v>
      </c>
    </row>
    <row r="42" spans="2:34">
      <c r="B42" s="162">
        <f t="shared" si="18"/>
        <v>39</v>
      </c>
      <c r="C42" s="191"/>
      <c r="D42" s="191"/>
      <c r="E42" s="202"/>
      <c r="F42" s="188" t="str">
        <f>IF(TRIM(D42)="","",(SUMIF('PG1'!$D$4:$D$53,D42,'PG1'!$L$4:$L$53)) +(SUMIF('PG2'!$D$4:$D$53,D42,'PG2'!$E$4:$E$53)) + (SUMIF('PG3'!$D$4:$D$53,D42,'PG3'!$E$4:$E$53)))</f>
        <v/>
      </c>
      <c r="G42" s="174" t="str">
        <f>IF(TRIM(D42)="","",(SUMIF('PG2'!$D$4:$D$53,D42,'PG2'!$F$4:$F$53)) + (SUMIF('PG3'!$D$4:$D$53,D42,'PG3'!$F$4:$F$53)))</f>
        <v/>
      </c>
      <c r="H42" s="219" t="str">
        <f t="shared" si="19"/>
        <v/>
      </c>
      <c r="I42" s="224" t="str">
        <f t="shared" si="20"/>
        <v/>
      </c>
      <c r="J42" s="159" t="str">
        <f t="shared" si="21"/>
        <v/>
      </c>
      <c r="K42" s="184" t="str">
        <f t="shared" si="22"/>
        <v/>
      </c>
      <c r="L42" s="159" t="str">
        <f t="shared" si="23"/>
        <v/>
      </c>
      <c r="M42" s="221" t="str">
        <f t="shared" si="24"/>
        <v/>
      </c>
      <c r="N42" s="221" t="str">
        <f t="shared" si="25"/>
        <v/>
      </c>
      <c r="O42" s="221" t="str">
        <f t="shared" si="26"/>
        <v/>
      </c>
      <c r="P42" s="539"/>
      <c r="AH42" s="8">
        <f t="shared" si="17"/>
        <v>0</v>
      </c>
    </row>
    <row r="43" spans="2:34">
      <c r="B43" s="160">
        <f t="shared" si="18"/>
        <v>40</v>
      </c>
      <c r="C43" s="190"/>
      <c r="D43" s="190"/>
      <c r="E43" s="200"/>
      <c r="F43" s="186" t="str">
        <f>IF(TRIM(D43)="","",(SUMIF('PG1'!$D$4:$D$53,D43,'PG1'!$L$4:$L$53)) +(SUMIF('PG2'!$D$4:$D$53,D43,'PG2'!$E$4:$E$53)) + (SUMIF('PG3'!$D$4:$D$53,D43,'PG3'!$E$4:$E$53)))</f>
        <v/>
      </c>
      <c r="G43" s="171" t="str">
        <f>IF(TRIM(D43)="","",(SUMIF('PG2'!$D$4:$D$53,D43,'PG2'!$F$4:$F$53)) + (SUMIF('PG3'!$D$4:$D$53,D43,'PG3'!$F$4:$F$53)))</f>
        <v/>
      </c>
      <c r="H43" s="222" t="str">
        <f t="shared" si="19"/>
        <v/>
      </c>
      <c r="I43" s="223" t="str">
        <f t="shared" si="20"/>
        <v/>
      </c>
      <c r="J43" s="318" t="str">
        <f t="shared" si="21"/>
        <v/>
      </c>
      <c r="K43" s="184" t="str">
        <f t="shared" si="22"/>
        <v/>
      </c>
      <c r="L43" s="159" t="str">
        <f t="shared" si="23"/>
        <v/>
      </c>
      <c r="M43" s="221" t="str">
        <f t="shared" si="24"/>
        <v/>
      </c>
      <c r="N43" s="221" t="str">
        <f t="shared" si="25"/>
        <v/>
      </c>
      <c r="O43" s="221" t="str">
        <f t="shared" si="26"/>
        <v/>
      </c>
      <c r="P43" s="538"/>
      <c r="AH43" s="8">
        <f t="shared" si="17"/>
        <v>0</v>
      </c>
    </row>
    <row r="44" spans="2:34">
      <c r="B44" s="162">
        <f t="shared" si="18"/>
        <v>41</v>
      </c>
      <c r="C44" s="189"/>
      <c r="D44" s="189"/>
      <c r="E44" s="202"/>
      <c r="F44" s="188" t="str">
        <f>IF(TRIM(D44)="","",(SUMIF('PG1'!$D$4:$D$53,D44,'PG1'!$L$4:$L$53)) +(SUMIF('PG2'!$D$4:$D$53,D44,'PG2'!$E$4:$E$53)) + (SUMIF('PG3'!$D$4:$D$53,D44,'PG3'!$E$4:$E$53)))</f>
        <v/>
      </c>
      <c r="G44" s="174" t="str">
        <f>IF(TRIM(D44)="","",(SUMIF('PG2'!$D$4:$D$53,D44,'PG2'!$F$4:$F$53)) + (SUMIF('PG3'!$D$4:$D$53,D44,'PG3'!$F$4:$F$53)))</f>
        <v/>
      </c>
      <c r="H44" s="219" t="str">
        <f t="shared" si="19"/>
        <v/>
      </c>
      <c r="I44" s="224" t="str">
        <f t="shared" si="20"/>
        <v/>
      </c>
      <c r="J44" s="159" t="str">
        <f t="shared" si="21"/>
        <v/>
      </c>
      <c r="K44" s="184" t="str">
        <f t="shared" si="22"/>
        <v/>
      </c>
      <c r="L44" s="159" t="str">
        <f t="shared" si="23"/>
        <v/>
      </c>
      <c r="M44" s="221" t="str">
        <f t="shared" si="24"/>
        <v/>
      </c>
      <c r="N44" s="221" t="str">
        <f t="shared" si="25"/>
        <v/>
      </c>
      <c r="O44" s="221" t="str">
        <f t="shared" si="26"/>
        <v/>
      </c>
      <c r="P44" s="539"/>
      <c r="AH44" s="8">
        <f t="shared" si="17"/>
        <v>0</v>
      </c>
    </row>
    <row r="45" spans="2:34">
      <c r="B45" s="160">
        <f t="shared" si="18"/>
        <v>42</v>
      </c>
      <c r="C45" s="190"/>
      <c r="D45" s="190"/>
      <c r="E45" s="200"/>
      <c r="F45" s="186" t="str">
        <f>IF(TRIM(D45)="","",(SUMIF('PG1'!$D$4:$D$53,D45,'PG1'!$L$4:$L$53)) +(SUMIF('PG2'!$D$4:$D$53,D45,'PG2'!$E$4:$E$53)) + (SUMIF('PG3'!$D$4:$D$53,D45,'PG3'!$E$4:$E$53)))</f>
        <v/>
      </c>
      <c r="G45" s="171" t="str">
        <f>IF(TRIM(D45)="","",(SUMIF('PG2'!$D$4:$D$53,D45,'PG2'!$F$4:$F$53)) + (SUMIF('PG3'!$D$4:$D$53,D45,'PG3'!$F$4:$F$53)))</f>
        <v/>
      </c>
      <c r="H45" s="222" t="str">
        <f t="shared" si="19"/>
        <v/>
      </c>
      <c r="I45" s="223" t="str">
        <f t="shared" si="20"/>
        <v/>
      </c>
      <c r="J45" s="318" t="str">
        <f t="shared" si="21"/>
        <v/>
      </c>
      <c r="K45" s="184" t="str">
        <f t="shared" si="22"/>
        <v/>
      </c>
      <c r="L45" s="159" t="str">
        <f t="shared" si="23"/>
        <v/>
      </c>
      <c r="M45" s="221" t="str">
        <f t="shared" si="24"/>
        <v/>
      </c>
      <c r="N45" s="221" t="str">
        <f t="shared" si="25"/>
        <v/>
      </c>
      <c r="O45" s="221" t="str">
        <f t="shared" si="26"/>
        <v/>
      </c>
      <c r="P45" s="538"/>
      <c r="AH45" s="8">
        <f t="shared" si="17"/>
        <v>0</v>
      </c>
    </row>
    <row r="46" spans="2:34">
      <c r="B46" s="162">
        <f t="shared" si="18"/>
        <v>43</v>
      </c>
      <c r="C46" s="189"/>
      <c r="D46" s="189"/>
      <c r="E46" s="202"/>
      <c r="F46" s="188" t="str">
        <f>IF(TRIM(D46)="","",(SUMIF('PG1'!$D$4:$D$53,D46,'PG1'!$L$4:$L$53)) +(SUMIF('PG2'!$D$4:$D$53,D46,'PG2'!$E$4:$E$53)) + (SUMIF('PG3'!$D$4:$D$53,D46,'PG3'!$E$4:$E$53)))</f>
        <v/>
      </c>
      <c r="G46" s="174" t="str">
        <f>IF(TRIM(D46)="","",(SUMIF('PG2'!$D$4:$D$53,D46,'PG2'!$F$4:$F$53)) + (SUMIF('PG3'!$D$4:$D$53,D46,'PG3'!$F$4:$F$53)))</f>
        <v/>
      </c>
      <c r="H46" s="219" t="str">
        <f t="shared" si="19"/>
        <v/>
      </c>
      <c r="I46" s="224" t="str">
        <f t="shared" si="20"/>
        <v/>
      </c>
      <c r="J46" s="159" t="str">
        <f t="shared" si="21"/>
        <v/>
      </c>
      <c r="K46" s="184" t="str">
        <f t="shared" si="22"/>
        <v/>
      </c>
      <c r="L46" s="159" t="str">
        <f t="shared" si="23"/>
        <v/>
      </c>
      <c r="M46" s="221" t="str">
        <f t="shared" si="24"/>
        <v/>
      </c>
      <c r="N46" s="221" t="str">
        <f t="shared" si="25"/>
        <v/>
      </c>
      <c r="O46" s="221" t="str">
        <f t="shared" si="26"/>
        <v/>
      </c>
      <c r="P46" s="539"/>
      <c r="AH46" s="8">
        <f t="shared" si="17"/>
        <v>0</v>
      </c>
    </row>
    <row r="47" spans="2:34">
      <c r="B47" s="160">
        <f t="shared" si="18"/>
        <v>44</v>
      </c>
      <c r="C47" s="190"/>
      <c r="D47" s="190"/>
      <c r="E47" s="200"/>
      <c r="F47" s="186" t="str">
        <f>IF(TRIM(D47)="","",(SUMIF('PG1'!$D$4:$D$53,D47,'PG1'!$L$4:$L$53)) +(SUMIF('PG2'!$D$4:$D$53,D47,'PG2'!$E$4:$E$53)) + (SUMIF('PG3'!$D$4:$D$53,D47,'PG3'!$E$4:$E$53)))</f>
        <v/>
      </c>
      <c r="G47" s="171" t="str">
        <f>IF(TRIM(D47)="","",(SUMIF('PG2'!$D$4:$D$53,D47,'PG2'!$F$4:$F$53)) + (SUMIF('PG3'!$D$4:$D$53,D47,'PG3'!$F$4:$F$53)))</f>
        <v/>
      </c>
      <c r="H47" s="222" t="str">
        <f t="shared" si="19"/>
        <v/>
      </c>
      <c r="I47" s="223" t="str">
        <f t="shared" si="20"/>
        <v/>
      </c>
      <c r="J47" s="318" t="str">
        <f t="shared" si="21"/>
        <v/>
      </c>
      <c r="K47" s="184" t="str">
        <f t="shared" si="22"/>
        <v/>
      </c>
      <c r="L47" s="159" t="str">
        <f t="shared" si="23"/>
        <v/>
      </c>
      <c r="M47" s="221" t="str">
        <f t="shared" si="24"/>
        <v/>
      </c>
      <c r="N47" s="221" t="str">
        <f t="shared" si="25"/>
        <v/>
      </c>
      <c r="O47" s="221" t="str">
        <f t="shared" si="26"/>
        <v/>
      </c>
      <c r="P47" s="538"/>
      <c r="AH47" s="8">
        <f t="shared" si="17"/>
        <v>0</v>
      </c>
    </row>
    <row r="48" spans="2:34">
      <c r="B48" s="162">
        <f t="shared" si="18"/>
        <v>45</v>
      </c>
      <c r="C48" s="189"/>
      <c r="D48" s="189"/>
      <c r="E48" s="202"/>
      <c r="F48" s="188" t="str">
        <f>IF(TRIM(D48)="","",(SUMIF('PG1'!$D$4:$D$53,D48,'PG1'!$L$4:$L$53)) +(SUMIF('PG2'!$D$4:$D$53,D48,'PG2'!$E$4:$E$53)) + (SUMIF('PG3'!$D$4:$D$53,D48,'PG3'!$E$4:$E$53)))</f>
        <v/>
      </c>
      <c r="G48" s="174" t="str">
        <f>IF(TRIM(D48)="","",(SUMIF('PG2'!$D$4:$D$53,D48,'PG2'!$F$4:$F$53)) + (SUMIF('PG3'!$D$4:$D$53,D48,'PG3'!$F$4:$F$53)))</f>
        <v/>
      </c>
      <c r="H48" s="219" t="str">
        <f t="shared" si="19"/>
        <v/>
      </c>
      <c r="I48" s="224" t="str">
        <f t="shared" si="20"/>
        <v/>
      </c>
      <c r="J48" s="159" t="str">
        <f t="shared" si="21"/>
        <v/>
      </c>
      <c r="K48" s="184" t="str">
        <f t="shared" si="22"/>
        <v/>
      </c>
      <c r="L48" s="159" t="str">
        <f t="shared" si="23"/>
        <v/>
      </c>
      <c r="M48" s="221" t="str">
        <f t="shared" si="24"/>
        <v/>
      </c>
      <c r="N48" s="221" t="str">
        <f t="shared" si="25"/>
        <v/>
      </c>
      <c r="O48" s="221" t="str">
        <f t="shared" si="26"/>
        <v/>
      </c>
      <c r="P48" s="539"/>
      <c r="AH48" s="8">
        <f t="shared" si="17"/>
        <v>0</v>
      </c>
    </row>
    <row r="49" spans="2:34">
      <c r="B49" s="160">
        <f t="shared" si="18"/>
        <v>46</v>
      </c>
      <c r="C49" s="190"/>
      <c r="D49" s="190"/>
      <c r="E49" s="200"/>
      <c r="F49" s="186" t="str">
        <f>IF(TRIM(D49)="","",(SUMIF('PG1'!$D$4:$D$53,D49,'PG1'!$L$4:$L$53)) +(SUMIF('PG2'!$D$4:$D$53,D49,'PG2'!$E$4:$E$53)) + (SUMIF('PG3'!$D$4:$D$53,D49,'PG3'!$E$4:$E$53)))</f>
        <v/>
      </c>
      <c r="G49" s="171" t="str">
        <f>IF(TRIM(D49)="","",(SUMIF('PG2'!$D$4:$D$53,D49,'PG2'!$F$4:$F$53)) + (SUMIF('PG3'!$D$4:$D$53,D49,'PG3'!$F$4:$F$53)))</f>
        <v/>
      </c>
      <c r="H49" s="222" t="str">
        <f t="shared" si="19"/>
        <v/>
      </c>
      <c r="I49" s="223" t="str">
        <f t="shared" si="20"/>
        <v/>
      </c>
      <c r="J49" s="318" t="str">
        <f t="shared" si="21"/>
        <v/>
      </c>
      <c r="K49" s="184" t="str">
        <f t="shared" si="22"/>
        <v/>
      </c>
      <c r="L49" s="159" t="str">
        <f t="shared" si="23"/>
        <v/>
      </c>
      <c r="M49" s="221" t="str">
        <f t="shared" si="24"/>
        <v/>
      </c>
      <c r="N49" s="221" t="str">
        <f t="shared" si="25"/>
        <v/>
      </c>
      <c r="O49" s="221" t="str">
        <f t="shared" si="26"/>
        <v/>
      </c>
      <c r="P49" s="538"/>
      <c r="AH49" s="8">
        <f t="shared" si="17"/>
        <v>0</v>
      </c>
    </row>
    <row r="50" spans="2:34">
      <c r="B50" s="162">
        <f t="shared" si="18"/>
        <v>47</v>
      </c>
      <c r="C50" s="189"/>
      <c r="D50" s="189"/>
      <c r="E50" s="202"/>
      <c r="F50" s="188" t="str">
        <f>IF(TRIM(D50)="","",(SUMIF('PG1'!$D$4:$D$53,D50,'PG1'!$L$4:$L$53)) +(SUMIF('PG2'!$D$4:$D$53,D50,'PG2'!$E$4:$E$53)) + (SUMIF('PG3'!$D$4:$D$53,D50,'PG3'!$E$4:$E$53)))</f>
        <v/>
      </c>
      <c r="G50" s="174" t="str">
        <f>IF(TRIM(D50)="","",(SUMIF('PG2'!$D$4:$D$53,D50,'PG2'!$F$4:$F$53)) + (SUMIF('PG3'!$D$4:$D$53,D50,'PG3'!$F$4:$F$53)))</f>
        <v/>
      </c>
      <c r="H50" s="219" t="str">
        <f t="shared" si="19"/>
        <v/>
      </c>
      <c r="I50" s="224" t="str">
        <f t="shared" si="20"/>
        <v/>
      </c>
      <c r="J50" s="159" t="str">
        <f t="shared" si="21"/>
        <v/>
      </c>
      <c r="K50" s="184" t="str">
        <f t="shared" si="22"/>
        <v/>
      </c>
      <c r="L50" s="159" t="str">
        <f t="shared" si="23"/>
        <v/>
      </c>
      <c r="M50" s="221" t="str">
        <f t="shared" si="24"/>
        <v/>
      </c>
      <c r="N50" s="221" t="str">
        <f t="shared" si="25"/>
        <v/>
      </c>
      <c r="O50" s="221" t="str">
        <f t="shared" si="26"/>
        <v/>
      </c>
      <c r="P50" s="539"/>
      <c r="AH50" s="8">
        <f t="shared" si="17"/>
        <v>0</v>
      </c>
    </row>
    <row r="51" spans="2:34">
      <c r="B51" s="160">
        <f t="shared" si="18"/>
        <v>48</v>
      </c>
      <c r="C51" s="190"/>
      <c r="D51" s="190"/>
      <c r="E51" s="200"/>
      <c r="F51" s="186" t="str">
        <f>IF(TRIM(D51)="","",(SUMIF('PG1'!$D$4:$D$53,D51,'PG1'!$L$4:$L$53)) +(SUMIF('PG2'!$D$4:$D$53,D51,'PG2'!$E$4:$E$53)) + (SUMIF('PG3'!$D$4:$D$53,D51,'PG3'!$E$4:$E$53)))</f>
        <v/>
      </c>
      <c r="G51" s="171" t="str">
        <f>IF(TRIM(D51)="","",(SUMIF('PG2'!$D$4:$D$53,D51,'PG2'!$F$4:$F$53)) + (SUMIF('PG3'!$D$4:$D$53,D51,'PG3'!$F$4:$F$53)))</f>
        <v/>
      </c>
      <c r="H51" s="222" t="str">
        <f t="shared" si="19"/>
        <v/>
      </c>
      <c r="I51" s="223" t="str">
        <f t="shared" si="20"/>
        <v/>
      </c>
      <c r="J51" s="318" t="str">
        <f t="shared" si="21"/>
        <v/>
      </c>
      <c r="K51" s="184" t="str">
        <f t="shared" si="22"/>
        <v/>
      </c>
      <c r="L51" s="159" t="str">
        <f t="shared" si="23"/>
        <v/>
      </c>
      <c r="M51" s="221" t="str">
        <f t="shared" si="24"/>
        <v/>
      </c>
      <c r="N51" s="221" t="str">
        <f t="shared" si="25"/>
        <v/>
      </c>
      <c r="O51" s="221" t="str">
        <f t="shared" si="26"/>
        <v/>
      </c>
      <c r="P51" s="538"/>
      <c r="AH51" s="8">
        <f t="shared" si="17"/>
        <v>0</v>
      </c>
    </row>
    <row r="52" spans="2:34">
      <c r="B52" s="162">
        <f t="shared" si="18"/>
        <v>49</v>
      </c>
      <c r="C52" s="191"/>
      <c r="D52" s="191"/>
      <c r="E52" s="202"/>
      <c r="F52" s="188" t="str">
        <f>IF(TRIM(D52)="","",(SUMIF('PG1'!$D$4:$D$53,D52,'PG1'!$L$4:$L$53)) +(SUMIF('PG2'!$D$4:$D$53,D52,'PG2'!$E$4:$E$53)) + (SUMIF('PG3'!$D$4:$D$53,D52,'PG3'!$E$4:$E$53)))</f>
        <v/>
      </c>
      <c r="G52" s="174" t="str">
        <f>IF(TRIM(D52)="","",(SUMIF('PG2'!$D$4:$D$53,D52,'PG2'!$F$4:$F$53)) + (SUMIF('PG3'!$D$4:$D$53,D52,'PG3'!$F$4:$F$53)))</f>
        <v/>
      </c>
      <c r="H52" s="219" t="str">
        <f t="shared" si="19"/>
        <v/>
      </c>
      <c r="I52" s="224" t="str">
        <f t="shared" si="20"/>
        <v/>
      </c>
      <c r="J52" s="159" t="str">
        <f t="shared" si="21"/>
        <v/>
      </c>
      <c r="K52" s="184" t="str">
        <f t="shared" si="22"/>
        <v/>
      </c>
      <c r="L52" s="159" t="str">
        <f t="shared" si="23"/>
        <v/>
      </c>
      <c r="M52" s="221" t="str">
        <f t="shared" si="24"/>
        <v/>
      </c>
      <c r="N52" s="221" t="str">
        <f t="shared" si="25"/>
        <v/>
      </c>
      <c r="O52" s="221" t="str">
        <f t="shared" si="26"/>
        <v/>
      </c>
      <c r="P52" s="539"/>
      <c r="AH52" s="8">
        <f t="shared" si="17"/>
        <v>0</v>
      </c>
    </row>
    <row r="53" spans="2:34" ht="15.75" thickBot="1">
      <c r="B53" s="225">
        <f t="shared" si="18"/>
        <v>50</v>
      </c>
      <c r="C53" s="226"/>
      <c r="D53" s="226"/>
      <c r="E53" s="227"/>
      <c r="F53" s="228" t="str">
        <f>IF(TRIM(D53)="","",(SUMIF('PG1'!$D$4:$D$53,D53,'PG1'!$L$4:$L$53)) +(SUMIF('PG2'!$D$4:$D$53,D53,'PG2'!$E$4:$E$53)) + (SUMIF('PG3'!$D$4:$D$53,D53,'PG3'!$E$4:$E$53)))</f>
        <v/>
      </c>
      <c r="G53" s="229" t="str">
        <f>IF(TRIM(D53)="","",(SUMIF('PG2'!$D$4:$D$53,D53,'PG2'!$F$4:$F$53)) + (SUMIF('PG3'!$D$4:$D$53,D53,'PG3'!$F$4:$F$53)))</f>
        <v/>
      </c>
      <c r="H53" s="230" t="str">
        <f t="shared" si="19"/>
        <v/>
      </c>
      <c r="I53" s="231" t="str">
        <f t="shared" si="20"/>
        <v/>
      </c>
      <c r="J53" s="319" t="str">
        <f t="shared" si="21"/>
        <v/>
      </c>
      <c r="K53" s="232" t="str">
        <f t="shared" si="22"/>
        <v/>
      </c>
      <c r="L53" s="233" t="str">
        <f t="shared" si="23"/>
        <v/>
      </c>
      <c r="M53" s="234" t="str">
        <f t="shared" si="24"/>
        <v/>
      </c>
      <c r="N53" s="234" t="str">
        <f t="shared" si="25"/>
        <v/>
      </c>
      <c r="O53" s="234" t="str">
        <f t="shared" si="26"/>
        <v/>
      </c>
      <c r="P53" s="540"/>
      <c r="AH53" s="8">
        <f t="shared" si="17"/>
        <v>0</v>
      </c>
    </row>
    <row r="54" spans="2:34">
      <c r="B54" s="137"/>
      <c r="C54" s="137"/>
      <c r="D54" s="137"/>
      <c r="E54" s="137"/>
      <c r="F54" s="138"/>
      <c r="G54" s="138"/>
      <c r="H54" s="138"/>
      <c r="I54" s="139"/>
      <c r="J54" s="139"/>
      <c r="K54" s="138"/>
      <c r="L54" s="138"/>
      <c r="M54" s="138"/>
      <c r="N54" s="138"/>
      <c r="O54" s="138"/>
      <c r="P54" s="137"/>
    </row>
  </sheetData>
  <protectedRanges>
    <protectedRange sqref="P4:P53" name="Range2"/>
    <protectedRange sqref="C4:D18" name="Range1_2"/>
  </protectedRanges>
  <mergeCells count="1">
    <mergeCell ref="H2:I2"/>
  </mergeCells>
  <phoneticPr fontId="3"/>
  <conditionalFormatting sqref="P4:P53 B4:E53">
    <cfRule type="expression" dxfId="68" priority="4" stopIfTrue="1">
      <formula>$AH4&gt;1</formula>
    </cfRule>
    <cfRule type="expression" dxfId="67" priority="5" stopIfTrue="1">
      <formula>MOD(ROW(),2)=0</formula>
    </cfRule>
    <cfRule type="expression" dxfId="66" priority="6" stopIfTrue="1">
      <formula>MOD(ROW(),2)=1</formula>
    </cfRule>
  </conditionalFormatting>
  <conditionalFormatting sqref="F4:O53">
    <cfRule type="expression" dxfId="65" priority="7" stopIfTrue="1">
      <formula>MOD(ROW(),2)=0</formula>
    </cfRule>
    <cfRule type="expression" dxfId="64" priority="8" stopIfTrue="1">
      <formula>MOD(ROW(),2)=1</formula>
    </cfRule>
  </conditionalFormatting>
  <conditionalFormatting sqref="C4:D18">
    <cfRule type="expression" dxfId="63" priority="1" stopIfTrue="1">
      <formula>$Q4&gt;1</formula>
    </cfRule>
    <cfRule type="expression" dxfId="62" priority="2" stopIfTrue="1">
      <formula>MOD(ROW(),2)=0</formula>
    </cfRule>
    <cfRule type="expression" dxfId="61" priority="3" stopIfTrue="1">
      <formula>MOD(ROW(),2)=1</formula>
    </cfRule>
  </conditionalFormatting>
  <dataValidations count="1">
    <dataValidation showInputMessage="1" showErrorMessage="1" sqref="E4:E53"/>
  </dataValidations>
  <printOptions horizontalCentered="1"/>
  <pageMargins left="0.59055118110236227" right="0.39370078740157483" top="0.39370078740157483" bottom="0.39370078740157483" header="0.51181102362204722" footer="0.51181102362204722"/>
  <pageSetup paperSize="9" scale="74"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sheetPr codeName="Sheet15"/>
  <dimension ref="B1:AH54"/>
  <sheetViews>
    <sheetView view="pageBreakPreview" zoomScaleNormal="100" zoomScaleSheetLayoutView="100" workbookViewId="0">
      <pane xSplit="4" ySplit="3" topLeftCell="E4" activePane="bottomRight" state="frozen"/>
      <selection activeCell="F19" sqref="F19"/>
      <selection pane="topRight" activeCell="F19" sqref="F19"/>
      <selection pane="bottomLeft" activeCell="F19" sqref="F19"/>
      <selection pane="bottomRight" activeCell="D29" sqref="D29"/>
    </sheetView>
  </sheetViews>
  <sheetFormatPr defaultRowHeight="15"/>
  <cols>
    <col min="1" max="1" width="1.625" style="8" customWidth="1"/>
    <col min="2" max="2" width="3.875" style="8" bestFit="1" customWidth="1"/>
    <col min="3" max="4" width="30.625" style="8" customWidth="1"/>
    <col min="5" max="5" width="11" style="8" customWidth="1"/>
    <col min="6" max="6" width="13.25" style="27" customWidth="1"/>
    <col min="7" max="7" width="12.125" style="27" customWidth="1"/>
    <col min="8" max="8" width="7.25" style="27" customWidth="1"/>
    <col min="9" max="10" width="7.25" style="26" hidden="1" customWidth="1"/>
    <col min="11" max="15" width="7.25" style="27" customWidth="1"/>
    <col min="16" max="16" width="31.875" style="8" customWidth="1"/>
    <col min="17" max="17" width="1.625" style="8" customWidth="1"/>
    <col min="18" max="23" width="9" style="8"/>
    <col min="24" max="24" width="13.375" style="8" bestFit="1" customWidth="1"/>
    <col min="25" max="16384" width="9" style="8"/>
  </cols>
  <sheetData>
    <row r="1" spans="2:34" ht="15.75" thickBot="1">
      <c r="B1" s="131" t="s">
        <v>241</v>
      </c>
      <c r="C1" s="131"/>
      <c r="D1" s="131"/>
      <c r="E1" s="144" t="s">
        <v>198</v>
      </c>
      <c r="F1" s="145" t="s">
        <v>199</v>
      </c>
      <c r="G1" s="145" t="s">
        <v>200</v>
      </c>
      <c r="H1" s="131"/>
      <c r="I1" s="131"/>
      <c r="J1" s="131"/>
      <c r="K1" s="131"/>
      <c r="L1" s="131"/>
      <c r="M1" s="131"/>
      <c r="N1" s="131"/>
      <c r="O1" s="131"/>
      <c r="P1" s="131"/>
    </row>
    <row r="2" spans="2:34" ht="15.75" thickBot="1">
      <c r="C2" s="65" t="s">
        <v>130</v>
      </c>
      <c r="E2" s="143" t="s">
        <v>213</v>
      </c>
      <c r="F2" s="341">
        <f>Legend!I16</f>
        <v>30</v>
      </c>
      <c r="G2" s="341">
        <f>Legend!J16</f>
        <v>3</v>
      </c>
      <c r="H2" s="621" t="s">
        <v>299</v>
      </c>
      <c r="I2" s="621"/>
      <c r="J2" s="341">
        <f>AvgBugCT</f>
        <v>3</v>
      </c>
      <c r="K2" s="380">
        <f>Legend!I21</f>
        <v>0.2</v>
      </c>
      <c r="L2" s="381">
        <f>Legend!J21</f>
        <v>0.2</v>
      </c>
      <c r="M2" s="328">
        <f>Legend!K21</f>
        <v>0.5</v>
      </c>
      <c r="N2" s="382">
        <f>Legend!L21</f>
        <v>0.1</v>
      </c>
    </row>
    <row r="3" spans="2:34" s="46" customFormat="1" ht="26.25" thickBot="1">
      <c r="B3" s="10" t="s">
        <v>1</v>
      </c>
      <c r="C3" s="11" t="s">
        <v>2</v>
      </c>
      <c r="D3" s="11" t="s">
        <v>152</v>
      </c>
      <c r="E3" s="17" t="s">
        <v>208</v>
      </c>
      <c r="F3" s="135" t="s">
        <v>211</v>
      </c>
      <c r="G3" s="136" t="s">
        <v>381</v>
      </c>
      <c r="H3" s="132" t="s">
        <v>193</v>
      </c>
      <c r="I3" s="301" t="s">
        <v>266</v>
      </c>
      <c r="J3" s="321" t="s">
        <v>267</v>
      </c>
      <c r="K3" s="30" t="s">
        <v>29</v>
      </c>
      <c r="L3" s="31" t="s">
        <v>30</v>
      </c>
      <c r="M3" s="32" t="s">
        <v>15</v>
      </c>
      <c r="N3" s="32" t="s">
        <v>156</v>
      </c>
      <c r="O3" s="320" t="s">
        <v>294</v>
      </c>
      <c r="P3" s="536" t="s">
        <v>3</v>
      </c>
      <c r="S3" s="46" t="s">
        <v>313</v>
      </c>
      <c r="U3" s="46" t="s">
        <v>300</v>
      </c>
      <c r="V3" s="46" t="s">
        <v>302</v>
      </c>
      <c r="X3" s="46" t="s">
        <v>314</v>
      </c>
      <c r="Y3" s="46" t="s">
        <v>315</v>
      </c>
      <c r="AH3" s="46" t="s">
        <v>349</v>
      </c>
    </row>
    <row r="4" spans="2:34" ht="25.5">
      <c r="B4" s="157">
        <f t="shared" ref="B4:B35" si="0">ROW() - 3</f>
        <v>1</v>
      </c>
      <c r="C4" s="196" t="s">
        <v>453</v>
      </c>
      <c r="D4" s="197" t="s">
        <v>453</v>
      </c>
      <c r="E4" s="198">
        <v>3.5</v>
      </c>
      <c r="F4" s="188">
        <f>IF(TRIM(D4)="","",(SUMIF('PG1'!$D$4:$D$53,D4,'PG1'!$L$4:$L$53)) + (SUMIF('PG2'!$D$4:$D$53,D4,'PG2'!$E$4:$E$53)) + (SUMIF('PG3'!$D$4:$D$53,D4,'PG3'!$E$4:$E$53)))</f>
        <v>2911.5</v>
      </c>
      <c r="G4" s="174">
        <f>IF(TRIM(D4)="","",(SUMIF('PG2'!$D$4:$D$53,D4,'PG2'!$F$4:$F$53)) + (SUMIF('PG3'!$D$4:$D$53,D4,'PG3'!$F$4:$F$53)))</f>
        <v>9705</v>
      </c>
      <c r="H4" s="219">
        <f t="shared" ref="H4:H35" si="1">IF(TRIM(D4)="","",CEILING(F4/1000*NEW2_CaseRate_CT+G4/1000*REUSE2_CaseRate_CT,1))</f>
        <v>117</v>
      </c>
      <c r="I4" s="220">
        <f t="shared" ref="I4:I35" si="2">IF(TRIM(D4)="","",IF(E4&lt;&gt;"",E4*H4/PT2_CT_Base*PT2_CT_Unit,1*H4/PT2_CT_Base*PT2_CT_Unit))</f>
        <v>81.900000000000006</v>
      </c>
      <c r="J4" s="221">
        <f t="shared" ref="J4:J35" si="3">IF(TRIM(D4)="","",((F4/1000)+(G4/1000)*SampleLOCConvRate)*AvgCTBugKLOC*Fix1CTBugFUP)</f>
        <v>5.8230000000000004</v>
      </c>
      <c r="K4" s="184"/>
      <c r="L4" s="159">
        <f t="shared" ref="L4:L35" si="4">IF(TRIM(C4)="","",IF(I4 &gt;= 1, CEILING(I4*UnitPoint_Effort_Rate*Test2Data_Rate_CT*10/5,1)*5/10,I4*UnitPoint_Effort_Rate*Test2Data_Rate_CT))</f>
        <v>33</v>
      </c>
      <c r="M4" s="221">
        <f t="shared" ref="M4:M35" si="5">IF(TRIM(C4)="","",CEILING(I4*UnitPoint_Effort_Rate*Test2Execute_Rate_CT*10/5,1)*5/10)</f>
        <v>82</v>
      </c>
      <c r="N4" s="221">
        <f t="shared" ref="N4:N35" si="6">IF(TRIM(D4)="","",IF(I4 &gt;= 1,CEILING(I4*UnitPoint_Effort_Rate*Test2Evidence_Rate_CT*10/5,1)*5/10,I4*UnitPoint_Effort_Rate*Test2Evidence_Rate_CT))</f>
        <v>16.5</v>
      </c>
      <c r="O4" s="221">
        <f t="shared" ref="O4:O35" si="7">IF(TRIM(D4)="","",IF(J4 &gt;= 1,CEILING(J4*UnitPoint_Effort_Rate*10/5,1)*5/10,J4*UnitPoint_Effort_Rate))</f>
        <v>12</v>
      </c>
      <c r="P4" s="537"/>
      <c r="R4" s="8">
        <v>4.68</v>
      </c>
      <c r="S4" s="8">
        <f t="shared" ref="S4:S17" si="8">IF(TRIM(D4)="","",IF(R4 &gt;= 1,CEILING(R4*UnitPoint_Effort_Rate*10/5,1)*5/10,R4*UnitPoint_Effort_Rate))</f>
        <v>9.5</v>
      </c>
      <c r="U4" s="8">
        <f t="shared" ref="U4:U17" si="9">(F4/1000)*AvgCTBugKLOC</f>
        <v>8.7345000000000006</v>
      </c>
      <c r="V4" s="8">
        <f t="shared" ref="V4:V17" si="10">U4*Fix1CTBugFUP*UnitPoint_Effort_Rate</f>
        <v>8.7345000000000006</v>
      </c>
      <c r="X4" s="324">
        <f t="shared" ref="X4:X17" si="11">(1-IsEstimateST)*(F4/1000)*CTLatentDefect</f>
        <v>2.9115000000000002</v>
      </c>
      <c r="Y4" s="8">
        <f t="shared" ref="Y4:Y17" si="12">X4*Fix1STBugFUP*UnitPoint_Effort_Rate</f>
        <v>11.646000000000001</v>
      </c>
      <c r="AH4" s="8">
        <f>COUNTIF($D$4:$D$53,D4)</f>
        <v>1</v>
      </c>
    </row>
    <row r="5" spans="2:34" ht="25.5">
      <c r="B5" s="160">
        <f t="shared" si="0"/>
        <v>2</v>
      </c>
      <c r="C5" s="554" t="s">
        <v>455</v>
      </c>
      <c r="D5" s="558" t="s">
        <v>455</v>
      </c>
      <c r="E5" s="200">
        <v>3.5</v>
      </c>
      <c r="F5" s="186">
        <f>IF(TRIM(D5)="","",(SUMIF('PG1'!$D$4:$D$53,D5,'PG1'!$L$4:$L$53)) + (SUMIF('PG2'!$D$4:$D$53,D5,'PG2'!$E$4:$E$53)) + (SUMIF('PG3'!$D$4:$D$53,D5,'PG3'!$E$4:$E$53)))</f>
        <v>823.5</v>
      </c>
      <c r="G5" s="171">
        <f>IF(TRIM(D5)="","",(SUMIF('PG2'!$D$4:$D$53,D5,'PG2'!$F$4:$F$53)) + (SUMIF('PG3'!$D$4:$D$53,D5,'PG3'!$F$4:$F$53)))</f>
        <v>2745</v>
      </c>
      <c r="H5" s="222">
        <f t="shared" si="1"/>
        <v>33</v>
      </c>
      <c r="I5" s="223">
        <f t="shared" si="2"/>
        <v>23.1</v>
      </c>
      <c r="J5" s="322">
        <f t="shared" si="3"/>
        <v>1.6470000000000002</v>
      </c>
      <c r="K5" s="184"/>
      <c r="L5" s="159">
        <f t="shared" si="4"/>
        <v>9.5</v>
      </c>
      <c r="M5" s="221">
        <f t="shared" si="5"/>
        <v>23.5</v>
      </c>
      <c r="N5" s="221">
        <f t="shared" si="6"/>
        <v>5</v>
      </c>
      <c r="O5" s="221">
        <f t="shared" si="7"/>
        <v>3.5</v>
      </c>
      <c r="P5" s="538"/>
      <c r="R5" s="8">
        <v>6</v>
      </c>
      <c r="S5" s="8">
        <f t="shared" si="8"/>
        <v>12</v>
      </c>
      <c r="U5" s="8">
        <f t="shared" si="9"/>
        <v>2.4704999999999999</v>
      </c>
      <c r="V5" s="8">
        <f t="shared" si="10"/>
        <v>2.4704999999999999</v>
      </c>
      <c r="X5" s="324">
        <f t="shared" si="11"/>
        <v>0.82350000000000001</v>
      </c>
      <c r="Y5" s="8">
        <f t="shared" si="12"/>
        <v>3.294</v>
      </c>
      <c r="AH5" s="8">
        <f t="shared" ref="AH5:AH53" si="13">COUNTIF($D$4:$D$53,D5)</f>
        <v>1</v>
      </c>
    </row>
    <row r="6" spans="2:34">
      <c r="B6" s="162">
        <f t="shared" si="0"/>
        <v>3</v>
      </c>
      <c r="C6" s="555" t="s">
        <v>456</v>
      </c>
      <c r="D6" s="559" t="s">
        <v>456</v>
      </c>
      <c r="E6" s="200">
        <v>3.5</v>
      </c>
      <c r="F6" s="188">
        <f>IF(TRIM(D6)="","",(SUMIF('PG1'!$D$4:$D$53,D6,'PG1'!$L$4:$L$53)) + (SUMIF('PG2'!$D$4:$D$53,D6,'PG2'!$E$4:$E$53)) + (SUMIF('PG3'!$D$4:$D$53,D6,'PG3'!$E$4:$E$53)))</f>
        <v>2703.6</v>
      </c>
      <c r="G6" s="174">
        <f>IF(TRIM(D6)="","",(SUMIF('PG2'!$D$4:$D$53,D6,'PG2'!$F$4:$F$53)) + (SUMIF('PG3'!$D$4:$D$53,D6,'PG3'!$F$4:$F$53)))</f>
        <v>9012</v>
      </c>
      <c r="H6" s="219">
        <f t="shared" si="1"/>
        <v>109</v>
      </c>
      <c r="I6" s="224">
        <f t="shared" si="2"/>
        <v>76.3</v>
      </c>
      <c r="J6" s="221">
        <f t="shared" si="3"/>
        <v>5.4071999999999996</v>
      </c>
      <c r="K6" s="184"/>
      <c r="L6" s="159">
        <f t="shared" si="4"/>
        <v>31</v>
      </c>
      <c r="M6" s="221">
        <f t="shared" si="5"/>
        <v>76.5</v>
      </c>
      <c r="N6" s="221">
        <f t="shared" si="6"/>
        <v>15.5</v>
      </c>
      <c r="O6" s="221">
        <f t="shared" si="7"/>
        <v>11</v>
      </c>
      <c r="P6" s="539"/>
      <c r="R6" s="8">
        <v>1.44</v>
      </c>
      <c r="S6" s="8">
        <f t="shared" si="8"/>
        <v>3</v>
      </c>
      <c r="U6" s="8">
        <f t="shared" si="9"/>
        <v>8.1107999999999993</v>
      </c>
      <c r="V6" s="8">
        <f t="shared" si="10"/>
        <v>8.1107999999999993</v>
      </c>
      <c r="X6" s="324">
        <f t="shared" si="11"/>
        <v>2.7035999999999998</v>
      </c>
      <c r="Y6" s="8">
        <f t="shared" si="12"/>
        <v>10.814399999999999</v>
      </c>
      <c r="AH6" s="8">
        <f t="shared" si="13"/>
        <v>1</v>
      </c>
    </row>
    <row r="7" spans="2:34">
      <c r="B7" s="160">
        <f t="shared" si="0"/>
        <v>4</v>
      </c>
      <c r="C7" s="554" t="s">
        <v>457</v>
      </c>
      <c r="D7" s="558" t="s">
        <v>457</v>
      </c>
      <c r="E7" s="200">
        <v>3.5</v>
      </c>
      <c r="F7" s="186">
        <f>IF(TRIM(D7)="","",(SUMIF('PG1'!$D$4:$D$53,D7,'PG1'!$L$4:$L$53)) + (SUMIF('PG2'!$D$4:$D$53,D7,'PG2'!$E$4:$E$53)) + (SUMIF('PG3'!$D$4:$D$53,D7,'PG3'!$E$4:$E$53)))</f>
        <v>926.69999999999993</v>
      </c>
      <c r="G7" s="171">
        <f>IF(TRIM(D7)="","",(SUMIF('PG2'!$D$4:$D$53,D7,'PG2'!$F$4:$F$53)) + (SUMIF('PG3'!$D$4:$D$53,D7,'PG3'!$F$4:$F$53)))</f>
        <v>3089</v>
      </c>
      <c r="H7" s="222">
        <f t="shared" si="1"/>
        <v>38</v>
      </c>
      <c r="I7" s="223">
        <f t="shared" si="2"/>
        <v>26.6</v>
      </c>
      <c r="J7" s="322">
        <f t="shared" si="3"/>
        <v>1.8534000000000002</v>
      </c>
      <c r="K7" s="184"/>
      <c r="L7" s="159">
        <f t="shared" si="4"/>
        <v>11</v>
      </c>
      <c r="M7" s="221">
        <f t="shared" si="5"/>
        <v>27</v>
      </c>
      <c r="N7" s="221">
        <f t="shared" si="6"/>
        <v>5.5</v>
      </c>
      <c r="O7" s="221">
        <f t="shared" si="7"/>
        <v>4</v>
      </c>
      <c r="P7" s="538"/>
      <c r="R7" s="8">
        <v>15.839999999999998</v>
      </c>
      <c r="S7" s="8">
        <f t="shared" si="8"/>
        <v>32</v>
      </c>
      <c r="U7" s="8">
        <f t="shared" si="9"/>
        <v>2.7801</v>
      </c>
      <c r="V7" s="8">
        <f t="shared" si="10"/>
        <v>2.7801</v>
      </c>
      <c r="X7" s="324">
        <f t="shared" si="11"/>
        <v>0.92669999999999997</v>
      </c>
      <c r="Y7" s="8">
        <f t="shared" si="12"/>
        <v>3.7067999999999999</v>
      </c>
      <c r="AH7" s="8">
        <f t="shared" si="13"/>
        <v>1</v>
      </c>
    </row>
    <row r="8" spans="2:34">
      <c r="B8" s="162">
        <f t="shared" si="0"/>
        <v>5</v>
      </c>
      <c r="C8" s="556" t="s">
        <v>458</v>
      </c>
      <c r="D8" s="559" t="s">
        <v>458</v>
      </c>
      <c r="E8" s="200">
        <v>3.5</v>
      </c>
      <c r="F8" s="188">
        <f>IF(TRIM(D8)="","",(SUMIF('PG1'!$D$4:$D$53,D8,'PG1'!$L$4:$L$53)) + (SUMIF('PG2'!$D$4:$D$53,D8,'PG2'!$E$4:$E$53)) + (SUMIF('PG3'!$D$4:$D$53,D8,'PG3'!$E$4:$E$53)))</f>
        <v>96</v>
      </c>
      <c r="G8" s="174">
        <f>IF(TRIM(D8)="","",(SUMIF('PG2'!$D$4:$D$53,D8,'PG2'!$F$4:$F$53)) + (SUMIF('PG3'!$D$4:$D$53,D8,'PG3'!$F$4:$F$53)))</f>
        <v>320</v>
      </c>
      <c r="H8" s="219">
        <f t="shared" si="1"/>
        <v>4</v>
      </c>
      <c r="I8" s="224">
        <f t="shared" si="2"/>
        <v>2.8</v>
      </c>
      <c r="J8" s="221">
        <f t="shared" si="3"/>
        <v>0.192</v>
      </c>
      <c r="K8" s="184"/>
      <c r="L8" s="159">
        <f t="shared" si="4"/>
        <v>1.5</v>
      </c>
      <c r="M8" s="221">
        <f t="shared" si="5"/>
        <v>3</v>
      </c>
      <c r="N8" s="221">
        <f t="shared" si="6"/>
        <v>1</v>
      </c>
      <c r="O8" s="221">
        <f t="shared" si="7"/>
        <v>0.38400000000000001</v>
      </c>
      <c r="P8" s="539"/>
      <c r="R8" s="8">
        <v>11.52</v>
      </c>
      <c r="S8" s="8">
        <f t="shared" si="8"/>
        <v>23.5</v>
      </c>
      <c r="U8" s="8">
        <f t="shared" si="9"/>
        <v>0.28800000000000003</v>
      </c>
      <c r="V8" s="8">
        <f t="shared" si="10"/>
        <v>0.28800000000000003</v>
      </c>
      <c r="X8" s="324">
        <f t="shared" si="11"/>
        <v>9.6000000000000002E-2</v>
      </c>
      <c r="Y8" s="8">
        <f t="shared" si="12"/>
        <v>0.38400000000000001</v>
      </c>
      <c r="AH8" s="8">
        <f t="shared" si="13"/>
        <v>1</v>
      </c>
    </row>
    <row r="9" spans="2:34">
      <c r="B9" s="160">
        <f t="shared" si="0"/>
        <v>6</v>
      </c>
      <c r="C9" s="554" t="s">
        <v>459</v>
      </c>
      <c r="D9" s="560" t="s">
        <v>459</v>
      </c>
      <c r="E9" s="200">
        <v>3.5</v>
      </c>
      <c r="F9" s="186">
        <f>IF(TRIM(D9)="","",(SUMIF('PG1'!$D$4:$D$53,D9,'PG1'!$L$4:$L$53)) + (SUMIF('PG2'!$D$4:$D$53,D9,'PG2'!$E$4:$E$53)) + (SUMIF('PG3'!$D$4:$D$53,D9,'PG3'!$E$4:$E$53)))</f>
        <v>7675.5</v>
      </c>
      <c r="G9" s="171">
        <f>IF(TRIM(D9)="","",(SUMIF('PG2'!$D$4:$D$53,D9,'PG2'!$F$4:$F$53)) + (SUMIF('PG3'!$D$4:$D$53,D9,'PG3'!$F$4:$F$53)))</f>
        <v>25585</v>
      </c>
      <c r="H9" s="222">
        <f t="shared" si="1"/>
        <v>308</v>
      </c>
      <c r="I9" s="223">
        <f t="shared" si="2"/>
        <v>215.6</v>
      </c>
      <c r="J9" s="322">
        <f t="shared" si="3"/>
        <v>15.351000000000003</v>
      </c>
      <c r="K9" s="184"/>
      <c r="L9" s="159">
        <f t="shared" si="4"/>
        <v>86.5</v>
      </c>
      <c r="M9" s="221">
        <f t="shared" si="5"/>
        <v>216</v>
      </c>
      <c r="N9" s="221">
        <f t="shared" si="6"/>
        <v>43.5</v>
      </c>
      <c r="O9" s="221">
        <f t="shared" si="7"/>
        <v>31</v>
      </c>
      <c r="P9" s="538"/>
      <c r="R9" s="8">
        <v>0.72</v>
      </c>
      <c r="S9" s="8">
        <f t="shared" si="8"/>
        <v>1.44</v>
      </c>
      <c r="U9" s="8">
        <f t="shared" si="9"/>
        <v>23.026500000000002</v>
      </c>
      <c r="V9" s="8">
        <f t="shared" si="10"/>
        <v>23.026500000000002</v>
      </c>
      <c r="X9" s="324">
        <f t="shared" si="11"/>
        <v>7.6755000000000004</v>
      </c>
      <c r="Y9" s="8">
        <f t="shared" si="12"/>
        <v>30.702000000000002</v>
      </c>
      <c r="AH9" s="8">
        <f t="shared" si="13"/>
        <v>1</v>
      </c>
    </row>
    <row r="10" spans="2:34">
      <c r="B10" s="162">
        <f t="shared" si="0"/>
        <v>7</v>
      </c>
      <c r="C10" s="555" t="s">
        <v>460</v>
      </c>
      <c r="D10" s="559" t="s">
        <v>460</v>
      </c>
      <c r="E10" s="200">
        <v>3.5</v>
      </c>
      <c r="F10" s="188">
        <f>IF(TRIM(D10)="","",(SUMIF('PG1'!$D$4:$D$53,D10,'PG1'!$L$4:$L$53)) + (SUMIF('PG2'!$D$4:$D$53,D10,'PG2'!$E$4:$E$53)) + (SUMIF('PG3'!$D$4:$D$53,D10,'PG3'!$E$4:$E$53)))</f>
        <v>109.2</v>
      </c>
      <c r="G10" s="174">
        <f>IF(TRIM(D10)="","",(SUMIF('PG2'!$D$4:$D$53,D10,'PG2'!$F$4:$F$53)) + (SUMIF('PG3'!$D$4:$D$53,D10,'PG3'!$F$4:$F$53)))</f>
        <v>364</v>
      </c>
      <c r="H10" s="219">
        <f t="shared" si="1"/>
        <v>5</v>
      </c>
      <c r="I10" s="224">
        <f t="shared" si="2"/>
        <v>3.5</v>
      </c>
      <c r="J10" s="221">
        <f t="shared" si="3"/>
        <v>0.21840000000000001</v>
      </c>
      <c r="K10" s="184"/>
      <c r="L10" s="159">
        <f t="shared" si="4"/>
        <v>1.5</v>
      </c>
      <c r="M10" s="221">
        <f t="shared" si="5"/>
        <v>3.5</v>
      </c>
      <c r="N10" s="221">
        <f t="shared" si="6"/>
        <v>1</v>
      </c>
      <c r="O10" s="221">
        <f t="shared" si="7"/>
        <v>0.43680000000000002</v>
      </c>
      <c r="P10" s="539"/>
      <c r="R10" s="8">
        <v>1.44</v>
      </c>
      <c r="S10" s="8">
        <f t="shared" si="8"/>
        <v>3</v>
      </c>
      <c r="U10" s="8">
        <f t="shared" si="9"/>
        <v>0.3276</v>
      </c>
      <c r="V10" s="8">
        <f t="shared" si="10"/>
        <v>0.3276</v>
      </c>
      <c r="X10" s="324">
        <f t="shared" si="11"/>
        <v>0.10920000000000001</v>
      </c>
      <c r="Y10" s="8">
        <f t="shared" si="12"/>
        <v>0.43680000000000002</v>
      </c>
      <c r="AH10" s="8">
        <f t="shared" si="13"/>
        <v>1</v>
      </c>
    </row>
    <row r="11" spans="2:34">
      <c r="B11" s="160">
        <f t="shared" si="0"/>
        <v>8</v>
      </c>
      <c r="C11" s="190" t="s">
        <v>462</v>
      </c>
      <c r="D11" s="199" t="s">
        <v>462</v>
      </c>
      <c r="E11" s="200">
        <v>3.5</v>
      </c>
      <c r="F11" s="186">
        <f>IF(TRIM(D11)="","",(SUMIF('PG1'!$D$4:$D$53,D11,'PG1'!$L$4:$L$53)) + (SUMIF('PG2'!$D$4:$D$53,D11,'PG2'!$E$4:$E$53)) + (SUMIF('PG3'!$D$4:$D$53,D11,'PG3'!$E$4:$E$53)))</f>
        <v>158.4</v>
      </c>
      <c r="G11" s="171">
        <f>IF(TRIM(D11)="","",(SUMIF('PG2'!$D$4:$D$53,D11,'PG2'!$F$4:$F$53)) + (SUMIF('PG3'!$D$4:$D$53,D11,'PG3'!$F$4:$F$53)))</f>
        <v>528</v>
      </c>
      <c r="H11" s="222">
        <f t="shared" si="1"/>
        <v>7</v>
      </c>
      <c r="I11" s="223">
        <f t="shared" si="2"/>
        <v>4.9000000000000004</v>
      </c>
      <c r="J11" s="322">
        <f t="shared" si="3"/>
        <v>0.31680000000000003</v>
      </c>
      <c r="K11" s="184"/>
      <c r="L11" s="159">
        <f t="shared" si="4"/>
        <v>2</v>
      </c>
      <c r="M11" s="221">
        <f t="shared" si="5"/>
        <v>5</v>
      </c>
      <c r="N11" s="221">
        <f t="shared" si="6"/>
        <v>1</v>
      </c>
      <c r="O11" s="221">
        <f t="shared" si="7"/>
        <v>0.63360000000000005</v>
      </c>
      <c r="P11" s="538"/>
      <c r="R11" s="8">
        <v>2.88</v>
      </c>
      <c r="S11" s="8">
        <f t="shared" si="8"/>
        <v>6</v>
      </c>
      <c r="U11" s="8">
        <f t="shared" si="9"/>
        <v>0.47520000000000007</v>
      </c>
      <c r="V11" s="8">
        <f t="shared" si="10"/>
        <v>0.47520000000000007</v>
      </c>
      <c r="X11" s="324">
        <f t="shared" si="11"/>
        <v>0.15840000000000001</v>
      </c>
      <c r="Y11" s="8">
        <f t="shared" si="12"/>
        <v>0.63360000000000005</v>
      </c>
      <c r="AH11" s="8">
        <f t="shared" si="13"/>
        <v>1</v>
      </c>
    </row>
    <row r="12" spans="2:34">
      <c r="B12" s="162">
        <f t="shared" si="0"/>
        <v>9</v>
      </c>
      <c r="C12" s="557" t="s">
        <v>463</v>
      </c>
      <c r="D12" s="561" t="s">
        <v>463</v>
      </c>
      <c r="E12" s="200">
        <v>3.5</v>
      </c>
      <c r="F12" s="188">
        <f>IF(TRIM(D12)="","",(SUMIF('PG1'!$D$4:$D$53,D12,'PG1'!$L$4:$L$53)) + (SUMIF('PG2'!$D$4:$D$53,D12,'PG2'!$E$4:$E$53)) + (SUMIF('PG3'!$D$4:$D$53,D12,'PG3'!$E$4:$E$53)))</f>
        <v>312.59999999999997</v>
      </c>
      <c r="G12" s="174">
        <f>IF(TRIM(D12)="","",(SUMIF('PG2'!$D$4:$D$53,D12,'PG2'!$F$4:$F$53)) + (SUMIF('PG3'!$D$4:$D$53,D12,'PG3'!$F$4:$F$53)))</f>
        <v>1042</v>
      </c>
      <c r="H12" s="219">
        <f t="shared" si="1"/>
        <v>13</v>
      </c>
      <c r="I12" s="224">
        <f t="shared" si="2"/>
        <v>9.1</v>
      </c>
      <c r="J12" s="221">
        <f t="shared" si="3"/>
        <v>0.62519999999999998</v>
      </c>
      <c r="K12" s="184"/>
      <c r="L12" s="159">
        <f t="shared" si="4"/>
        <v>4</v>
      </c>
      <c r="M12" s="221">
        <f t="shared" si="5"/>
        <v>9.5</v>
      </c>
      <c r="N12" s="221">
        <f t="shared" si="6"/>
        <v>2</v>
      </c>
      <c r="O12" s="221">
        <f t="shared" si="7"/>
        <v>1.2504</v>
      </c>
      <c r="P12" s="539"/>
      <c r="R12" s="8">
        <v>1.7999999999999998</v>
      </c>
      <c r="S12" s="8">
        <f t="shared" si="8"/>
        <v>4</v>
      </c>
      <c r="U12" s="8">
        <f t="shared" si="9"/>
        <v>0.93779999999999997</v>
      </c>
      <c r="V12" s="8">
        <f t="shared" si="10"/>
        <v>0.93779999999999997</v>
      </c>
      <c r="X12" s="324">
        <f t="shared" si="11"/>
        <v>0.31259999999999999</v>
      </c>
      <c r="Y12" s="8">
        <f t="shared" si="12"/>
        <v>1.2504</v>
      </c>
      <c r="AH12" s="8">
        <f t="shared" si="13"/>
        <v>1</v>
      </c>
    </row>
    <row r="13" spans="2:34">
      <c r="B13" s="160">
        <f t="shared" si="0"/>
        <v>10</v>
      </c>
      <c r="C13" s="190" t="s">
        <v>465</v>
      </c>
      <c r="D13" s="199" t="s">
        <v>465</v>
      </c>
      <c r="E13" s="200">
        <v>3.5</v>
      </c>
      <c r="F13" s="186">
        <f>IF(TRIM(D13)="","",(SUMIF('PG1'!$D$4:$D$53,D13,'PG1'!$L$4:$L$53)) + (SUMIF('PG2'!$D$4:$D$53,D13,'PG2'!$E$4:$E$53)) + (SUMIF('PG3'!$D$4:$D$53,D13,'PG3'!$E$4:$E$53)))</f>
        <v>213</v>
      </c>
      <c r="G13" s="171">
        <f>IF(TRIM(D13)="","",(SUMIF('PG2'!$D$4:$D$53,D13,'PG2'!$F$4:$F$53)) + (SUMIF('PG3'!$D$4:$D$53,D13,'PG3'!$F$4:$F$53)))</f>
        <v>710</v>
      </c>
      <c r="H13" s="222">
        <f t="shared" si="1"/>
        <v>9</v>
      </c>
      <c r="I13" s="223">
        <f t="shared" si="2"/>
        <v>6.3</v>
      </c>
      <c r="J13" s="322">
        <f t="shared" si="3"/>
        <v>0.42599999999999993</v>
      </c>
      <c r="K13" s="184"/>
      <c r="L13" s="159">
        <f t="shared" si="4"/>
        <v>3</v>
      </c>
      <c r="M13" s="221">
        <f t="shared" si="5"/>
        <v>6.5</v>
      </c>
      <c r="N13" s="221">
        <f t="shared" si="6"/>
        <v>1.5</v>
      </c>
      <c r="O13" s="221">
        <f t="shared" si="7"/>
        <v>0.85199999999999987</v>
      </c>
      <c r="P13" s="538"/>
      <c r="R13" s="8">
        <v>16.559999999999999</v>
      </c>
      <c r="S13" s="8">
        <f t="shared" si="8"/>
        <v>33.5</v>
      </c>
      <c r="U13" s="8">
        <f t="shared" si="9"/>
        <v>0.63900000000000001</v>
      </c>
      <c r="V13" s="8">
        <f t="shared" si="10"/>
        <v>0.63900000000000001</v>
      </c>
      <c r="X13" s="324">
        <f t="shared" si="11"/>
        <v>0.21299999999999999</v>
      </c>
      <c r="Y13" s="8">
        <f t="shared" si="12"/>
        <v>0.85199999999999998</v>
      </c>
      <c r="AH13" s="8">
        <f t="shared" si="13"/>
        <v>1</v>
      </c>
    </row>
    <row r="14" spans="2:34">
      <c r="B14" s="162">
        <f t="shared" si="0"/>
        <v>11</v>
      </c>
      <c r="C14" s="555" t="s">
        <v>466</v>
      </c>
      <c r="D14" s="559" t="s">
        <v>466</v>
      </c>
      <c r="E14" s="200">
        <v>3.5</v>
      </c>
      <c r="F14" s="188">
        <f>IF(TRIM(D14)="","",(SUMIF('PG1'!$D$4:$D$53,D14,'PG1'!$L$4:$L$53)) + (SUMIF('PG2'!$D$4:$D$53,D14,'PG2'!$E$4:$E$53)) + (SUMIF('PG3'!$D$4:$D$53,D14,'PG3'!$E$4:$E$53)))</f>
        <v>342.9</v>
      </c>
      <c r="G14" s="174">
        <f>IF(TRIM(D14)="","",(SUMIF('PG2'!$D$4:$D$53,D14,'PG2'!$F$4:$F$53)) + (SUMIF('PG3'!$D$4:$D$53,D14,'PG3'!$F$4:$F$53)))</f>
        <v>1143</v>
      </c>
      <c r="H14" s="219">
        <f t="shared" si="1"/>
        <v>14</v>
      </c>
      <c r="I14" s="224">
        <f t="shared" si="2"/>
        <v>9.8000000000000007</v>
      </c>
      <c r="J14" s="221">
        <f t="shared" si="3"/>
        <v>0.68579999999999997</v>
      </c>
      <c r="K14" s="184"/>
      <c r="L14" s="159">
        <f t="shared" si="4"/>
        <v>4</v>
      </c>
      <c r="M14" s="221">
        <f t="shared" si="5"/>
        <v>10</v>
      </c>
      <c r="N14" s="221">
        <f t="shared" si="6"/>
        <v>2</v>
      </c>
      <c r="O14" s="221">
        <f t="shared" si="7"/>
        <v>1.3715999999999999</v>
      </c>
      <c r="P14" s="539"/>
      <c r="R14" s="8">
        <v>4.68</v>
      </c>
      <c r="S14" s="8">
        <f t="shared" si="8"/>
        <v>9.5</v>
      </c>
      <c r="U14" s="8">
        <f t="shared" si="9"/>
        <v>1.0286999999999999</v>
      </c>
      <c r="V14" s="8">
        <f t="shared" si="10"/>
        <v>1.0286999999999999</v>
      </c>
      <c r="X14" s="324">
        <f t="shared" si="11"/>
        <v>0.34289999999999998</v>
      </c>
      <c r="Y14" s="8">
        <f t="shared" si="12"/>
        <v>1.3715999999999999</v>
      </c>
      <c r="AH14" s="8">
        <f t="shared" si="13"/>
        <v>1</v>
      </c>
    </row>
    <row r="15" spans="2:34">
      <c r="B15" s="160">
        <f t="shared" si="0"/>
        <v>12</v>
      </c>
      <c r="C15" s="554" t="s">
        <v>467</v>
      </c>
      <c r="D15" s="558" t="s">
        <v>467</v>
      </c>
      <c r="E15" s="200">
        <v>3.5</v>
      </c>
      <c r="F15" s="186">
        <f>IF(TRIM(D15)="","",(SUMIF('PG1'!$D$4:$D$53,D15,'PG1'!$L$4:$L$53)) + (SUMIF('PG2'!$D$4:$D$53,D15,'PG2'!$E$4:$E$53)) + (SUMIF('PG3'!$D$4:$D$53,D15,'PG3'!$E$4:$E$53)))</f>
        <v>290.7</v>
      </c>
      <c r="G15" s="171">
        <f>IF(TRIM(D15)="","",(SUMIF('PG2'!$D$4:$D$53,D15,'PG2'!$F$4:$F$53)) + (SUMIF('PG3'!$D$4:$D$53,D15,'PG3'!$F$4:$F$53)))</f>
        <v>969</v>
      </c>
      <c r="H15" s="222">
        <f t="shared" si="1"/>
        <v>12</v>
      </c>
      <c r="I15" s="223">
        <f t="shared" si="2"/>
        <v>8.4</v>
      </c>
      <c r="J15" s="322">
        <f t="shared" si="3"/>
        <v>0.58140000000000003</v>
      </c>
      <c r="K15" s="184"/>
      <c r="L15" s="159">
        <f t="shared" si="4"/>
        <v>3.5</v>
      </c>
      <c r="M15" s="221">
        <f t="shared" si="5"/>
        <v>8.5</v>
      </c>
      <c r="N15" s="221">
        <f t="shared" si="6"/>
        <v>2</v>
      </c>
      <c r="O15" s="221">
        <f t="shared" si="7"/>
        <v>1.1628000000000001</v>
      </c>
      <c r="P15" s="538"/>
      <c r="R15" s="8">
        <v>2.4</v>
      </c>
      <c r="S15" s="8">
        <f t="shared" si="8"/>
        <v>5</v>
      </c>
      <c r="U15" s="8">
        <f t="shared" si="9"/>
        <v>0.8721000000000001</v>
      </c>
      <c r="V15" s="8">
        <f t="shared" si="10"/>
        <v>0.8721000000000001</v>
      </c>
      <c r="X15" s="324">
        <f t="shared" si="11"/>
        <v>0.29070000000000001</v>
      </c>
      <c r="Y15" s="8">
        <f t="shared" si="12"/>
        <v>1.1628000000000001</v>
      </c>
      <c r="AH15" s="8">
        <f t="shared" si="13"/>
        <v>1</v>
      </c>
    </row>
    <row r="16" spans="2:34" ht="24">
      <c r="B16" s="162">
        <f t="shared" si="0"/>
        <v>13</v>
      </c>
      <c r="C16" s="555" t="s">
        <v>468</v>
      </c>
      <c r="D16" s="555" t="s">
        <v>468</v>
      </c>
      <c r="E16" s="200">
        <v>3.5</v>
      </c>
      <c r="F16" s="188">
        <f>IF(TRIM(D16)="","",(SUMIF('PG1'!$D$4:$D$53,D16,'PG1'!$L$4:$L$53)) + (SUMIF('PG2'!$D$4:$D$53,D16,'PG2'!$E$4:$E$53)) + (SUMIF('PG3'!$D$4:$D$53,D16,'PG3'!$E$4:$E$53)))</f>
        <v>956.4</v>
      </c>
      <c r="G16" s="174">
        <f>IF(TRIM(D16)="","",(SUMIF('PG2'!$D$4:$D$53,D16,'PG2'!$F$4:$F$53)) + (SUMIF('PG3'!$D$4:$D$53,D16,'PG3'!$F$4:$F$53)))</f>
        <v>3188</v>
      </c>
      <c r="H16" s="219">
        <f t="shared" si="1"/>
        <v>39</v>
      </c>
      <c r="I16" s="224">
        <f t="shared" si="2"/>
        <v>27.3</v>
      </c>
      <c r="J16" s="221">
        <f t="shared" si="3"/>
        <v>1.9128000000000003</v>
      </c>
      <c r="K16" s="184"/>
      <c r="L16" s="159">
        <f t="shared" si="4"/>
        <v>11</v>
      </c>
      <c r="M16" s="221">
        <f t="shared" si="5"/>
        <v>27.5</v>
      </c>
      <c r="N16" s="221">
        <f t="shared" si="6"/>
        <v>5.5</v>
      </c>
      <c r="O16" s="221">
        <f t="shared" si="7"/>
        <v>4</v>
      </c>
      <c r="P16" s="539"/>
      <c r="R16" s="8">
        <v>2.6999999999999997</v>
      </c>
      <c r="S16" s="8">
        <f t="shared" si="8"/>
        <v>5.5</v>
      </c>
      <c r="U16" s="8">
        <f t="shared" si="9"/>
        <v>2.8692000000000002</v>
      </c>
      <c r="V16" s="8">
        <f t="shared" si="10"/>
        <v>2.8692000000000002</v>
      </c>
      <c r="X16" s="324">
        <f t="shared" si="11"/>
        <v>0.95640000000000003</v>
      </c>
      <c r="Y16" s="8">
        <f t="shared" si="12"/>
        <v>3.8256000000000001</v>
      </c>
      <c r="AH16" s="8">
        <f t="shared" si="13"/>
        <v>1</v>
      </c>
    </row>
    <row r="17" spans="2:34">
      <c r="B17" s="160">
        <f t="shared" si="0"/>
        <v>14</v>
      </c>
      <c r="C17" s="190" t="s">
        <v>470</v>
      </c>
      <c r="D17" s="190" t="s">
        <v>470</v>
      </c>
      <c r="E17" s="200">
        <v>3.5</v>
      </c>
      <c r="F17" s="186">
        <f>IF(TRIM(D17)="","",(SUMIF('PG1'!$D$4:$D$53,D17,'PG1'!$L$4:$L$53)) + (SUMIF('PG2'!$D$4:$D$53,D17,'PG2'!$E$4:$E$53)) + (SUMIF('PG3'!$D$4:$D$53,D17,'PG3'!$E$4:$E$53)))</f>
        <v>42</v>
      </c>
      <c r="G17" s="171">
        <f>IF(TRIM(D17)="","",(SUMIF('PG2'!$D$4:$D$53,D17,'PG2'!$F$4:$F$53)) + (SUMIF('PG3'!$D$4:$D$53,D17,'PG3'!$F$4:$F$53)))</f>
        <v>140</v>
      </c>
      <c r="H17" s="222">
        <f t="shared" si="1"/>
        <v>2</v>
      </c>
      <c r="I17" s="223">
        <f t="shared" si="2"/>
        <v>1.4</v>
      </c>
      <c r="J17" s="322">
        <f t="shared" si="3"/>
        <v>8.4000000000000019E-2</v>
      </c>
      <c r="K17" s="184"/>
      <c r="L17" s="159">
        <f t="shared" si="4"/>
        <v>1</v>
      </c>
      <c r="M17" s="221">
        <f t="shared" si="5"/>
        <v>1.5</v>
      </c>
      <c r="N17" s="221">
        <f t="shared" si="6"/>
        <v>0.5</v>
      </c>
      <c r="O17" s="221">
        <f t="shared" si="7"/>
        <v>0.16800000000000004</v>
      </c>
      <c r="P17" s="538"/>
      <c r="R17" s="8">
        <v>6</v>
      </c>
      <c r="S17" s="8">
        <f t="shared" si="8"/>
        <v>12</v>
      </c>
      <c r="U17" s="8">
        <f t="shared" si="9"/>
        <v>0.126</v>
      </c>
      <c r="V17" s="8">
        <f t="shared" si="10"/>
        <v>0.126</v>
      </c>
      <c r="X17" s="324">
        <f t="shared" si="11"/>
        <v>4.2000000000000003E-2</v>
      </c>
      <c r="Y17" s="8">
        <f t="shared" si="12"/>
        <v>0.16800000000000001</v>
      </c>
      <c r="AH17" s="8">
        <f t="shared" si="13"/>
        <v>1</v>
      </c>
    </row>
    <row r="18" spans="2:34">
      <c r="B18" s="162">
        <f t="shared" si="0"/>
        <v>15</v>
      </c>
      <c r="C18" s="555" t="s">
        <v>471</v>
      </c>
      <c r="D18" s="555" t="s">
        <v>471</v>
      </c>
      <c r="E18" s="200">
        <v>3.5</v>
      </c>
      <c r="F18" s="188">
        <f>IF(TRIM(D18)="","",(SUMIF('PG1'!$D$4:$D$53,D18,'PG1'!$L$4:$L$53)) + (SUMIF('PG2'!$D$4:$D$53,D18,'PG2'!$E$4:$E$53)) + (SUMIF('PG3'!$D$4:$D$53,D18,'PG3'!$E$4:$E$53)))</f>
        <v>882.9</v>
      </c>
      <c r="G18" s="174">
        <f>IF(TRIM(D18)="","",(SUMIF('PG2'!$D$4:$D$53,D18,'PG2'!$F$4:$F$53)) + (SUMIF('PG3'!$D$4:$D$53,D18,'PG3'!$F$4:$F$53)))</f>
        <v>2943</v>
      </c>
      <c r="H18" s="219">
        <f t="shared" si="1"/>
        <v>36</v>
      </c>
      <c r="I18" s="224">
        <f t="shared" si="2"/>
        <v>25.2</v>
      </c>
      <c r="J18" s="221">
        <f t="shared" si="3"/>
        <v>1.7658</v>
      </c>
      <c r="K18" s="184"/>
      <c r="L18" s="159">
        <f t="shared" si="4"/>
        <v>10.5</v>
      </c>
      <c r="M18" s="221">
        <f t="shared" si="5"/>
        <v>25.5</v>
      </c>
      <c r="N18" s="221">
        <f t="shared" si="6"/>
        <v>5.5</v>
      </c>
      <c r="O18" s="221">
        <f t="shared" si="7"/>
        <v>4</v>
      </c>
      <c r="P18" s="539"/>
      <c r="AH18" s="8">
        <f t="shared" si="13"/>
        <v>1</v>
      </c>
    </row>
    <row r="19" spans="2:34">
      <c r="B19" s="160">
        <f t="shared" si="0"/>
        <v>16</v>
      </c>
      <c r="C19" s="190"/>
      <c r="D19" s="190"/>
      <c r="E19" s="200"/>
      <c r="F19" s="186" t="str">
        <f>IF(TRIM(D19)="","",(SUMIF('PG1'!$D$4:$D$53,D19,'PG1'!$L$4:$L$53)) + (SUMIF('PG2'!$D$4:$D$53,D19,'PG2'!$E$4:$E$53)) + (SUMIF('PG3'!$D$4:$D$53,D19,'PG3'!$E$4:$E$53)))</f>
        <v/>
      </c>
      <c r="G19" s="171" t="str">
        <f>IF(TRIM(D19)="","",(SUMIF('PG2'!$D$4:$D$53,D19,'PG2'!$F$4:$F$53)) + (SUMIF('PG3'!$D$4:$D$53,D19,'PG3'!$F$4:$F$53)))</f>
        <v/>
      </c>
      <c r="H19" s="222" t="str">
        <f t="shared" si="1"/>
        <v/>
      </c>
      <c r="I19" s="223" t="str">
        <f t="shared" si="2"/>
        <v/>
      </c>
      <c r="J19" s="322" t="str">
        <f t="shared" si="3"/>
        <v/>
      </c>
      <c r="K19" s="184" t="str">
        <f t="shared" ref="K19:K35" si="14">IF(TRIM(C19)="","",IF(I19 &gt;= 1,CEILING(I19*UnitPoint_Effort_Rate*Test2Doc_Rate_CT*10/5,1)*5/10,I19*UnitPoint_Effort_Rate*Test2Doc_Rate_CT))</f>
        <v/>
      </c>
      <c r="L19" s="159" t="str">
        <f t="shared" si="4"/>
        <v/>
      </c>
      <c r="M19" s="221" t="str">
        <f t="shared" si="5"/>
        <v/>
      </c>
      <c r="N19" s="221" t="str">
        <f t="shared" si="6"/>
        <v/>
      </c>
      <c r="O19" s="221" t="str">
        <f t="shared" si="7"/>
        <v/>
      </c>
      <c r="P19" s="538"/>
      <c r="AH19" s="8">
        <f t="shared" si="13"/>
        <v>0</v>
      </c>
    </row>
    <row r="20" spans="2:34">
      <c r="B20" s="162">
        <f t="shared" si="0"/>
        <v>17</v>
      </c>
      <c r="C20" s="189"/>
      <c r="D20" s="189"/>
      <c r="E20" s="202"/>
      <c r="F20" s="188" t="str">
        <f>IF(TRIM(D20)="","",(SUMIF('PG1'!$D$4:$D$53,D20,'PG1'!$L$4:$L$53)) + (SUMIF('PG2'!$D$4:$D$53,D20,'PG2'!$E$4:$E$53)) + (SUMIF('PG3'!$D$4:$D$53,D20,'PG3'!$E$4:$E$53)))</f>
        <v/>
      </c>
      <c r="G20" s="174" t="str">
        <f>IF(TRIM(D20)="","",(SUMIF('PG2'!$D$4:$D$53,D20,'PG2'!$F$4:$F$53)) + (SUMIF('PG3'!$D$4:$D$53,D20,'PG3'!$F$4:$F$53)))</f>
        <v/>
      </c>
      <c r="H20" s="219" t="str">
        <f t="shared" si="1"/>
        <v/>
      </c>
      <c r="I20" s="224" t="str">
        <f t="shared" si="2"/>
        <v/>
      </c>
      <c r="J20" s="221" t="str">
        <f t="shared" si="3"/>
        <v/>
      </c>
      <c r="K20" s="184" t="str">
        <f t="shared" si="14"/>
        <v/>
      </c>
      <c r="L20" s="159" t="str">
        <f t="shared" si="4"/>
        <v/>
      </c>
      <c r="M20" s="221" t="str">
        <f t="shared" si="5"/>
        <v/>
      </c>
      <c r="N20" s="221" t="str">
        <f t="shared" si="6"/>
        <v/>
      </c>
      <c r="O20" s="221" t="str">
        <f t="shared" si="7"/>
        <v/>
      </c>
      <c r="P20" s="539"/>
      <c r="S20" s="8">
        <f>SUM(S4:S17)</f>
        <v>159.94</v>
      </c>
      <c r="V20" s="8">
        <f>SUM(V4:V17)</f>
        <v>52.686000000000007</v>
      </c>
      <c r="Y20" s="8">
        <f>SUM(Y4:Y17)</f>
        <v>70.248000000000005</v>
      </c>
      <c r="AH20" s="8">
        <f t="shared" si="13"/>
        <v>0</v>
      </c>
    </row>
    <row r="21" spans="2:34">
      <c r="B21" s="160">
        <f t="shared" si="0"/>
        <v>18</v>
      </c>
      <c r="C21" s="190"/>
      <c r="D21" s="190"/>
      <c r="E21" s="200"/>
      <c r="F21" s="186" t="str">
        <f>IF(TRIM(D21)="","",(SUMIF('PG1'!$D$4:$D$53,D21,'PG1'!$L$4:$L$53)) + (SUMIF('PG2'!$D$4:$D$53,D21,'PG2'!$E$4:$E$53)) + (SUMIF('PG3'!$D$4:$D$53,D21,'PG3'!$E$4:$E$53)))</f>
        <v/>
      </c>
      <c r="G21" s="171" t="str">
        <f>IF(TRIM(D21)="","",(SUMIF('PG2'!$D$4:$D$53,D21,'PG2'!$F$4:$F$53)) + (SUMIF('PG3'!$D$4:$D$53,D21,'PG3'!$F$4:$F$53)))</f>
        <v/>
      </c>
      <c r="H21" s="222" t="str">
        <f t="shared" si="1"/>
        <v/>
      </c>
      <c r="I21" s="223" t="str">
        <f t="shared" si="2"/>
        <v/>
      </c>
      <c r="J21" s="322" t="str">
        <f t="shared" si="3"/>
        <v/>
      </c>
      <c r="K21" s="184" t="str">
        <f t="shared" si="14"/>
        <v/>
      </c>
      <c r="L21" s="159" t="str">
        <f t="shared" si="4"/>
        <v/>
      </c>
      <c r="M21" s="221" t="str">
        <f t="shared" si="5"/>
        <v/>
      </c>
      <c r="N21" s="221" t="str">
        <f t="shared" si="6"/>
        <v/>
      </c>
      <c r="O21" s="221" t="str">
        <f t="shared" si="7"/>
        <v/>
      </c>
      <c r="P21" s="538"/>
      <c r="AH21" s="8">
        <f t="shared" si="13"/>
        <v>0</v>
      </c>
    </row>
    <row r="22" spans="2:34">
      <c r="B22" s="162">
        <f t="shared" si="0"/>
        <v>19</v>
      </c>
      <c r="C22" s="191"/>
      <c r="D22" s="191"/>
      <c r="E22" s="202"/>
      <c r="F22" s="188" t="str">
        <f>IF(TRIM(D22)="","",(SUMIF('PG1'!$D$4:$D$53,D22,'PG1'!$L$4:$L$53)) + (SUMIF('PG2'!$D$4:$D$53,D22,'PG2'!$E$4:$E$53)) + (SUMIF('PG3'!$D$4:$D$53,D22,'PG3'!$E$4:$E$53)))</f>
        <v/>
      </c>
      <c r="G22" s="174" t="str">
        <f>IF(TRIM(D22)="","",(SUMIF('PG2'!$D$4:$D$53,D22,'PG2'!$F$4:$F$53)) + (SUMIF('PG3'!$D$4:$D$53,D22,'PG3'!$F$4:$F$53)))</f>
        <v/>
      </c>
      <c r="H22" s="219" t="str">
        <f t="shared" si="1"/>
        <v/>
      </c>
      <c r="I22" s="224" t="str">
        <f t="shared" si="2"/>
        <v/>
      </c>
      <c r="J22" s="221" t="str">
        <f t="shared" si="3"/>
        <v/>
      </c>
      <c r="K22" s="184" t="str">
        <f t="shared" si="14"/>
        <v/>
      </c>
      <c r="L22" s="159" t="str">
        <f t="shared" si="4"/>
        <v/>
      </c>
      <c r="M22" s="221" t="str">
        <f t="shared" si="5"/>
        <v/>
      </c>
      <c r="N22" s="221" t="str">
        <f t="shared" si="6"/>
        <v/>
      </c>
      <c r="O22" s="221" t="str">
        <f t="shared" si="7"/>
        <v/>
      </c>
      <c r="P22" s="539"/>
      <c r="V22" s="324"/>
      <c r="AH22" s="8">
        <f t="shared" si="13"/>
        <v>0</v>
      </c>
    </row>
    <row r="23" spans="2:34">
      <c r="B23" s="160">
        <f t="shared" si="0"/>
        <v>20</v>
      </c>
      <c r="C23" s="190"/>
      <c r="D23" s="190"/>
      <c r="E23" s="200"/>
      <c r="F23" s="186" t="str">
        <f>IF(TRIM(D23)="","",(SUMIF('PG1'!$D$4:$D$53,D23,'PG1'!$L$4:$L$53)) + (SUMIF('PG2'!$D$4:$D$53,D23,'PG2'!$E$4:$E$53)) + (SUMIF('PG3'!$D$4:$D$53,D23,'PG3'!$E$4:$E$53)))</f>
        <v/>
      </c>
      <c r="G23" s="171" t="str">
        <f>IF(TRIM(D23)="","",(SUMIF('PG2'!$D$4:$D$53,D23,'PG2'!$F$4:$F$53)) + (SUMIF('PG3'!$D$4:$D$53,D23,'PG3'!$F$4:$F$53)))</f>
        <v/>
      </c>
      <c r="H23" s="222" t="str">
        <f t="shared" si="1"/>
        <v/>
      </c>
      <c r="I23" s="223" t="str">
        <f t="shared" si="2"/>
        <v/>
      </c>
      <c r="J23" s="322" t="str">
        <f t="shared" si="3"/>
        <v/>
      </c>
      <c r="K23" s="184" t="str">
        <f t="shared" si="14"/>
        <v/>
      </c>
      <c r="L23" s="159" t="str">
        <f t="shared" si="4"/>
        <v/>
      </c>
      <c r="M23" s="221" t="str">
        <f t="shared" si="5"/>
        <v/>
      </c>
      <c r="N23" s="221" t="str">
        <f t="shared" si="6"/>
        <v/>
      </c>
      <c r="O23" s="221" t="str">
        <f t="shared" si="7"/>
        <v/>
      </c>
      <c r="P23" s="538"/>
      <c r="AH23" s="8">
        <f t="shared" si="13"/>
        <v>0</v>
      </c>
    </row>
    <row r="24" spans="2:34">
      <c r="B24" s="162">
        <f t="shared" si="0"/>
        <v>21</v>
      </c>
      <c r="C24" s="189"/>
      <c r="D24" s="189"/>
      <c r="E24" s="202"/>
      <c r="F24" s="188" t="str">
        <f>IF(TRIM(D24)="","",(SUMIF('PG1'!$D$4:$D$53,D24,'PG1'!$L$4:$L$53)) + (SUMIF('PG2'!$D$4:$D$53,D24,'PG2'!$E$4:$E$53)) + (SUMIF('PG3'!$D$4:$D$53,D24,'PG3'!$E$4:$E$53)))</f>
        <v/>
      </c>
      <c r="G24" s="174" t="str">
        <f>IF(TRIM(D24)="","",(SUMIF('PG2'!$D$4:$D$53,D24,'PG2'!$F$4:$F$53)) + (SUMIF('PG3'!$D$4:$D$53,D24,'PG3'!$F$4:$F$53)))</f>
        <v/>
      </c>
      <c r="H24" s="219" t="str">
        <f t="shared" si="1"/>
        <v/>
      </c>
      <c r="I24" s="224" t="str">
        <f t="shared" si="2"/>
        <v/>
      </c>
      <c r="J24" s="221" t="str">
        <f t="shared" si="3"/>
        <v/>
      </c>
      <c r="K24" s="184" t="str">
        <f t="shared" si="14"/>
        <v/>
      </c>
      <c r="L24" s="159" t="str">
        <f t="shared" si="4"/>
        <v/>
      </c>
      <c r="M24" s="221" t="str">
        <f t="shared" si="5"/>
        <v/>
      </c>
      <c r="N24" s="221" t="str">
        <f t="shared" si="6"/>
        <v/>
      </c>
      <c r="O24" s="221" t="str">
        <f t="shared" si="7"/>
        <v/>
      </c>
      <c r="P24" s="539"/>
      <c r="AH24" s="8">
        <f t="shared" si="13"/>
        <v>0</v>
      </c>
    </row>
    <row r="25" spans="2:34">
      <c r="B25" s="160">
        <f t="shared" si="0"/>
        <v>22</v>
      </c>
      <c r="C25" s="190"/>
      <c r="D25" s="190"/>
      <c r="E25" s="200"/>
      <c r="F25" s="186" t="str">
        <f>IF(TRIM(D25)="","",(SUMIF('PG1'!$D$4:$D$53,D25,'PG1'!$L$4:$L$53)) + (SUMIF('PG2'!$D$4:$D$53,D25,'PG2'!$E$4:$E$53)) + (SUMIF('PG3'!$D$4:$D$53,D25,'PG3'!$E$4:$E$53)))</f>
        <v/>
      </c>
      <c r="G25" s="171" t="str">
        <f>IF(TRIM(D25)="","",(SUMIF('PG2'!$D$4:$D$53,D25,'PG2'!$F$4:$F$53)) + (SUMIF('PG3'!$D$4:$D$53,D25,'PG3'!$F$4:$F$53)))</f>
        <v/>
      </c>
      <c r="H25" s="222" t="str">
        <f t="shared" si="1"/>
        <v/>
      </c>
      <c r="I25" s="223" t="str">
        <f t="shared" si="2"/>
        <v/>
      </c>
      <c r="J25" s="322" t="str">
        <f t="shared" si="3"/>
        <v/>
      </c>
      <c r="K25" s="184" t="str">
        <f t="shared" si="14"/>
        <v/>
      </c>
      <c r="L25" s="159" t="str">
        <f t="shared" si="4"/>
        <v/>
      </c>
      <c r="M25" s="221" t="str">
        <f t="shared" si="5"/>
        <v/>
      </c>
      <c r="N25" s="221" t="str">
        <f t="shared" si="6"/>
        <v/>
      </c>
      <c r="O25" s="221" t="str">
        <f t="shared" si="7"/>
        <v/>
      </c>
      <c r="P25" s="538"/>
      <c r="AH25" s="8">
        <f t="shared" si="13"/>
        <v>0</v>
      </c>
    </row>
    <row r="26" spans="2:34">
      <c r="B26" s="162">
        <f t="shared" si="0"/>
        <v>23</v>
      </c>
      <c r="C26" s="189"/>
      <c r="D26" s="189"/>
      <c r="E26" s="202"/>
      <c r="F26" s="188" t="str">
        <f>IF(TRIM(D26)="","",(SUMIF('PG1'!$D$4:$D$53,D26,'PG1'!$L$4:$L$53)) + (SUMIF('PG2'!$D$4:$D$53,D26,'PG2'!$E$4:$E$53)) + (SUMIF('PG3'!$D$4:$D$53,D26,'PG3'!$E$4:$E$53)))</f>
        <v/>
      </c>
      <c r="G26" s="174" t="str">
        <f>IF(TRIM(D26)="","",(SUMIF('PG2'!$D$4:$D$53,D26,'PG2'!$F$4:$F$53)) + (SUMIF('PG3'!$D$4:$D$53,D26,'PG3'!$F$4:$F$53)))</f>
        <v/>
      </c>
      <c r="H26" s="219" t="str">
        <f t="shared" si="1"/>
        <v/>
      </c>
      <c r="I26" s="224" t="str">
        <f t="shared" si="2"/>
        <v/>
      </c>
      <c r="J26" s="221" t="str">
        <f t="shared" si="3"/>
        <v/>
      </c>
      <c r="K26" s="184" t="str">
        <f t="shared" si="14"/>
        <v/>
      </c>
      <c r="L26" s="159" t="str">
        <f t="shared" si="4"/>
        <v/>
      </c>
      <c r="M26" s="221" t="str">
        <f t="shared" si="5"/>
        <v/>
      </c>
      <c r="N26" s="221" t="str">
        <f t="shared" si="6"/>
        <v/>
      </c>
      <c r="O26" s="221" t="str">
        <f t="shared" si="7"/>
        <v/>
      </c>
      <c r="P26" s="539"/>
      <c r="AH26" s="8">
        <f t="shared" si="13"/>
        <v>0</v>
      </c>
    </row>
    <row r="27" spans="2:34">
      <c r="B27" s="160">
        <f t="shared" si="0"/>
        <v>24</v>
      </c>
      <c r="C27" s="190"/>
      <c r="D27" s="190"/>
      <c r="E27" s="200"/>
      <c r="F27" s="186" t="str">
        <f>IF(TRIM(D27)="","",(SUMIF('PG1'!$D$4:$D$53,D27,'PG1'!$L$4:$L$53)) + (SUMIF('PG2'!$D$4:$D$53,D27,'PG2'!$E$4:$E$53)) + (SUMIF('PG3'!$D$4:$D$53,D27,'PG3'!$E$4:$E$53)))</f>
        <v/>
      </c>
      <c r="G27" s="171" t="str">
        <f>IF(TRIM(D27)="","",(SUMIF('PG2'!$D$4:$D$53,D27,'PG2'!$F$4:$F$53)) + (SUMIF('PG3'!$D$4:$D$53,D27,'PG3'!$F$4:$F$53)))</f>
        <v/>
      </c>
      <c r="H27" s="222" t="str">
        <f t="shared" si="1"/>
        <v/>
      </c>
      <c r="I27" s="223" t="str">
        <f t="shared" si="2"/>
        <v/>
      </c>
      <c r="J27" s="322" t="str">
        <f t="shared" si="3"/>
        <v/>
      </c>
      <c r="K27" s="184" t="str">
        <f t="shared" si="14"/>
        <v/>
      </c>
      <c r="L27" s="159" t="str">
        <f t="shared" si="4"/>
        <v/>
      </c>
      <c r="M27" s="221" t="str">
        <f t="shared" si="5"/>
        <v/>
      </c>
      <c r="N27" s="221" t="str">
        <f t="shared" si="6"/>
        <v/>
      </c>
      <c r="O27" s="221" t="str">
        <f t="shared" si="7"/>
        <v/>
      </c>
      <c r="P27" s="538"/>
      <c r="AH27" s="8">
        <f t="shared" si="13"/>
        <v>0</v>
      </c>
    </row>
    <row r="28" spans="2:34">
      <c r="B28" s="162">
        <f t="shared" si="0"/>
        <v>25</v>
      </c>
      <c r="C28" s="189"/>
      <c r="D28" s="189"/>
      <c r="E28" s="202"/>
      <c r="F28" s="188" t="str">
        <f>IF(TRIM(D28)="","",(SUMIF('PG1'!$D$4:$D$53,D28,'PG1'!$L$4:$L$53)) + (SUMIF('PG2'!$D$4:$D$53,D28,'PG2'!$E$4:$E$53)) + (SUMIF('PG3'!$D$4:$D$53,D28,'PG3'!$E$4:$E$53)))</f>
        <v/>
      </c>
      <c r="G28" s="174" t="str">
        <f>IF(TRIM(D28)="","",(SUMIF('PG2'!$D$4:$D$53,D28,'PG2'!$F$4:$F$53)) + (SUMIF('PG3'!$D$4:$D$53,D28,'PG3'!$F$4:$F$53)))</f>
        <v/>
      </c>
      <c r="H28" s="219" t="str">
        <f t="shared" si="1"/>
        <v/>
      </c>
      <c r="I28" s="224" t="str">
        <f t="shared" si="2"/>
        <v/>
      </c>
      <c r="J28" s="221" t="str">
        <f t="shared" si="3"/>
        <v/>
      </c>
      <c r="K28" s="184" t="str">
        <f t="shared" si="14"/>
        <v/>
      </c>
      <c r="L28" s="159" t="str">
        <f t="shared" si="4"/>
        <v/>
      </c>
      <c r="M28" s="221" t="str">
        <f t="shared" si="5"/>
        <v/>
      </c>
      <c r="N28" s="221" t="str">
        <f t="shared" si="6"/>
        <v/>
      </c>
      <c r="O28" s="221" t="str">
        <f t="shared" si="7"/>
        <v/>
      </c>
      <c r="P28" s="539"/>
      <c r="AH28" s="8">
        <f t="shared" si="13"/>
        <v>0</v>
      </c>
    </row>
    <row r="29" spans="2:34">
      <c r="B29" s="160">
        <f t="shared" si="0"/>
        <v>26</v>
      </c>
      <c r="C29" s="190"/>
      <c r="D29" s="190"/>
      <c r="E29" s="200"/>
      <c r="F29" s="186" t="str">
        <f>IF(TRIM(D29)="","",(SUMIF('PG1'!$D$4:$D$53,D29,'PG1'!$L$4:$L$53)) + (SUMIF('PG2'!$D$4:$D$53,D29,'PG2'!$E$4:$E$53)) + (SUMIF('PG3'!$D$4:$D$53,D29,'PG3'!$E$4:$E$53)))</f>
        <v/>
      </c>
      <c r="G29" s="171" t="str">
        <f>IF(TRIM(D29)="","",(SUMIF('PG2'!$D$4:$D$53,D29,'PG2'!$F$4:$F$53)) + (SUMIF('PG3'!$D$4:$D$53,D29,'PG3'!$F$4:$F$53)))</f>
        <v/>
      </c>
      <c r="H29" s="222" t="str">
        <f t="shared" si="1"/>
        <v/>
      </c>
      <c r="I29" s="223" t="str">
        <f t="shared" si="2"/>
        <v/>
      </c>
      <c r="J29" s="322" t="str">
        <f t="shared" si="3"/>
        <v/>
      </c>
      <c r="K29" s="184" t="str">
        <f t="shared" si="14"/>
        <v/>
      </c>
      <c r="L29" s="159" t="str">
        <f t="shared" si="4"/>
        <v/>
      </c>
      <c r="M29" s="221" t="str">
        <f t="shared" si="5"/>
        <v/>
      </c>
      <c r="N29" s="221" t="str">
        <f t="shared" si="6"/>
        <v/>
      </c>
      <c r="O29" s="221" t="str">
        <f t="shared" si="7"/>
        <v/>
      </c>
      <c r="P29" s="538"/>
      <c r="AH29" s="8">
        <f t="shared" si="13"/>
        <v>0</v>
      </c>
    </row>
    <row r="30" spans="2:34">
      <c r="B30" s="162">
        <f t="shared" si="0"/>
        <v>27</v>
      </c>
      <c r="C30" s="189"/>
      <c r="D30" s="189"/>
      <c r="E30" s="202"/>
      <c r="F30" s="188" t="str">
        <f>IF(TRIM(D30)="","",(SUMIF('PG1'!$D$4:$D$53,D30,'PG1'!$L$4:$L$53)) + (SUMIF('PG2'!$D$4:$D$53,D30,'PG2'!$E$4:$E$53)) + (SUMIF('PG3'!$D$4:$D$53,D30,'PG3'!$E$4:$E$53)))</f>
        <v/>
      </c>
      <c r="G30" s="174" t="str">
        <f>IF(TRIM(D30)="","",(SUMIF('PG2'!$D$4:$D$53,D30,'PG2'!$F$4:$F$53)) + (SUMIF('PG3'!$D$4:$D$53,D30,'PG3'!$F$4:$F$53)))</f>
        <v/>
      </c>
      <c r="H30" s="219" t="str">
        <f t="shared" si="1"/>
        <v/>
      </c>
      <c r="I30" s="224" t="str">
        <f t="shared" si="2"/>
        <v/>
      </c>
      <c r="J30" s="221" t="str">
        <f t="shared" si="3"/>
        <v/>
      </c>
      <c r="K30" s="184" t="str">
        <f t="shared" si="14"/>
        <v/>
      </c>
      <c r="L30" s="159" t="str">
        <f t="shared" si="4"/>
        <v/>
      </c>
      <c r="M30" s="221" t="str">
        <f t="shared" si="5"/>
        <v/>
      </c>
      <c r="N30" s="221" t="str">
        <f t="shared" si="6"/>
        <v/>
      </c>
      <c r="O30" s="221" t="str">
        <f t="shared" si="7"/>
        <v/>
      </c>
      <c r="P30" s="539"/>
      <c r="AH30" s="8">
        <f t="shared" si="13"/>
        <v>0</v>
      </c>
    </row>
    <row r="31" spans="2:34">
      <c r="B31" s="160">
        <f t="shared" si="0"/>
        <v>28</v>
      </c>
      <c r="C31" s="190"/>
      <c r="D31" s="190"/>
      <c r="E31" s="200"/>
      <c r="F31" s="186" t="str">
        <f>IF(TRIM(D31)="","",(SUMIF('PG1'!$D$4:$D$53,D31,'PG1'!$L$4:$L$53)) + (SUMIF('PG2'!$D$4:$D$53,D31,'PG2'!$E$4:$E$53)) + (SUMIF('PG3'!$D$4:$D$53,D31,'PG3'!$E$4:$E$53)))</f>
        <v/>
      </c>
      <c r="G31" s="171" t="str">
        <f>IF(TRIM(D31)="","",(SUMIF('PG2'!$D$4:$D$53,D31,'PG2'!$F$4:$F$53)) + (SUMIF('PG3'!$D$4:$D$53,D31,'PG3'!$F$4:$F$53)))</f>
        <v/>
      </c>
      <c r="H31" s="222" t="str">
        <f t="shared" si="1"/>
        <v/>
      </c>
      <c r="I31" s="223" t="str">
        <f t="shared" si="2"/>
        <v/>
      </c>
      <c r="J31" s="322" t="str">
        <f t="shared" si="3"/>
        <v/>
      </c>
      <c r="K31" s="184" t="str">
        <f t="shared" si="14"/>
        <v/>
      </c>
      <c r="L31" s="159" t="str">
        <f t="shared" si="4"/>
        <v/>
      </c>
      <c r="M31" s="221" t="str">
        <f t="shared" si="5"/>
        <v/>
      </c>
      <c r="N31" s="221" t="str">
        <f t="shared" si="6"/>
        <v/>
      </c>
      <c r="O31" s="221" t="str">
        <f t="shared" si="7"/>
        <v/>
      </c>
      <c r="P31" s="538"/>
      <c r="AH31" s="8">
        <f t="shared" si="13"/>
        <v>0</v>
      </c>
    </row>
    <row r="32" spans="2:34">
      <c r="B32" s="162">
        <f t="shared" si="0"/>
        <v>29</v>
      </c>
      <c r="C32" s="191"/>
      <c r="D32" s="191"/>
      <c r="E32" s="202"/>
      <c r="F32" s="188" t="str">
        <f>IF(TRIM(D32)="","",(SUMIF('PG1'!$D$4:$D$53,D32,'PG1'!$L$4:$L$53)) + (SUMIF('PG2'!$D$4:$D$53,D32,'PG2'!$E$4:$E$53)) + (SUMIF('PG3'!$D$4:$D$53,D32,'PG3'!$E$4:$E$53)))</f>
        <v/>
      </c>
      <c r="G32" s="174" t="str">
        <f>IF(TRIM(D32)="","",(SUMIF('PG2'!$D$4:$D$53,D32,'PG2'!$F$4:$F$53)) + (SUMIF('PG3'!$D$4:$D$53,D32,'PG3'!$F$4:$F$53)))</f>
        <v/>
      </c>
      <c r="H32" s="219" t="str">
        <f t="shared" si="1"/>
        <v/>
      </c>
      <c r="I32" s="224" t="str">
        <f t="shared" si="2"/>
        <v/>
      </c>
      <c r="J32" s="221" t="str">
        <f t="shared" si="3"/>
        <v/>
      </c>
      <c r="K32" s="184" t="str">
        <f t="shared" si="14"/>
        <v/>
      </c>
      <c r="L32" s="159" t="str">
        <f t="shared" si="4"/>
        <v/>
      </c>
      <c r="M32" s="221" t="str">
        <f t="shared" si="5"/>
        <v/>
      </c>
      <c r="N32" s="221" t="str">
        <f t="shared" si="6"/>
        <v/>
      </c>
      <c r="O32" s="221" t="str">
        <f t="shared" si="7"/>
        <v/>
      </c>
      <c r="P32" s="539"/>
      <c r="AH32" s="8">
        <f t="shared" si="13"/>
        <v>0</v>
      </c>
    </row>
    <row r="33" spans="2:34">
      <c r="B33" s="160">
        <f t="shared" si="0"/>
        <v>30</v>
      </c>
      <c r="C33" s="190"/>
      <c r="D33" s="190"/>
      <c r="E33" s="200"/>
      <c r="F33" s="186" t="str">
        <f>IF(TRIM(D33)="","",(SUMIF('PG1'!$D$4:$D$53,D33,'PG1'!$L$4:$L$53)) + (SUMIF('PG2'!$D$4:$D$53,D33,'PG2'!$E$4:$E$53)) + (SUMIF('PG3'!$D$4:$D$53,D33,'PG3'!$E$4:$E$53)))</f>
        <v/>
      </c>
      <c r="G33" s="171" t="str">
        <f>IF(TRIM(D33)="","",(SUMIF('PG2'!$D$4:$D$53,D33,'PG2'!$F$4:$F$53)) + (SUMIF('PG3'!$D$4:$D$53,D33,'PG3'!$F$4:$F$53)))</f>
        <v/>
      </c>
      <c r="H33" s="222" t="str">
        <f t="shared" si="1"/>
        <v/>
      </c>
      <c r="I33" s="223" t="str">
        <f t="shared" si="2"/>
        <v/>
      </c>
      <c r="J33" s="322" t="str">
        <f t="shared" si="3"/>
        <v/>
      </c>
      <c r="K33" s="184" t="str">
        <f t="shared" si="14"/>
        <v/>
      </c>
      <c r="L33" s="159" t="str">
        <f t="shared" si="4"/>
        <v/>
      </c>
      <c r="M33" s="221" t="str">
        <f t="shared" si="5"/>
        <v/>
      </c>
      <c r="N33" s="221" t="str">
        <f t="shared" si="6"/>
        <v/>
      </c>
      <c r="O33" s="221" t="str">
        <f t="shared" si="7"/>
        <v/>
      </c>
      <c r="P33" s="538"/>
      <c r="AH33" s="8">
        <f t="shared" si="13"/>
        <v>0</v>
      </c>
    </row>
    <row r="34" spans="2:34">
      <c r="B34" s="162">
        <f t="shared" si="0"/>
        <v>31</v>
      </c>
      <c r="C34" s="189"/>
      <c r="D34" s="189"/>
      <c r="E34" s="202"/>
      <c r="F34" s="188" t="str">
        <f>IF(TRIM(D34)="","",(SUMIF('PG1'!$D$4:$D$53,D34,'PG1'!$L$4:$L$53)) + (SUMIF('PG2'!$D$4:$D$53,D34,'PG2'!$E$4:$E$53)) + (SUMIF('PG3'!$D$4:$D$53,D34,'PG3'!$E$4:$E$53)))</f>
        <v/>
      </c>
      <c r="G34" s="174" t="str">
        <f>IF(TRIM(D34)="","",(SUMIF('PG2'!$D$4:$D$53,D34,'PG2'!$F$4:$F$53)) + (SUMIF('PG3'!$D$4:$D$53,D34,'PG3'!$F$4:$F$53)))</f>
        <v/>
      </c>
      <c r="H34" s="219" t="str">
        <f t="shared" si="1"/>
        <v/>
      </c>
      <c r="I34" s="224" t="str">
        <f t="shared" si="2"/>
        <v/>
      </c>
      <c r="J34" s="221" t="str">
        <f t="shared" si="3"/>
        <v/>
      </c>
      <c r="K34" s="184" t="str">
        <f t="shared" si="14"/>
        <v/>
      </c>
      <c r="L34" s="159" t="str">
        <f t="shared" si="4"/>
        <v/>
      </c>
      <c r="M34" s="221" t="str">
        <f t="shared" si="5"/>
        <v/>
      </c>
      <c r="N34" s="221" t="str">
        <f t="shared" si="6"/>
        <v/>
      </c>
      <c r="O34" s="221" t="str">
        <f t="shared" si="7"/>
        <v/>
      </c>
      <c r="P34" s="539"/>
      <c r="AH34" s="8">
        <f t="shared" si="13"/>
        <v>0</v>
      </c>
    </row>
    <row r="35" spans="2:34">
      <c r="B35" s="160">
        <f t="shared" si="0"/>
        <v>32</v>
      </c>
      <c r="C35" s="190"/>
      <c r="D35" s="190"/>
      <c r="E35" s="200"/>
      <c r="F35" s="186" t="str">
        <f>IF(TRIM(D35)="","",(SUMIF('PG1'!$D$4:$D$53,D35,'PG1'!$L$4:$L$53)) + (SUMIF('PG2'!$D$4:$D$53,D35,'PG2'!$E$4:$E$53)) + (SUMIF('PG3'!$D$4:$D$53,D35,'PG3'!$E$4:$E$53)))</f>
        <v/>
      </c>
      <c r="G35" s="171" t="str">
        <f>IF(TRIM(D35)="","",(SUMIF('PG2'!$D$4:$D$53,D35,'PG2'!$F$4:$F$53)) + (SUMIF('PG3'!$D$4:$D$53,D35,'PG3'!$F$4:$F$53)))</f>
        <v/>
      </c>
      <c r="H35" s="222" t="str">
        <f t="shared" si="1"/>
        <v/>
      </c>
      <c r="I35" s="223" t="str">
        <f t="shared" si="2"/>
        <v/>
      </c>
      <c r="J35" s="322" t="str">
        <f t="shared" si="3"/>
        <v/>
      </c>
      <c r="K35" s="184" t="str">
        <f t="shared" si="14"/>
        <v/>
      </c>
      <c r="L35" s="159" t="str">
        <f t="shared" si="4"/>
        <v/>
      </c>
      <c r="M35" s="221" t="str">
        <f t="shared" si="5"/>
        <v/>
      </c>
      <c r="N35" s="221" t="str">
        <f t="shared" si="6"/>
        <v/>
      </c>
      <c r="O35" s="221" t="str">
        <f t="shared" si="7"/>
        <v/>
      </c>
      <c r="P35" s="538"/>
      <c r="AH35" s="8">
        <f t="shared" si="13"/>
        <v>0</v>
      </c>
    </row>
    <row r="36" spans="2:34">
      <c r="B36" s="162">
        <f t="shared" ref="B36:B53" si="15">ROW() - 3</f>
        <v>33</v>
      </c>
      <c r="C36" s="189"/>
      <c r="D36" s="189"/>
      <c r="E36" s="202"/>
      <c r="F36" s="188" t="str">
        <f>IF(TRIM(D36)="","",(SUMIF('PG1'!$D$4:$D$53,D36,'PG1'!$L$4:$L$53)) + (SUMIF('PG2'!$D$4:$D$53,D36,'PG2'!$E$4:$E$53)) + (SUMIF('PG3'!$D$4:$D$53,D36,'PG3'!$E$4:$E$53)))</f>
        <v/>
      </c>
      <c r="G36" s="174" t="str">
        <f>IF(TRIM(D36)="","",(SUMIF('PG2'!$D$4:$D$53,D36,'PG2'!$F$4:$F$53)) + (SUMIF('PG3'!$D$4:$D$53,D36,'PG3'!$F$4:$F$53)))</f>
        <v/>
      </c>
      <c r="H36" s="219" t="str">
        <f t="shared" ref="H36:H53" si="16">IF(TRIM(D36)="","",CEILING(F36/1000*NEW2_CaseRate_CT+G36/1000*REUSE2_CaseRate_CT,1))</f>
        <v/>
      </c>
      <c r="I36" s="224" t="str">
        <f t="shared" ref="I36:I53" si="17">IF(TRIM(D36)="","",IF(E36&lt;&gt;"",E36*H36/PT2_CT_Base*PT2_CT_Unit,1*H36/PT2_CT_Base*PT2_CT_Unit))</f>
        <v/>
      </c>
      <c r="J36" s="221" t="str">
        <f t="shared" ref="J36:J53" si="18">IF(TRIM(D36)="","",((F36/1000)+(G36/1000)*SampleLOCConvRate)*AvgCTBugKLOC*Fix1CTBugFUP)</f>
        <v/>
      </c>
      <c r="K36" s="184" t="str">
        <f t="shared" ref="K36:K53" si="19">IF(TRIM(C36)="","",IF(I36 &gt;= 1,CEILING(I36*UnitPoint_Effort_Rate*Test2Doc_Rate_CT*10/5,1)*5/10,I36*UnitPoint_Effort_Rate*Test2Doc_Rate_CT))</f>
        <v/>
      </c>
      <c r="L36" s="159" t="str">
        <f t="shared" ref="L36:L53" si="20">IF(TRIM(C36)="","",IF(I36 &gt;= 1, CEILING(I36*UnitPoint_Effort_Rate*Test2Data_Rate_CT*10/5,1)*5/10,I36*UnitPoint_Effort_Rate*Test2Data_Rate_CT))</f>
        <v/>
      </c>
      <c r="M36" s="221" t="str">
        <f t="shared" ref="M36:M53" si="21">IF(TRIM(C36)="","",CEILING(I36*UnitPoint_Effort_Rate*Test2Execute_Rate_CT*10/5,1)*5/10)</f>
        <v/>
      </c>
      <c r="N36" s="221" t="str">
        <f t="shared" ref="N36:N53" si="22">IF(TRIM(D36)="","",IF(I36 &gt;= 1,CEILING(I36*UnitPoint_Effort_Rate*Test2Evidence_Rate_CT*10/5,1)*5/10,I36*UnitPoint_Effort_Rate*Test2Evidence_Rate_CT))</f>
        <v/>
      </c>
      <c r="O36" s="221" t="str">
        <f t="shared" ref="O36:O53" si="23">IF(TRIM(D36)="","",IF(J36 &gt;= 1,CEILING(J36*UnitPoint_Effort_Rate*10/5,1)*5/10,J36*UnitPoint_Effort_Rate))</f>
        <v/>
      </c>
      <c r="P36" s="539"/>
      <c r="AH36" s="8">
        <f t="shared" si="13"/>
        <v>0</v>
      </c>
    </row>
    <row r="37" spans="2:34">
      <c r="B37" s="160">
        <f t="shared" si="15"/>
        <v>34</v>
      </c>
      <c r="C37" s="190"/>
      <c r="D37" s="190"/>
      <c r="E37" s="200"/>
      <c r="F37" s="186" t="str">
        <f>IF(TRIM(D37)="","",(SUMIF('PG1'!$D$4:$D$53,D37,'PG1'!$L$4:$L$53)) + (SUMIF('PG2'!$D$4:$D$53,D37,'PG2'!$E$4:$E$53)) + (SUMIF('PG3'!$D$4:$D$53,D37,'PG3'!$E$4:$E$53)))</f>
        <v/>
      </c>
      <c r="G37" s="171" t="str">
        <f>IF(TRIM(D37)="","",(SUMIF('PG2'!$D$4:$D$53,D37,'PG2'!$F$4:$F$53)) + (SUMIF('PG3'!$D$4:$D$53,D37,'PG3'!$F$4:$F$53)))</f>
        <v/>
      </c>
      <c r="H37" s="222" t="str">
        <f t="shared" si="16"/>
        <v/>
      </c>
      <c r="I37" s="223" t="str">
        <f t="shared" si="17"/>
        <v/>
      </c>
      <c r="J37" s="322" t="str">
        <f t="shared" si="18"/>
        <v/>
      </c>
      <c r="K37" s="184" t="str">
        <f t="shared" si="19"/>
        <v/>
      </c>
      <c r="L37" s="159" t="str">
        <f t="shared" si="20"/>
        <v/>
      </c>
      <c r="M37" s="221" t="str">
        <f t="shared" si="21"/>
        <v/>
      </c>
      <c r="N37" s="221" t="str">
        <f t="shared" si="22"/>
        <v/>
      </c>
      <c r="O37" s="221" t="str">
        <f t="shared" si="23"/>
        <v/>
      </c>
      <c r="P37" s="538"/>
      <c r="AH37" s="8">
        <f t="shared" si="13"/>
        <v>0</v>
      </c>
    </row>
    <row r="38" spans="2:34">
      <c r="B38" s="162">
        <f t="shared" si="15"/>
        <v>35</v>
      </c>
      <c r="C38" s="189"/>
      <c r="D38" s="189"/>
      <c r="E38" s="202"/>
      <c r="F38" s="188" t="str">
        <f>IF(TRIM(D38)="","",(SUMIF('PG1'!$D$4:$D$53,D38,'PG1'!$L$4:$L$53)) + (SUMIF('PG2'!$D$4:$D$53,D38,'PG2'!$E$4:$E$53)) + (SUMIF('PG3'!$D$4:$D$53,D38,'PG3'!$E$4:$E$53)))</f>
        <v/>
      </c>
      <c r="G38" s="174" t="str">
        <f>IF(TRIM(D38)="","",(SUMIF('PG2'!$D$4:$D$53,D38,'PG2'!$F$4:$F$53)) + (SUMIF('PG3'!$D$4:$D$53,D38,'PG3'!$F$4:$F$53)))</f>
        <v/>
      </c>
      <c r="H38" s="219" t="str">
        <f t="shared" si="16"/>
        <v/>
      </c>
      <c r="I38" s="224" t="str">
        <f t="shared" si="17"/>
        <v/>
      </c>
      <c r="J38" s="221" t="str">
        <f t="shared" si="18"/>
        <v/>
      </c>
      <c r="K38" s="184" t="str">
        <f t="shared" si="19"/>
        <v/>
      </c>
      <c r="L38" s="159" t="str">
        <f t="shared" si="20"/>
        <v/>
      </c>
      <c r="M38" s="221" t="str">
        <f t="shared" si="21"/>
        <v/>
      </c>
      <c r="N38" s="221" t="str">
        <f t="shared" si="22"/>
        <v/>
      </c>
      <c r="O38" s="221" t="str">
        <f t="shared" si="23"/>
        <v/>
      </c>
      <c r="P38" s="539"/>
      <c r="AH38" s="8">
        <f t="shared" si="13"/>
        <v>0</v>
      </c>
    </row>
    <row r="39" spans="2:34">
      <c r="B39" s="160">
        <f t="shared" si="15"/>
        <v>36</v>
      </c>
      <c r="C39" s="190"/>
      <c r="D39" s="190"/>
      <c r="E39" s="200"/>
      <c r="F39" s="186" t="str">
        <f>IF(TRIM(D39)="","",(SUMIF('PG1'!$D$4:$D$53,D39,'PG1'!$L$4:$L$53)) + (SUMIF('PG2'!$D$4:$D$53,D39,'PG2'!$E$4:$E$53)) + (SUMIF('PG3'!$D$4:$D$53,D39,'PG3'!$E$4:$E$53)))</f>
        <v/>
      </c>
      <c r="G39" s="171" t="str">
        <f>IF(TRIM(D39)="","",(SUMIF('PG2'!$D$4:$D$53,D39,'PG2'!$F$4:$F$53)) + (SUMIF('PG3'!$D$4:$D$53,D39,'PG3'!$F$4:$F$53)))</f>
        <v/>
      </c>
      <c r="H39" s="222" t="str">
        <f t="shared" si="16"/>
        <v/>
      </c>
      <c r="I39" s="223" t="str">
        <f t="shared" si="17"/>
        <v/>
      </c>
      <c r="J39" s="322" t="str">
        <f t="shared" si="18"/>
        <v/>
      </c>
      <c r="K39" s="184" t="str">
        <f t="shared" si="19"/>
        <v/>
      </c>
      <c r="L39" s="159" t="str">
        <f t="shared" si="20"/>
        <v/>
      </c>
      <c r="M39" s="221" t="str">
        <f t="shared" si="21"/>
        <v/>
      </c>
      <c r="N39" s="221" t="str">
        <f t="shared" si="22"/>
        <v/>
      </c>
      <c r="O39" s="221" t="str">
        <f t="shared" si="23"/>
        <v/>
      </c>
      <c r="P39" s="538"/>
      <c r="AH39" s="8">
        <f t="shared" si="13"/>
        <v>0</v>
      </c>
    </row>
    <row r="40" spans="2:34">
      <c r="B40" s="162">
        <f t="shared" si="15"/>
        <v>37</v>
      </c>
      <c r="C40" s="189"/>
      <c r="D40" s="189"/>
      <c r="E40" s="202"/>
      <c r="F40" s="188" t="str">
        <f>IF(TRIM(D40)="","",(SUMIF('PG1'!$D$4:$D$53,D40,'PG1'!$L$4:$L$53)) + (SUMIF('PG2'!$D$4:$D$53,D40,'PG2'!$E$4:$E$53)) + (SUMIF('PG3'!$D$4:$D$53,D40,'PG3'!$E$4:$E$53)))</f>
        <v/>
      </c>
      <c r="G40" s="174" t="str">
        <f>IF(TRIM(D40)="","",(SUMIF('PG2'!$D$4:$D$53,D40,'PG2'!$F$4:$F$53)) + (SUMIF('PG3'!$D$4:$D$53,D40,'PG3'!$F$4:$F$53)))</f>
        <v/>
      </c>
      <c r="H40" s="219" t="str">
        <f t="shared" si="16"/>
        <v/>
      </c>
      <c r="I40" s="224" t="str">
        <f t="shared" si="17"/>
        <v/>
      </c>
      <c r="J40" s="221" t="str">
        <f t="shared" si="18"/>
        <v/>
      </c>
      <c r="K40" s="184" t="str">
        <f t="shared" si="19"/>
        <v/>
      </c>
      <c r="L40" s="159" t="str">
        <f t="shared" si="20"/>
        <v/>
      </c>
      <c r="M40" s="221" t="str">
        <f t="shared" si="21"/>
        <v/>
      </c>
      <c r="N40" s="221" t="str">
        <f t="shared" si="22"/>
        <v/>
      </c>
      <c r="O40" s="221" t="str">
        <f t="shared" si="23"/>
        <v/>
      </c>
      <c r="P40" s="539"/>
      <c r="AH40" s="8">
        <f t="shared" si="13"/>
        <v>0</v>
      </c>
    </row>
    <row r="41" spans="2:34">
      <c r="B41" s="160">
        <f t="shared" si="15"/>
        <v>38</v>
      </c>
      <c r="C41" s="190"/>
      <c r="D41" s="190"/>
      <c r="E41" s="200"/>
      <c r="F41" s="186" t="str">
        <f>IF(TRIM(D41)="","",(SUMIF('PG1'!$D$4:$D$53,D41,'PG1'!$L$4:$L$53)) + (SUMIF('PG2'!$D$4:$D$53,D41,'PG2'!$E$4:$E$53)) + (SUMIF('PG3'!$D$4:$D$53,D41,'PG3'!$E$4:$E$53)))</f>
        <v/>
      </c>
      <c r="G41" s="171" t="str">
        <f>IF(TRIM(D41)="","",(SUMIF('PG2'!$D$4:$D$53,D41,'PG2'!$F$4:$F$53)) + (SUMIF('PG3'!$D$4:$D$53,D41,'PG3'!$F$4:$F$53)))</f>
        <v/>
      </c>
      <c r="H41" s="222" t="str">
        <f t="shared" si="16"/>
        <v/>
      </c>
      <c r="I41" s="223" t="str">
        <f t="shared" si="17"/>
        <v/>
      </c>
      <c r="J41" s="322" t="str">
        <f t="shared" si="18"/>
        <v/>
      </c>
      <c r="K41" s="184" t="str">
        <f t="shared" si="19"/>
        <v/>
      </c>
      <c r="L41" s="159" t="str">
        <f t="shared" si="20"/>
        <v/>
      </c>
      <c r="M41" s="221" t="str">
        <f t="shared" si="21"/>
        <v/>
      </c>
      <c r="N41" s="221" t="str">
        <f t="shared" si="22"/>
        <v/>
      </c>
      <c r="O41" s="221" t="str">
        <f t="shared" si="23"/>
        <v/>
      </c>
      <c r="P41" s="538"/>
      <c r="AH41" s="8">
        <f t="shared" si="13"/>
        <v>0</v>
      </c>
    </row>
    <row r="42" spans="2:34">
      <c r="B42" s="162">
        <f t="shared" si="15"/>
        <v>39</v>
      </c>
      <c r="C42" s="191"/>
      <c r="D42" s="191"/>
      <c r="E42" s="202"/>
      <c r="F42" s="188" t="str">
        <f>IF(TRIM(D42)="","",(SUMIF('PG1'!$D$4:$D$53,D42,'PG1'!$L$4:$L$53)) + (SUMIF('PG2'!$D$4:$D$53,D42,'PG2'!$E$4:$E$53)) + (SUMIF('PG3'!$D$4:$D$53,D42,'PG3'!$E$4:$E$53)))</f>
        <v/>
      </c>
      <c r="G42" s="174" t="str">
        <f>IF(TRIM(D42)="","",(SUMIF('PG2'!$D$4:$D$53,D42,'PG2'!$F$4:$F$53)) + (SUMIF('PG3'!$D$4:$D$53,D42,'PG3'!$F$4:$F$53)))</f>
        <v/>
      </c>
      <c r="H42" s="219" t="str">
        <f t="shared" si="16"/>
        <v/>
      </c>
      <c r="I42" s="224" t="str">
        <f t="shared" si="17"/>
        <v/>
      </c>
      <c r="J42" s="221" t="str">
        <f t="shared" si="18"/>
        <v/>
      </c>
      <c r="K42" s="184" t="str">
        <f t="shared" si="19"/>
        <v/>
      </c>
      <c r="L42" s="159" t="str">
        <f t="shared" si="20"/>
        <v/>
      </c>
      <c r="M42" s="221" t="str">
        <f t="shared" si="21"/>
        <v/>
      </c>
      <c r="N42" s="221" t="str">
        <f t="shared" si="22"/>
        <v/>
      </c>
      <c r="O42" s="221" t="str">
        <f t="shared" si="23"/>
        <v/>
      </c>
      <c r="P42" s="539"/>
      <c r="AH42" s="8">
        <f t="shared" si="13"/>
        <v>0</v>
      </c>
    </row>
    <row r="43" spans="2:34">
      <c r="B43" s="160">
        <f t="shared" si="15"/>
        <v>40</v>
      </c>
      <c r="C43" s="190"/>
      <c r="D43" s="190"/>
      <c r="E43" s="200"/>
      <c r="F43" s="186" t="str">
        <f>IF(TRIM(D43)="","",(SUMIF('PG1'!$D$4:$D$53,D43,'PG1'!$L$4:$L$53)) + (SUMIF('PG2'!$D$4:$D$53,D43,'PG2'!$E$4:$E$53)) + (SUMIF('PG3'!$D$4:$D$53,D43,'PG3'!$E$4:$E$53)))</f>
        <v/>
      </c>
      <c r="G43" s="171" t="str">
        <f>IF(TRIM(D43)="","",(SUMIF('PG2'!$D$4:$D$53,D43,'PG2'!$F$4:$F$53)) + (SUMIF('PG3'!$D$4:$D$53,D43,'PG3'!$F$4:$F$53)))</f>
        <v/>
      </c>
      <c r="H43" s="222" t="str">
        <f t="shared" si="16"/>
        <v/>
      </c>
      <c r="I43" s="223" t="str">
        <f t="shared" si="17"/>
        <v/>
      </c>
      <c r="J43" s="322" t="str">
        <f t="shared" si="18"/>
        <v/>
      </c>
      <c r="K43" s="184" t="str">
        <f t="shared" si="19"/>
        <v/>
      </c>
      <c r="L43" s="159" t="str">
        <f t="shared" si="20"/>
        <v/>
      </c>
      <c r="M43" s="221" t="str">
        <f t="shared" si="21"/>
        <v/>
      </c>
      <c r="N43" s="221" t="str">
        <f t="shared" si="22"/>
        <v/>
      </c>
      <c r="O43" s="221" t="str">
        <f t="shared" si="23"/>
        <v/>
      </c>
      <c r="P43" s="538"/>
      <c r="AH43" s="8">
        <f t="shared" si="13"/>
        <v>0</v>
      </c>
    </row>
    <row r="44" spans="2:34">
      <c r="B44" s="162">
        <f t="shared" si="15"/>
        <v>41</v>
      </c>
      <c r="C44" s="189"/>
      <c r="D44" s="189"/>
      <c r="E44" s="202"/>
      <c r="F44" s="188" t="str">
        <f>IF(TRIM(D44)="","",(SUMIF('PG1'!$D$4:$D$53,D44,'PG1'!$L$4:$L$53)) + (SUMIF('PG2'!$D$4:$D$53,D44,'PG2'!$E$4:$E$53)) + (SUMIF('PG3'!$D$4:$D$53,D44,'PG3'!$E$4:$E$53)))</f>
        <v/>
      </c>
      <c r="G44" s="174" t="str">
        <f>IF(TRIM(D44)="","",(SUMIF('PG2'!$D$4:$D$53,D44,'PG2'!$F$4:$F$53)) + (SUMIF('PG3'!$D$4:$D$53,D44,'PG3'!$F$4:$F$53)))</f>
        <v/>
      </c>
      <c r="H44" s="219" t="str">
        <f t="shared" si="16"/>
        <v/>
      </c>
      <c r="I44" s="224" t="str">
        <f t="shared" si="17"/>
        <v/>
      </c>
      <c r="J44" s="221" t="str">
        <f t="shared" si="18"/>
        <v/>
      </c>
      <c r="K44" s="184" t="str">
        <f t="shared" si="19"/>
        <v/>
      </c>
      <c r="L44" s="159" t="str">
        <f t="shared" si="20"/>
        <v/>
      </c>
      <c r="M44" s="221" t="str">
        <f t="shared" si="21"/>
        <v/>
      </c>
      <c r="N44" s="221" t="str">
        <f t="shared" si="22"/>
        <v/>
      </c>
      <c r="O44" s="221" t="str">
        <f t="shared" si="23"/>
        <v/>
      </c>
      <c r="P44" s="539"/>
      <c r="AH44" s="8">
        <f t="shared" si="13"/>
        <v>0</v>
      </c>
    </row>
    <row r="45" spans="2:34">
      <c r="B45" s="160">
        <f t="shared" si="15"/>
        <v>42</v>
      </c>
      <c r="C45" s="190"/>
      <c r="D45" s="190"/>
      <c r="E45" s="200"/>
      <c r="F45" s="186" t="str">
        <f>IF(TRIM(D45)="","",(SUMIF('PG1'!$D$4:$D$53,D45,'PG1'!$L$4:$L$53)) + (SUMIF('PG2'!$D$4:$D$53,D45,'PG2'!$E$4:$E$53)) + (SUMIF('PG3'!$D$4:$D$53,D45,'PG3'!$E$4:$E$53)))</f>
        <v/>
      </c>
      <c r="G45" s="171" t="str">
        <f>IF(TRIM(D45)="","",(SUMIF('PG2'!$D$4:$D$53,D45,'PG2'!$F$4:$F$53)) + (SUMIF('PG3'!$D$4:$D$53,D45,'PG3'!$F$4:$F$53)))</f>
        <v/>
      </c>
      <c r="H45" s="222" t="str">
        <f t="shared" si="16"/>
        <v/>
      </c>
      <c r="I45" s="223" t="str">
        <f t="shared" si="17"/>
        <v/>
      </c>
      <c r="J45" s="322" t="str">
        <f t="shared" si="18"/>
        <v/>
      </c>
      <c r="K45" s="184" t="str">
        <f t="shared" si="19"/>
        <v/>
      </c>
      <c r="L45" s="159" t="str">
        <f t="shared" si="20"/>
        <v/>
      </c>
      <c r="M45" s="221" t="str">
        <f t="shared" si="21"/>
        <v/>
      </c>
      <c r="N45" s="221" t="str">
        <f t="shared" si="22"/>
        <v/>
      </c>
      <c r="O45" s="221" t="str">
        <f t="shared" si="23"/>
        <v/>
      </c>
      <c r="P45" s="538"/>
      <c r="AH45" s="8">
        <f t="shared" si="13"/>
        <v>0</v>
      </c>
    </row>
    <row r="46" spans="2:34">
      <c r="B46" s="162">
        <f t="shared" si="15"/>
        <v>43</v>
      </c>
      <c r="C46" s="189"/>
      <c r="D46" s="189"/>
      <c r="E46" s="202"/>
      <c r="F46" s="188" t="str">
        <f>IF(TRIM(D46)="","",(SUMIF('PG1'!$D$4:$D$53,D46,'PG1'!$L$4:$L$53)) + (SUMIF('PG2'!$D$4:$D$53,D46,'PG2'!$E$4:$E$53)) + (SUMIF('PG3'!$D$4:$D$53,D46,'PG3'!$E$4:$E$53)))</f>
        <v/>
      </c>
      <c r="G46" s="174" t="str">
        <f>IF(TRIM(D46)="","",(SUMIF('PG2'!$D$4:$D$53,D46,'PG2'!$F$4:$F$53)) + (SUMIF('PG3'!$D$4:$D$53,D46,'PG3'!$F$4:$F$53)))</f>
        <v/>
      </c>
      <c r="H46" s="219" t="str">
        <f t="shared" si="16"/>
        <v/>
      </c>
      <c r="I46" s="224" t="str">
        <f t="shared" si="17"/>
        <v/>
      </c>
      <c r="J46" s="221" t="str">
        <f t="shared" si="18"/>
        <v/>
      </c>
      <c r="K46" s="184" t="str">
        <f t="shared" si="19"/>
        <v/>
      </c>
      <c r="L46" s="159" t="str">
        <f t="shared" si="20"/>
        <v/>
      </c>
      <c r="M46" s="221" t="str">
        <f t="shared" si="21"/>
        <v/>
      </c>
      <c r="N46" s="221" t="str">
        <f t="shared" si="22"/>
        <v/>
      </c>
      <c r="O46" s="221" t="str">
        <f t="shared" si="23"/>
        <v/>
      </c>
      <c r="P46" s="539"/>
      <c r="AH46" s="8">
        <f t="shared" si="13"/>
        <v>0</v>
      </c>
    </row>
    <row r="47" spans="2:34">
      <c r="B47" s="160">
        <f t="shared" si="15"/>
        <v>44</v>
      </c>
      <c r="C47" s="190"/>
      <c r="D47" s="190"/>
      <c r="E47" s="200"/>
      <c r="F47" s="186" t="str">
        <f>IF(TRIM(D47)="","",(SUMIF('PG1'!$D$4:$D$53,D47,'PG1'!$L$4:$L$53)) + (SUMIF('PG2'!$D$4:$D$53,D47,'PG2'!$E$4:$E$53)) + (SUMIF('PG3'!$D$4:$D$53,D47,'PG3'!$E$4:$E$53)))</f>
        <v/>
      </c>
      <c r="G47" s="171" t="str">
        <f>IF(TRIM(D47)="","",(SUMIF('PG2'!$D$4:$D$53,D47,'PG2'!$F$4:$F$53)) + (SUMIF('PG3'!$D$4:$D$53,D47,'PG3'!$F$4:$F$53)))</f>
        <v/>
      </c>
      <c r="H47" s="222" t="str">
        <f t="shared" si="16"/>
        <v/>
      </c>
      <c r="I47" s="223" t="str">
        <f t="shared" si="17"/>
        <v/>
      </c>
      <c r="J47" s="322" t="str">
        <f t="shared" si="18"/>
        <v/>
      </c>
      <c r="K47" s="184" t="str">
        <f t="shared" si="19"/>
        <v/>
      </c>
      <c r="L47" s="159" t="str">
        <f t="shared" si="20"/>
        <v/>
      </c>
      <c r="M47" s="221" t="str">
        <f t="shared" si="21"/>
        <v/>
      </c>
      <c r="N47" s="221" t="str">
        <f t="shared" si="22"/>
        <v/>
      </c>
      <c r="O47" s="221" t="str">
        <f t="shared" si="23"/>
        <v/>
      </c>
      <c r="P47" s="538"/>
      <c r="AH47" s="8">
        <f t="shared" si="13"/>
        <v>0</v>
      </c>
    </row>
    <row r="48" spans="2:34">
      <c r="B48" s="162">
        <f t="shared" si="15"/>
        <v>45</v>
      </c>
      <c r="C48" s="189"/>
      <c r="D48" s="189"/>
      <c r="E48" s="202"/>
      <c r="F48" s="188" t="str">
        <f>IF(TRIM(D48)="","",(SUMIF('PG1'!$D$4:$D$53,D48,'PG1'!$L$4:$L$53)) + (SUMIF('PG2'!$D$4:$D$53,D48,'PG2'!$E$4:$E$53)) + (SUMIF('PG3'!$D$4:$D$53,D48,'PG3'!$E$4:$E$53)))</f>
        <v/>
      </c>
      <c r="G48" s="174" t="str">
        <f>IF(TRIM(D48)="","",(SUMIF('PG2'!$D$4:$D$53,D48,'PG2'!$F$4:$F$53)) + (SUMIF('PG3'!$D$4:$D$53,D48,'PG3'!$F$4:$F$53)))</f>
        <v/>
      </c>
      <c r="H48" s="219" t="str">
        <f t="shared" si="16"/>
        <v/>
      </c>
      <c r="I48" s="224" t="str">
        <f t="shared" si="17"/>
        <v/>
      </c>
      <c r="J48" s="221" t="str">
        <f t="shared" si="18"/>
        <v/>
      </c>
      <c r="K48" s="184" t="str">
        <f t="shared" si="19"/>
        <v/>
      </c>
      <c r="L48" s="159" t="str">
        <f t="shared" si="20"/>
        <v/>
      </c>
      <c r="M48" s="221" t="str">
        <f t="shared" si="21"/>
        <v/>
      </c>
      <c r="N48" s="221" t="str">
        <f t="shared" si="22"/>
        <v/>
      </c>
      <c r="O48" s="221" t="str">
        <f t="shared" si="23"/>
        <v/>
      </c>
      <c r="P48" s="539"/>
      <c r="AH48" s="8">
        <f t="shared" si="13"/>
        <v>0</v>
      </c>
    </row>
    <row r="49" spans="2:34">
      <c r="B49" s="160">
        <f t="shared" si="15"/>
        <v>46</v>
      </c>
      <c r="C49" s="190"/>
      <c r="D49" s="190"/>
      <c r="E49" s="200"/>
      <c r="F49" s="186" t="str">
        <f>IF(TRIM(D49)="","",(SUMIF('PG1'!$D$4:$D$53,D49,'PG1'!$L$4:$L$53)) + (SUMIF('PG2'!$D$4:$D$53,D49,'PG2'!$E$4:$E$53)) + (SUMIF('PG3'!$D$4:$D$53,D49,'PG3'!$E$4:$E$53)))</f>
        <v/>
      </c>
      <c r="G49" s="171" t="str">
        <f>IF(TRIM(D49)="","",(SUMIF('PG2'!$D$4:$D$53,D49,'PG2'!$F$4:$F$53)) + (SUMIF('PG3'!$D$4:$D$53,D49,'PG3'!$F$4:$F$53)))</f>
        <v/>
      </c>
      <c r="H49" s="222" t="str">
        <f t="shared" si="16"/>
        <v/>
      </c>
      <c r="I49" s="223" t="str">
        <f t="shared" si="17"/>
        <v/>
      </c>
      <c r="J49" s="322" t="str">
        <f t="shared" si="18"/>
        <v/>
      </c>
      <c r="K49" s="184" t="str">
        <f t="shared" si="19"/>
        <v/>
      </c>
      <c r="L49" s="159" t="str">
        <f t="shared" si="20"/>
        <v/>
      </c>
      <c r="M49" s="221" t="str">
        <f t="shared" si="21"/>
        <v/>
      </c>
      <c r="N49" s="221" t="str">
        <f t="shared" si="22"/>
        <v/>
      </c>
      <c r="O49" s="221" t="str">
        <f t="shared" si="23"/>
        <v/>
      </c>
      <c r="P49" s="538"/>
      <c r="AH49" s="8">
        <f t="shared" si="13"/>
        <v>0</v>
      </c>
    </row>
    <row r="50" spans="2:34">
      <c r="B50" s="162">
        <f t="shared" si="15"/>
        <v>47</v>
      </c>
      <c r="C50" s="189"/>
      <c r="D50" s="189"/>
      <c r="E50" s="202"/>
      <c r="F50" s="188" t="str">
        <f>IF(TRIM(D50)="","",(SUMIF('PG1'!$D$4:$D$53,D50,'PG1'!$L$4:$L$53)) + (SUMIF('PG2'!$D$4:$D$53,D50,'PG2'!$E$4:$E$53)) + (SUMIF('PG3'!$D$4:$D$53,D50,'PG3'!$E$4:$E$53)))</f>
        <v/>
      </c>
      <c r="G50" s="174" t="str">
        <f>IF(TRIM(D50)="","",(SUMIF('PG2'!$D$4:$D$53,D50,'PG2'!$F$4:$F$53)) + (SUMIF('PG3'!$D$4:$D$53,D50,'PG3'!$F$4:$F$53)))</f>
        <v/>
      </c>
      <c r="H50" s="219" t="str">
        <f t="shared" si="16"/>
        <v/>
      </c>
      <c r="I50" s="224" t="str">
        <f t="shared" si="17"/>
        <v/>
      </c>
      <c r="J50" s="221" t="str">
        <f t="shared" si="18"/>
        <v/>
      </c>
      <c r="K50" s="184" t="str">
        <f t="shared" si="19"/>
        <v/>
      </c>
      <c r="L50" s="159" t="str">
        <f t="shared" si="20"/>
        <v/>
      </c>
      <c r="M50" s="221" t="str">
        <f t="shared" si="21"/>
        <v/>
      </c>
      <c r="N50" s="221" t="str">
        <f t="shared" si="22"/>
        <v/>
      </c>
      <c r="O50" s="221" t="str">
        <f t="shared" si="23"/>
        <v/>
      </c>
      <c r="P50" s="539"/>
      <c r="AH50" s="8">
        <f t="shared" si="13"/>
        <v>0</v>
      </c>
    </row>
    <row r="51" spans="2:34">
      <c r="B51" s="160">
        <f t="shared" si="15"/>
        <v>48</v>
      </c>
      <c r="C51" s="190"/>
      <c r="D51" s="190"/>
      <c r="E51" s="200"/>
      <c r="F51" s="186" t="str">
        <f>IF(TRIM(D51)="","",(SUMIF('PG1'!$D$4:$D$53,D51,'PG1'!$L$4:$L$53)) + (SUMIF('PG2'!$D$4:$D$53,D51,'PG2'!$E$4:$E$53)) + (SUMIF('PG3'!$D$4:$D$53,D51,'PG3'!$E$4:$E$53)))</f>
        <v/>
      </c>
      <c r="G51" s="171" t="str">
        <f>IF(TRIM(D51)="","",(SUMIF('PG2'!$D$4:$D$53,D51,'PG2'!$F$4:$F$53)) + (SUMIF('PG3'!$D$4:$D$53,D51,'PG3'!$F$4:$F$53)))</f>
        <v/>
      </c>
      <c r="H51" s="222" t="str">
        <f t="shared" si="16"/>
        <v/>
      </c>
      <c r="I51" s="223" t="str">
        <f t="shared" si="17"/>
        <v/>
      </c>
      <c r="J51" s="322" t="str">
        <f t="shared" si="18"/>
        <v/>
      </c>
      <c r="K51" s="184" t="str">
        <f t="shared" si="19"/>
        <v/>
      </c>
      <c r="L51" s="159" t="str">
        <f t="shared" si="20"/>
        <v/>
      </c>
      <c r="M51" s="221" t="str">
        <f t="shared" si="21"/>
        <v/>
      </c>
      <c r="N51" s="221" t="str">
        <f t="shared" si="22"/>
        <v/>
      </c>
      <c r="O51" s="221" t="str">
        <f t="shared" si="23"/>
        <v/>
      </c>
      <c r="P51" s="538"/>
      <c r="AH51" s="8">
        <f t="shared" si="13"/>
        <v>0</v>
      </c>
    </row>
    <row r="52" spans="2:34">
      <c r="B52" s="162">
        <f t="shared" si="15"/>
        <v>49</v>
      </c>
      <c r="C52" s="191"/>
      <c r="D52" s="191"/>
      <c r="E52" s="202"/>
      <c r="F52" s="188" t="str">
        <f>IF(TRIM(D52)="","",(SUMIF('PG1'!$D$4:$D$53,D52,'PG1'!$L$4:$L$53)) + (SUMIF('PG2'!$D$4:$D$53,D52,'PG2'!$E$4:$E$53)) + (SUMIF('PG3'!$D$4:$D$53,D52,'PG3'!$E$4:$E$53)))</f>
        <v/>
      </c>
      <c r="G52" s="174" t="str">
        <f>IF(TRIM(D52)="","",(SUMIF('PG2'!$D$4:$D$53,D52,'PG2'!$F$4:$F$53)) + (SUMIF('PG3'!$D$4:$D$53,D52,'PG3'!$F$4:$F$53)))</f>
        <v/>
      </c>
      <c r="H52" s="219" t="str">
        <f t="shared" si="16"/>
        <v/>
      </c>
      <c r="I52" s="224" t="str">
        <f t="shared" si="17"/>
        <v/>
      </c>
      <c r="J52" s="221" t="str">
        <f t="shared" si="18"/>
        <v/>
      </c>
      <c r="K52" s="184" t="str">
        <f t="shared" si="19"/>
        <v/>
      </c>
      <c r="L52" s="159" t="str">
        <f t="shared" si="20"/>
        <v/>
      </c>
      <c r="M52" s="221" t="str">
        <f t="shared" si="21"/>
        <v/>
      </c>
      <c r="N52" s="221" t="str">
        <f t="shared" si="22"/>
        <v/>
      </c>
      <c r="O52" s="221" t="str">
        <f t="shared" si="23"/>
        <v/>
      </c>
      <c r="P52" s="539"/>
      <c r="AH52" s="8">
        <f t="shared" si="13"/>
        <v>0</v>
      </c>
    </row>
    <row r="53" spans="2:34" ht="15.75" thickBot="1">
      <c r="B53" s="225">
        <f t="shared" si="15"/>
        <v>50</v>
      </c>
      <c r="C53" s="226"/>
      <c r="D53" s="226"/>
      <c r="E53" s="227"/>
      <c r="F53" s="228" t="str">
        <f>IF(TRIM(D53)="","",(SUMIF('PG1'!$D$4:$D$53,D53,'PG1'!$L$4:$L$53)) + (SUMIF('PG2'!$D$4:$D$53,D53,'PG2'!$E$4:$E$53)) + (SUMIF('PG3'!$D$4:$D$53,D53,'PG3'!$E$4:$E$53)))</f>
        <v/>
      </c>
      <c r="G53" s="229" t="str">
        <f>IF(TRIM(D53)="","",(SUMIF('PG2'!$D$4:$D$53,D53,'PG2'!$F$4:$F$53)) + (SUMIF('PG3'!$D$4:$D$53,D53,'PG3'!$F$4:$F$53)))</f>
        <v/>
      </c>
      <c r="H53" s="230" t="str">
        <f t="shared" si="16"/>
        <v/>
      </c>
      <c r="I53" s="231" t="str">
        <f t="shared" si="17"/>
        <v/>
      </c>
      <c r="J53" s="323" t="str">
        <f t="shared" si="18"/>
        <v/>
      </c>
      <c r="K53" s="232" t="str">
        <f t="shared" si="19"/>
        <v/>
      </c>
      <c r="L53" s="233" t="str">
        <f t="shared" si="20"/>
        <v/>
      </c>
      <c r="M53" s="234" t="str">
        <f t="shared" si="21"/>
        <v/>
      </c>
      <c r="N53" s="234" t="str">
        <f t="shared" si="22"/>
        <v/>
      </c>
      <c r="O53" s="234" t="str">
        <f t="shared" si="23"/>
        <v/>
      </c>
      <c r="P53" s="540"/>
      <c r="AH53" s="8">
        <f t="shared" si="13"/>
        <v>0</v>
      </c>
    </row>
    <row r="54" spans="2:34">
      <c r="B54" s="137"/>
      <c r="C54" s="137"/>
      <c r="D54" s="137"/>
      <c r="E54" s="137"/>
      <c r="F54" s="138"/>
      <c r="G54" s="138"/>
      <c r="H54" s="138"/>
      <c r="I54" s="139"/>
      <c r="J54" s="139"/>
      <c r="K54" s="138"/>
      <c r="L54" s="138"/>
      <c r="M54" s="138"/>
      <c r="N54" s="138"/>
      <c r="O54" s="138"/>
      <c r="P54" s="137"/>
    </row>
  </sheetData>
  <protectedRanges>
    <protectedRange sqref="P4:P53" name="Range2"/>
    <protectedRange sqref="C19:E53 E4:E18" name="Range1"/>
    <protectedRange sqref="C4:D18" name="Range1_1"/>
  </protectedRanges>
  <mergeCells count="1">
    <mergeCell ref="H2:I2"/>
  </mergeCells>
  <phoneticPr fontId="3"/>
  <conditionalFormatting sqref="P4:P53 B4:E53">
    <cfRule type="expression" dxfId="60" priority="4" stopIfTrue="1">
      <formula>$AH4&gt;1</formula>
    </cfRule>
    <cfRule type="expression" dxfId="59" priority="5" stopIfTrue="1">
      <formula>MOD(ROW(),2)=0</formula>
    </cfRule>
    <cfRule type="expression" dxfId="58" priority="6" stopIfTrue="1">
      <formula>MOD(ROW(),2)=1</formula>
    </cfRule>
  </conditionalFormatting>
  <conditionalFormatting sqref="F4:O53">
    <cfRule type="expression" dxfId="57" priority="7" stopIfTrue="1">
      <formula>MOD(ROW(),2)=0</formula>
    </cfRule>
    <cfRule type="expression" dxfId="56" priority="8" stopIfTrue="1">
      <formula>MOD(ROW(),2)=1</formula>
    </cfRule>
  </conditionalFormatting>
  <conditionalFormatting sqref="C4:D18">
    <cfRule type="expression" dxfId="55" priority="1" stopIfTrue="1">
      <formula>$Q4&gt;1</formula>
    </cfRule>
    <cfRule type="expression" dxfId="54" priority="2" stopIfTrue="1">
      <formula>MOD(ROW(),2)=0</formula>
    </cfRule>
    <cfRule type="expression" dxfId="53" priority="3" stopIfTrue="1">
      <formula>MOD(ROW(),2)=1</formula>
    </cfRule>
  </conditionalFormatting>
  <dataValidations count="1">
    <dataValidation showInputMessage="1" showErrorMessage="1" sqref="E4:E53"/>
  </dataValidations>
  <printOptions horizontalCentered="1"/>
  <pageMargins left="0.59055118110236227" right="0.39370078740157483" top="0.39370078740157483" bottom="0.39370078740157483" header="0.51181102362204722" footer="0.51181102362204722"/>
  <pageSetup paperSize="9" scale="74"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sheetPr codeName="Sheet9"/>
  <dimension ref="B1:F34"/>
  <sheetViews>
    <sheetView view="pageBreakPreview" zoomScale="85" zoomScaleNormal="100" workbookViewId="0">
      <pane xSplit="3" ySplit="3" topLeftCell="D4" activePane="bottomRight" state="frozen"/>
      <selection activeCell="F19" sqref="F19"/>
      <selection pane="topRight" activeCell="F19" sqref="F19"/>
      <selection pane="bottomLeft" activeCell="F19" sqref="F19"/>
      <selection pane="bottomRight" activeCell="D5" sqref="D5"/>
    </sheetView>
  </sheetViews>
  <sheetFormatPr defaultRowHeight="15"/>
  <cols>
    <col min="1" max="1" width="1.625" style="8" customWidth="1"/>
    <col min="2" max="2" width="3.875" style="8" bestFit="1" customWidth="1"/>
    <col min="3" max="3" width="40.875" style="8" customWidth="1"/>
    <col min="4" max="5" width="7.25" style="8" customWidth="1"/>
    <col min="6" max="6" width="31.875" style="8" customWidth="1"/>
    <col min="7" max="7" width="1.625" style="8" customWidth="1"/>
    <col min="8" max="16384" width="9" style="8"/>
  </cols>
  <sheetData>
    <row r="1" spans="2:6">
      <c r="B1" s="619" t="s">
        <v>41</v>
      </c>
      <c r="C1" s="619"/>
      <c r="D1" s="619"/>
      <c r="E1" s="619"/>
      <c r="F1" s="619"/>
    </row>
    <row r="2" spans="2:6" ht="15.75" thickBot="1">
      <c r="C2" s="65" t="s">
        <v>130</v>
      </c>
    </row>
    <row r="3" spans="2:6" ht="26.25" thickBot="1">
      <c r="B3" s="10" t="s">
        <v>39</v>
      </c>
      <c r="C3" s="11" t="s">
        <v>42</v>
      </c>
      <c r="D3" s="294" t="s">
        <v>265</v>
      </c>
      <c r="E3" s="293" t="s">
        <v>55</v>
      </c>
      <c r="F3" s="13" t="s">
        <v>40</v>
      </c>
    </row>
    <row r="4" spans="2:6">
      <c r="B4" s="157">
        <f t="shared" ref="B4:B33" si="0">ROW() - 3</f>
        <v>1</v>
      </c>
      <c r="C4" s="295" t="s">
        <v>345</v>
      </c>
      <c r="D4" s="239">
        <v>4</v>
      </c>
      <c r="E4" s="300">
        <f t="shared" ref="E4:E33" si="1">IF(TRIM(C4)="","",CEILING(D4*UnitPoint_Effort_Rate*10/5,1)*5/10)</f>
        <v>8</v>
      </c>
      <c r="F4" s="168"/>
    </row>
    <row r="5" spans="2:6">
      <c r="B5" s="160">
        <f t="shared" si="0"/>
        <v>2</v>
      </c>
      <c r="C5" s="296" t="s">
        <v>346</v>
      </c>
      <c r="D5" s="242">
        <v>24</v>
      </c>
      <c r="E5" s="170">
        <f t="shared" si="1"/>
        <v>48</v>
      </c>
      <c r="F5" s="172"/>
    </row>
    <row r="6" spans="2:6">
      <c r="B6" s="162">
        <f t="shared" si="0"/>
        <v>3</v>
      </c>
      <c r="C6" s="296"/>
      <c r="D6" s="245"/>
      <c r="E6" s="170" t="str">
        <f t="shared" si="1"/>
        <v/>
      </c>
      <c r="F6" s="175"/>
    </row>
    <row r="7" spans="2:6">
      <c r="B7" s="160">
        <f t="shared" si="0"/>
        <v>4</v>
      </c>
      <c r="C7" s="295"/>
      <c r="D7" s="242"/>
      <c r="E7" s="170" t="str">
        <f t="shared" si="1"/>
        <v/>
      </c>
      <c r="F7" s="172"/>
    </row>
    <row r="8" spans="2:6">
      <c r="B8" s="162">
        <f t="shared" si="0"/>
        <v>5</v>
      </c>
      <c r="C8" s="296"/>
      <c r="D8" s="245"/>
      <c r="E8" s="170" t="str">
        <f t="shared" si="1"/>
        <v/>
      </c>
      <c r="F8" s="175"/>
    </row>
    <row r="9" spans="2:6">
      <c r="B9" s="160">
        <f t="shared" si="0"/>
        <v>6</v>
      </c>
      <c r="C9" s="297"/>
      <c r="D9" s="242"/>
      <c r="E9" s="170" t="str">
        <f t="shared" si="1"/>
        <v/>
      </c>
      <c r="F9" s="172"/>
    </row>
    <row r="10" spans="2:6">
      <c r="B10" s="162">
        <f t="shared" si="0"/>
        <v>7</v>
      </c>
      <c r="C10" s="296"/>
      <c r="D10" s="245"/>
      <c r="E10" s="170" t="str">
        <f t="shared" si="1"/>
        <v/>
      </c>
      <c r="F10" s="175"/>
    </row>
    <row r="11" spans="2:6">
      <c r="B11" s="160">
        <f t="shared" si="0"/>
        <v>8</v>
      </c>
      <c r="C11" s="295"/>
      <c r="D11" s="242"/>
      <c r="E11" s="170" t="str">
        <f t="shared" si="1"/>
        <v/>
      </c>
      <c r="F11" s="172"/>
    </row>
    <row r="12" spans="2:6">
      <c r="B12" s="162">
        <f t="shared" si="0"/>
        <v>9</v>
      </c>
      <c r="C12" s="298"/>
      <c r="D12" s="245"/>
      <c r="E12" s="170" t="str">
        <f t="shared" si="1"/>
        <v/>
      </c>
      <c r="F12" s="175"/>
    </row>
    <row r="13" spans="2:6">
      <c r="B13" s="160">
        <f t="shared" si="0"/>
        <v>10</v>
      </c>
      <c r="C13" s="295"/>
      <c r="D13" s="242"/>
      <c r="E13" s="170" t="str">
        <f t="shared" si="1"/>
        <v/>
      </c>
      <c r="F13" s="172"/>
    </row>
    <row r="14" spans="2:6">
      <c r="B14" s="162">
        <f t="shared" si="0"/>
        <v>11</v>
      </c>
      <c r="C14" s="296"/>
      <c r="D14" s="245"/>
      <c r="E14" s="170" t="str">
        <f t="shared" si="1"/>
        <v/>
      </c>
      <c r="F14" s="175"/>
    </row>
    <row r="15" spans="2:6">
      <c r="B15" s="160">
        <f t="shared" si="0"/>
        <v>12</v>
      </c>
      <c r="C15" s="295"/>
      <c r="D15" s="292"/>
      <c r="E15" s="170" t="str">
        <f t="shared" si="1"/>
        <v/>
      </c>
      <c r="F15" s="172"/>
    </row>
    <row r="16" spans="2:6">
      <c r="B16" s="162">
        <f t="shared" si="0"/>
        <v>13</v>
      </c>
      <c r="C16" s="163"/>
      <c r="D16" s="245"/>
      <c r="E16" s="170" t="str">
        <f t="shared" si="1"/>
        <v/>
      </c>
      <c r="F16" s="175"/>
    </row>
    <row r="17" spans="2:6">
      <c r="B17" s="160">
        <f t="shared" si="0"/>
        <v>14</v>
      </c>
      <c r="C17" s="161"/>
      <c r="D17" s="242"/>
      <c r="E17" s="170" t="str">
        <f t="shared" si="1"/>
        <v/>
      </c>
      <c r="F17" s="172"/>
    </row>
    <row r="18" spans="2:6">
      <c r="B18" s="162">
        <f t="shared" si="0"/>
        <v>15</v>
      </c>
      <c r="C18" s="163"/>
      <c r="D18" s="245"/>
      <c r="E18" s="170" t="str">
        <f t="shared" si="1"/>
        <v/>
      </c>
      <c r="F18" s="175"/>
    </row>
    <row r="19" spans="2:6">
      <c r="B19" s="160">
        <f t="shared" si="0"/>
        <v>16</v>
      </c>
      <c r="C19" s="161"/>
      <c r="D19" s="242"/>
      <c r="E19" s="170" t="str">
        <f t="shared" si="1"/>
        <v/>
      </c>
      <c r="F19" s="172"/>
    </row>
    <row r="20" spans="2:6">
      <c r="B20" s="162">
        <f t="shared" si="0"/>
        <v>17</v>
      </c>
      <c r="C20" s="163"/>
      <c r="D20" s="245"/>
      <c r="E20" s="170" t="str">
        <f t="shared" si="1"/>
        <v/>
      </c>
      <c r="F20" s="175"/>
    </row>
    <row r="21" spans="2:6">
      <c r="B21" s="160">
        <f t="shared" si="0"/>
        <v>18</v>
      </c>
      <c r="C21" s="161"/>
      <c r="D21" s="242"/>
      <c r="E21" s="170" t="str">
        <f t="shared" si="1"/>
        <v/>
      </c>
      <c r="F21" s="172"/>
    </row>
    <row r="22" spans="2:6">
      <c r="B22" s="162">
        <f t="shared" si="0"/>
        <v>19</v>
      </c>
      <c r="C22" s="164"/>
      <c r="D22" s="245"/>
      <c r="E22" s="170" t="str">
        <f t="shared" si="1"/>
        <v/>
      </c>
      <c r="F22" s="175"/>
    </row>
    <row r="23" spans="2:6">
      <c r="B23" s="160">
        <f t="shared" si="0"/>
        <v>20</v>
      </c>
      <c r="C23" s="161"/>
      <c r="D23" s="242"/>
      <c r="E23" s="170" t="str">
        <f t="shared" si="1"/>
        <v/>
      </c>
      <c r="F23" s="172"/>
    </row>
    <row r="24" spans="2:6">
      <c r="B24" s="162">
        <f t="shared" si="0"/>
        <v>21</v>
      </c>
      <c r="C24" s="163"/>
      <c r="D24" s="245"/>
      <c r="E24" s="170" t="str">
        <f t="shared" si="1"/>
        <v/>
      </c>
      <c r="F24" s="175"/>
    </row>
    <row r="25" spans="2:6">
      <c r="B25" s="160">
        <f t="shared" si="0"/>
        <v>22</v>
      </c>
      <c r="C25" s="161"/>
      <c r="D25" s="242"/>
      <c r="E25" s="170" t="str">
        <f t="shared" si="1"/>
        <v/>
      </c>
      <c r="F25" s="172"/>
    </row>
    <row r="26" spans="2:6">
      <c r="B26" s="162">
        <f t="shared" si="0"/>
        <v>23</v>
      </c>
      <c r="C26" s="163"/>
      <c r="D26" s="245"/>
      <c r="E26" s="170" t="str">
        <f t="shared" si="1"/>
        <v/>
      </c>
      <c r="F26" s="175"/>
    </row>
    <row r="27" spans="2:6">
      <c r="B27" s="160">
        <f t="shared" si="0"/>
        <v>24</v>
      </c>
      <c r="C27" s="161"/>
      <c r="D27" s="242"/>
      <c r="E27" s="170" t="str">
        <f t="shared" si="1"/>
        <v/>
      </c>
      <c r="F27" s="172"/>
    </row>
    <row r="28" spans="2:6">
      <c r="B28" s="162">
        <f t="shared" si="0"/>
        <v>25</v>
      </c>
      <c r="C28" s="163"/>
      <c r="D28" s="245"/>
      <c r="E28" s="170" t="str">
        <f t="shared" si="1"/>
        <v/>
      </c>
      <c r="F28" s="175"/>
    </row>
    <row r="29" spans="2:6">
      <c r="B29" s="160">
        <f t="shared" si="0"/>
        <v>26</v>
      </c>
      <c r="C29" s="161"/>
      <c r="D29" s="242"/>
      <c r="E29" s="170" t="str">
        <f t="shared" si="1"/>
        <v/>
      </c>
      <c r="F29" s="172"/>
    </row>
    <row r="30" spans="2:6">
      <c r="B30" s="162">
        <f t="shared" si="0"/>
        <v>27</v>
      </c>
      <c r="C30" s="163"/>
      <c r="D30" s="245"/>
      <c r="E30" s="170" t="str">
        <f t="shared" si="1"/>
        <v/>
      </c>
      <c r="F30" s="175"/>
    </row>
    <row r="31" spans="2:6">
      <c r="B31" s="160">
        <f t="shared" si="0"/>
        <v>28</v>
      </c>
      <c r="C31" s="161"/>
      <c r="D31" s="242"/>
      <c r="E31" s="170" t="str">
        <f t="shared" si="1"/>
        <v/>
      </c>
      <c r="F31" s="172"/>
    </row>
    <row r="32" spans="2:6">
      <c r="B32" s="162">
        <f t="shared" si="0"/>
        <v>29</v>
      </c>
      <c r="C32" s="164"/>
      <c r="D32" s="245"/>
      <c r="E32" s="170" t="str">
        <f t="shared" si="1"/>
        <v/>
      </c>
      <c r="F32" s="175"/>
    </row>
    <row r="33" spans="2:6" ht="15.75" thickBot="1">
      <c r="B33" s="192">
        <f t="shared" si="0"/>
        <v>30</v>
      </c>
      <c r="C33" s="299"/>
      <c r="D33" s="248"/>
      <c r="E33" s="178" t="str">
        <f t="shared" si="1"/>
        <v/>
      </c>
      <c r="F33" s="180"/>
    </row>
    <row r="34" spans="2:6">
      <c r="B34" s="137"/>
      <c r="C34" s="137"/>
      <c r="D34" s="137"/>
      <c r="E34" s="137"/>
      <c r="F34" s="137"/>
    </row>
  </sheetData>
  <protectedRanges>
    <protectedRange sqref="F4:F33" name="Range2"/>
    <protectedRange sqref="C4:C33" name="Range1"/>
  </protectedRanges>
  <mergeCells count="1">
    <mergeCell ref="B1:F1"/>
  </mergeCells>
  <phoneticPr fontId="3"/>
  <conditionalFormatting sqref="F4:F33 B4:D33">
    <cfRule type="expression" dxfId="52" priority="1" stopIfTrue="1">
      <formula>MOD(ROW(),2)=0</formula>
    </cfRule>
    <cfRule type="expression" dxfId="51" priority="2" stopIfTrue="1">
      <formula>MOD(ROW(),2)=1</formula>
    </cfRule>
  </conditionalFormatting>
  <conditionalFormatting sqref="E4:E33">
    <cfRule type="expression" dxfId="50" priority="3" stopIfTrue="1">
      <formula>MOD(ROW(),2)=0</formula>
    </cfRule>
    <cfRule type="expression" dxfId="49" priority="4" stopIfTrue="1">
      <formula>MOD(ROW(),2)=1</formula>
    </cfRule>
  </conditionalFormatting>
  <printOptions horizontalCentered="1"/>
  <pageMargins left="0.59055118110236227" right="0.39370078740157483" top="0.39370078740157483" bottom="0.39370078740157483"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sheetPr codeName="Sheet10"/>
  <dimension ref="B1:AA34"/>
  <sheetViews>
    <sheetView view="pageBreakPreview" zoomScale="85" zoomScaleNormal="100" workbookViewId="0">
      <pane xSplit="4" ySplit="3" topLeftCell="E4" activePane="bottomRight" state="frozen"/>
      <selection activeCell="F19" sqref="F19"/>
      <selection pane="topRight" activeCell="F19" sqref="F19"/>
      <selection pane="bottomLeft" activeCell="F19" sqref="F19"/>
      <selection pane="bottomRight" activeCell="F19" sqref="F19"/>
    </sheetView>
  </sheetViews>
  <sheetFormatPr defaultRowHeight="15"/>
  <cols>
    <col min="1" max="1" width="1.625" style="8" customWidth="1"/>
    <col min="2" max="2" width="3.875" style="8" bestFit="1" customWidth="1"/>
    <col min="3" max="4" width="30.625" style="8" customWidth="1"/>
    <col min="5" max="5" width="7.25" style="8" customWidth="1"/>
    <col min="6" max="6" width="8.75" style="8" bestFit="1" customWidth="1"/>
    <col min="7" max="7" width="7.25" style="8" customWidth="1"/>
    <col min="8" max="8" width="8.75" style="8" bestFit="1" customWidth="1"/>
    <col min="9" max="9" width="7.25" style="8" customWidth="1"/>
    <col min="10" max="10" width="8.75" style="8" bestFit="1" customWidth="1"/>
    <col min="11" max="11" width="7.25" style="8" customWidth="1"/>
    <col min="12" max="12" width="8.5" style="8" bestFit="1" customWidth="1"/>
    <col min="13" max="13" width="7.25" style="8" customWidth="1"/>
    <col min="14" max="14" width="8.625" style="8" bestFit="1" customWidth="1"/>
    <col min="15" max="15" width="7.25" style="8" customWidth="1"/>
    <col min="16" max="16" width="8.375" style="8" bestFit="1" customWidth="1"/>
    <col min="17" max="17" width="27.5" style="8" customWidth="1"/>
    <col min="18" max="18" width="1.625" style="8" customWidth="1"/>
    <col min="19" max="19" width="11.625" style="8" customWidth="1"/>
    <col min="20" max="21" width="3.75" style="8" customWidth="1"/>
    <col min="22" max="23" width="4.5" style="8" customWidth="1"/>
    <col min="24" max="24" width="6.125" style="8" customWidth="1"/>
    <col min="25" max="26" width="3.75" style="8" customWidth="1"/>
    <col min="27" max="16384" width="9" style="8"/>
  </cols>
  <sheetData>
    <row r="1" spans="2:27">
      <c r="B1" s="619" t="s">
        <v>50</v>
      </c>
      <c r="C1" s="619"/>
      <c r="D1" s="619"/>
      <c r="E1" s="619"/>
      <c r="F1" s="619"/>
      <c r="G1" s="619"/>
      <c r="H1" s="619"/>
      <c r="I1" s="619"/>
      <c r="J1" s="619"/>
      <c r="K1" s="619"/>
      <c r="L1" s="619"/>
      <c r="M1" s="619"/>
      <c r="N1" s="619"/>
      <c r="O1" s="619"/>
      <c r="P1" s="619"/>
      <c r="Q1" s="619"/>
    </row>
    <row r="2" spans="2:27" ht="15.75" thickBot="1">
      <c r="C2" s="65" t="s">
        <v>130</v>
      </c>
      <c r="S2"/>
      <c r="T2"/>
      <c r="U2"/>
      <c r="V2"/>
      <c r="W2"/>
      <c r="X2"/>
      <c r="Y2"/>
      <c r="Z2"/>
      <c r="AA2"/>
    </row>
    <row r="3" spans="2:27" ht="15.75" thickBot="1">
      <c r="B3" s="4" t="s">
        <v>47</v>
      </c>
      <c r="C3" s="9" t="s">
        <v>48</v>
      </c>
      <c r="D3" s="9" t="s">
        <v>16</v>
      </c>
      <c r="E3" s="4" t="s">
        <v>270</v>
      </c>
      <c r="F3" s="305" t="s">
        <v>286</v>
      </c>
      <c r="G3" s="4" t="s">
        <v>271</v>
      </c>
      <c r="H3" s="309" t="s">
        <v>287</v>
      </c>
      <c r="I3" s="306" t="s">
        <v>272</v>
      </c>
      <c r="J3" s="9" t="s">
        <v>288</v>
      </c>
      <c r="K3" s="4" t="s">
        <v>273</v>
      </c>
      <c r="L3" s="309" t="s">
        <v>289</v>
      </c>
      <c r="M3" s="306" t="s">
        <v>274</v>
      </c>
      <c r="N3" s="9" t="s">
        <v>290</v>
      </c>
      <c r="O3" s="4" t="s">
        <v>275</v>
      </c>
      <c r="P3" s="309" t="s">
        <v>291</v>
      </c>
      <c r="Q3" s="14" t="s">
        <v>49</v>
      </c>
      <c r="S3"/>
      <c r="T3"/>
      <c r="U3"/>
      <c r="V3"/>
      <c r="W3"/>
      <c r="X3"/>
      <c r="Y3"/>
      <c r="Z3"/>
      <c r="AA3"/>
    </row>
    <row r="4" spans="2:27">
      <c r="B4" s="157">
        <f t="shared" ref="B4:B33" si="0">ROW() - 3</f>
        <v>1</v>
      </c>
      <c r="C4" s="196"/>
      <c r="D4" s="308"/>
      <c r="E4" s="237"/>
      <c r="F4" s="300" t="str">
        <f t="shared" ref="F4:F33" si="1">IF(TRIM($D4)="","",CEILING(E4*UnitPoint_Effort_Rate*10/5,1)*5/10)</f>
        <v/>
      </c>
      <c r="G4" s="307"/>
      <c r="H4" s="300" t="str">
        <f t="shared" ref="H4:H33" si="2">IF(TRIM($D4)="","",CEILING(G4*UnitPoint_Effort_Rate*10/5,1)*5/10)</f>
        <v/>
      </c>
      <c r="I4" s="238"/>
      <c r="J4" s="300" t="str">
        <f t="shared" ref="J4:J33" si="3">IF(TRIM($D4)="","",CEILING(I4*UnitPoint_Effort_Rate*10/5,1)*5/10)</f>
        <v/>
      </c>
      <c r="K4" s="239"/>
      <c r="L4" s="300" t="str">
        <f t="shared" ref="L4:L33" si="4">IF(TRIM($D4)="","",CEILING(K4*UnitPoint_Effort_Rate*10/5,1)*5/10)</f>
        <v/>
      </c>
      <c r="M4" s="239"/>
      <c r="N4" s="300" t="str">
        <f t="shared" ref="N4:N33" si="5">IF(TRIM($D4)="","",CEILING(M4*UnitPoint_Effort_Rate*10/5,1)*5/10)</f>
        <v/>
      </c>
      <c r="O4" s="239"/>
      <c r="P4" s="300" t="str">
        <f t="shared" ref="P4:P33" si="6">IF(TRIM($D4)="","",CEILING(O4*UnitPoint_Effort_Rate*10/5,1)*5/10)</f>
        <v/>
      </c>
      <c r="Q4" s="168"/>
      <c r="S4"/>
      <c r="T4"/>
      <c r="U4"/>
      <c r="V4"/>
      <c r="W4"/>
      <c r="X4"/>
      <c r="Y4"/>
      <c r="Z4"/>
      <c r="AA4"/>
    </row>
    <row r="5" spans="2:27">
      <c r="B5" s="160">
        <f t="shared" si="0"/>
        <v>2</v>
      </c>
      <c r="C5" s="190"/>
      <c r="D5" s="199"/>
      <c r="E5" s="240"/>
      <c r="F5" s="170" t="str">
        <f t="shared" si="1"/>
        <v/>
      </c>
      <c r="G5" s="242"/>
      <c r="H5" s="170" t="str">
        <f t="shared" si="2"/>
        <v/>
      </c>
      <c r="I5" s="241"/>
      <c r="J5" s="170" t="str">
        <f t="shared" si="3"/>
        <v/>
      </c>
      <c r="K5" s="242"/>
      <c r="L5" s="170" t="str">
        <f t="shared" si="4"/>
        <v/>
      </c>
      <c r="M5" s="242"/>
      <c r="N5" s="170" t="str">
        <f t="shared" si="5"/>
        <v/>
      </c>
      <c r="O5" s="242"/>
      <c r="P5" s="170" t="str">
        <f t="shared" si="6"/>
        <v/>
      </c>
      <c r="Q5" s="172"/>
      <c r="S5"/>
      <c r="T5"/>
      <c r="U5"/>
      <c r="V5"/>
      <c r="W5"/>
      <c r="X5"/>
      <c r="Y5"/>
      <c r="Z5"/>
      <c r="AA5"/>
    </row>
    <row r="6" spans="2:27">
      <c r="B6" s="162">
        <f t="shared" si="0"/>
        <v>3</v>
      </c>
      <c r="C6" s="189"/>
      <c r="D6" s="201"/>
      <c r="E6" s="243"/>
      <c r="F6" s="170" t="str">
        <f t="shared" si="1"/>
        <v/>
      </c>
      <c r="G6" s="245"/>
      <c r="H6" s="170" t="str">
        <f t="shared" si="2"/>
        <v/>
      </c>
      <c r="I6" s="244"/>
      <c r="J6" s="170" t="str">
        <f t="shared" si="3"/>
        <v/>
      </c>
      <c r="K6" s="245"/>
      <c r="L6" s="170" t="str">
        <f t="shared" si="4"/>
        <v/>
      </c>
      <c r="M6" s="245"/>
      <c r="N6" s="170" t="str">
        <f t="shared" si="5"/>
        <v/>
      </c>
      <c r="O6" s="245"/>
      <c r="P6" s="170" t="str">
        <f t="shared" si="6"/>
        <v/>
      </c>
      <c r="Q6" s="175"/>
      <c r="S6"/>
      <c r="T6"/>
      <c r="U6"/>
      <c r="V6"/>
      <c r="W6"/>
      <c r="X6"/>
      <c r="Y6"/>
      <c r="Z6"/>
      <c r="AA6"/>
    </row>
    <row r="7" spans="2:27">
      <c r="B7" s="160">
        <f t="shared" si="0"/>
        <v>4</v>
      </c>
      <c r="C7" s="190"/>
      <c r="D7" s="199"/>
      <c r="E7" s="240"/>
      <c r="F7" s="170" t="str">
        <f t="shared" si="1"/>
        <v/>
      </c>
      <c r="G7" s="242"/>
      <c r="H7" s="170" t="str">
        <f t="shared" si="2"/>
        <v/>
      </c>
      <c r="I7" s="241"/>
      <c r="J7" s="170" t="str">
        <f t="shared" si="3"/>
        <v/>
      </c>
      <c r="K7" s="242"/>
      <c r="L7" s="170" t="str">
        <f t="shared" si="4"/>
        <v/>
      </c>
      <c r="M7" s="242"/>
      <c r="N7" s="170" t="str">
        <f t="shared" si="5"/>
        <v/>
      </c>
      <c r="O7" s="242"/>
      <c r="P7" s="170" t="str">
        <f t="shared" si="6"/>
        <v/>
      </c>
      <c r="Q7" s="172"/>
      <c r="S7"/>
      <c r="T7"/>
      <c r="U7"/>
      <c r="V7"/>
      <c r="W7"/>
      <c r="X7"/>
      <c r="Y7"/>
      <c r="Z7"/>
      <c r="AA7"/>
    </row>
    <row r="8" spans="2:27">
      <c r="B8" s="162">
        <f t="shared" si="0"/>
        <v>5</v>
      </c>
      <c r="C8" s="163"/>
      <c r="D8" s="201"/>
      <c r="E8" s="243"/>
      <c r="F8" s="170" t="str">
        <f t="shared" si="1"/>
        <v/>
      </c>
      <c r="G8" s="245"/>
      <c r="H8" s="170" t="str">
        <f t="shared" si="2"/>
        <v/>
      </c>
      <c r="I8" s="244"/>
      <c r="J8" s="170" t="str">
        <f t="shared" si="3"/>
        <v/>
      </c>
      <c r="K8" s="245"/>
      <c r="L8" s="170" t="str">
        <f t="shared" si="4"/>
        <v/>
      </c>
      <c r="M8" s="245"/>
      <c r="N8" s="170" t="str">
        <f t="shared" si="5"/>
        <v/>
      </c>
      <c r="O8" s="245"/>
      <c r="P8" s="170" t="str">
        <f t="shared" si="6"/>
        <v/>
      </c>
      <c r="Q8" s="175"/>
      <c r="S8"/>
      <c r="T8"/>
      <c r="U8"/>
      <c r="V8"/>
      <c r="W8"/>
      <c r="X8"/>
      <c r="Y8"/>
      <c r="Z8"/>
      <c r="AA8"/>
    </row>
    <row r="9" spans="2:27">
      <c r="B9" s="160">
        <f t="shared" si="0"/>
        <v>6</v>
      </c>
      <c r="C9" s="190"/>
      <c r="D9" s="203"/>
      <c r="E9" s="240"/>
      <c r="F9" s="170" t="str">
        <f t="shared" si="1"/>
        <v/>
      </c>
      <c r="G9" s="242"/>
      <c r="H9" s="170" t="str">
        <f t="shared" si="2"/>
        <v/>
      </c>
      <c r="I9" s="241"/>
      <c r="J9" s="170" t="str">
        <f t="shared" si="3"/>
        <v/>
      </c>
      <c r="K9" s="242"/>
      <c r="L9" s="170" t="str">
        <f t="shared" si="4"/>
        <v/>
      </c>
      <c r="M9" s="242"/>
      <c r="N9" s="170" t="str">
        <f t="shared" si="5"/>
        <v/>
      </c>
      <c r="O9" s="242"/>
      <c r="P9" s="170" t="str">
        <f t="shared" si="6"/>
        <v/>
      </c>
      <c r="Q9" s="172"/>
      <c r="S9"/>
      <c r="T9"/>
      <c r="U9"/>
      <c r="V9"/>
      <c r="W9"/>
      <c r="X9"/>
      <c r="Y9"/>
      <c r="Z9"/>
      <c r="AA9"/>
    </row>
    <row r="10" spans="2:27">
      <c r="B10" s="162">
        <f t="shared" si="0"/>
        <v>7</v>
      </c>
      <c r="C10" s="189"/>
      <c r="D10" s="201"/>
      <c r="E10" s="243"/>
      <c r="F10" s="170" t="str">
        <f t="shared" si="1"/>
        <v/>
      </c>
      <c r="G10" s="245"/>
      <c r="H10" s="170" t="str">
        <f t="shared" si="2"/>
        <v/>
      </c>
      <c r="I10" s="244"/>
      <c r="J10" s="170" t="str">
        <f t="shared" si="3"/>
        <v/>
      </c>
      <c r="K10" s="245"/>
      <c r="L10" s="170" t="str">
        <f t="shared" si="4"/>
        <v/>
      </c>
      <c r="M10" s="245"/>
      <c r="N10" s="170" t="str">
        <f t="shared" si="5"/>
        <v/>
      </c>
      <c r="O10" s="245"/>
      <c r="P10" s="170" t="str">
        <f t="shared" si="6"/>
        <v/>
      </c>
      <c r="Q10" s="175"/>
      <c r="S10"/>
      <c r="T10"/>
      <c r="U10"/>
      <c r="V10"/>
      <c r="W10"/>
      <c r="X10"/>
      <c r="Y10"/>
      <c r="Z10"/>
      <c r="AA10"/>
    </row>
    <row r="11" spans="2:27">
      <c r="B11" s="160">
        <f t="shared" si="0"/>
        <v>8</v>
      </c>
      <c r="C11" s="190"/>
      <c r="D11" s="199"/>
      <c r="E11" s="240"/>
      <c r="F11" s="170" t="str">
        <f t="shared" si="1"/>
        <v/>
      </c>
      <c r="G11" s="242"/>
      <c r="H11" s="170" t="str">
        <f t="shared" si="2"/>
        <v/>
      </c>
      <c r="I11" s="241"/>
      <c r="J11" s="170" t="str">
        <f t="shared" si="3"/>
        <v/>
      </c>
      <c r="K11" s="242"/>
      <c r="L11" s="170" t="str">
        <f t="shared" si="4"/>
        <v/>
      </c>
      <c r="M11" s="242"/>
      <c r="N11" s="170" t="str">
        <f t="shared" si="5"/>
        <v/>
      </c>
      <c r="O11" s="242"/>
      <c r="P11" s="170" t="str">
        <f t="shared" si="6"/>
        <v/>
      </c>
      <c r="Q11" s="172"/>
      <c r="S11"/>
      <c r="T11"/>
      <c r="U11"/>
      <c r="V11"/>
      <c r="W11"/>
      <c r="X11"/>
      <c r="Y11"/>
      <c r="Z11"/>
      <c r="AA11"/>
    </row>
    <row r="12" spans="2:27">
      <c r="B12" s="162">
        <f t="shared" si="0"/>
        <v>9</v>
      </c>
      <c r="C12" s="191"/>
      <c r="D12" s="204"/>
      <c r="E12" s="243"/>
      <c r="F12" s="170" t="str">
        <f t="shared" si="1"/>
        <v/>
      </c>
      <c r="G12" s="245"/>
      <c r="H12" s="170" t="str">
        <f t="shared" si="2"/>
        <v/>
      </c>
      <c r="I12" s="244"/>
      <c r="J12" s="170" t="str">
        <f t="shared" si="3"/>
        <v/>
      </c>
      <c r="K12" s="245"/>
      <c r="L12" s="170" t="str">
        <f t="shared" si="4"/>
        <v/>
      </c>
      <c r="M12" s="245"/>
      <c r="N12" s="170" t="str">
        <f t="shared" si="5"/>
        <v/>
      </c>
      <c r="O12" s="245"/>
      <c r="P12" s="170" t="str">
        <f t="shared" si="6"/>
        <v/>
      </c>
      <c r="Q12" s="175"/>
    </row>
    <row r="13" spans="2:27">
      <c r="B13" s="160">
        <f t="shared" si="0"/>
        <v>10</v>
      </c>
      <c r="C13" s="190"/>
      <c r="D13" s="199"/>
      <c r="E13" s="240"/>
      <c r="F13" s="170" t="str">
        <f t="shared" si="1"/>
        <v/>
      </c>
      <c r="G13" s="242"/>
      <c r="H13" s="170" t="str">
        <f t="shared" si="2"/>
        <v/>
      </c>
      <c r="I13" s="241"/>
      <c r="J13" s="170" t="str">
        <f t="shared" si="3"/>
        <v/>
      </c>
      <c r="K13" s="242"/>
      <c r="L13" s="170" t="str">
        <f t="shared" si="4"/>
        <v/>
      </c>
      <c r="M13" s="242"/>
      <c r="N13" s="170" t="str">
        <f t="shared" si="5"/>
        <v/>
      </c>
      <c r="O13" s="242"/>
      <c r="P13" s="170" t="str">
        <f t="shared" si="6"/>
        <v/>
      </c>
      <c r="Q13" s="172"/>
    </row>
    <row r="14" spans="2:27">
      <c r="B14" s="162">
        <f t="shared" si="0"/>
        <v>11</v>
      </c>
      <c r="C14" s="189"/>
      <c r="D14" s="201"/>
      <c r="E14" s="243"/>
      <c r="F14" s="170" t="str">
        <f t="shared" si="1"/>
        <v/>
      </c>
      <c r="G14" s="245"/>
      <c r="H14" s="170" t="str">
        <f t="shared" si="2"/>
        <v/>
      </c>
      <c r="I14" s="244"/>
      <c r="J14" s="170" t="str">
        <f t="shared" si="3"/>
        <v/>
      </c>
      <c r="K14" s="245"/>
      <c r="L14" s="170" t="str">
        <f t="shared" si="4"/>
        <v/>
      </c>
      <c r="M14" s="245"/>
      <c r="N14" s="170" t="str">
        <f t="shared" si="5"/>
        <v/>
      </c>
      <c r="O14" s="245"/>
      <c r="P14" s="170" t="str">
        <f t="shared" si="6"/>
        <v/>
      </c>
      <c r="Q14" s="175"/>
    </row>
    <row r="15" spans="2:27">
      <c r="B15" s="160">
        <f t="shared" si="0"/>
        <v>12</v>
      </c>
      <c r="C15" s="190"/>
      <c r="D15" s="199"/>
      <c r="E15" s="240"/>
      <c r="F15" s="170" t="str">
        <f t="shared" si="1"/>
        <v/>
      </c>
      <c r="G15" s="242"/>
      <c r="H15" s="170" t="str">
        <f t="shared" si="2"/>
        <v/>
      </c>
      <c r="I15" s="241"/>
      <c r="J15" s="170" t="str">
        <f t="shared" si="3"/>
        <v/>
      </c>
      <c r="K15" s="242"/>
      <c r="L15" s="170" t="str">
        <f t="shared" si="4"/>
        <v/>
      </c>
      <c r="M15" s="242"/>
      <c r="N15" s="170" t="str">
        <f t="shared" si="5"/>
        <v/>
      </c>
      <c r="O15" s="242"/>
      <c r="P15" s="170" t="str">
        <f t="shared" si="6"/>
        <v/>
      </c>
      <c r="Q15" s="172"/>
    </row>
    <row r="16" spans="2:27">
      <c r="B16" s="162">
        <f t="shared" si="0"/>
        <v>13</v>
      </c>
      <c r="C16" s="189"/>
      <c r="D16" s="189"/>
      <c r="E16" s="243"/>
      <c r="F16" s="170" t="str">
        <f t="shared" si="1"/>
        <v/>
      </c>
      <c r="G16" s="245"/>
      <c r="H16" s="170" t="str">
        <f t="shared" si="2"/>
        <v/>
      </c>
      <c r="I16" s="244"/>
      <c r="J16" s="170" t="str">
        <f t="shared" si="3"/>
        <v/>
      </c>
      <c r="K16" s="245"/>
      <c r="L16" s="170" t="str">
        <f t="shared" si="4"/>
        <v/>
      </c>
      <c r="M16" s="245"/>
      <c r="N16" s="170" t="str">
        <f t="shared" si="5"/>
        <v/>
      </c>
      <c r="O16" s="245"/>
      <c r="P16" s="170" t="str">
        <f t="shared" si="6"/>
        <v/>
      </c>
      <c r="Q16" s="175"/>
    </row>
    <row r="17" spans="2:17">
      <c r="B17" s="160">
        <f t="shared" si="0"/>
        <v>14</v>
      </c>
      <c r="C17" s="190"/>
      <c r="D17" s="190"/>
      <c r="E17" s="240"/>
      <c r="F17" s="170" t="str">
        <f t="shared" si="1"/>
        <v/>
      </c>
      <c r="G17" s="242"/>
      <c r="H17" s="170" t="str">
        <f t="shared" si="2"/>
        <v/>
      </c>
      <c r="I17" s="241"/>
      <c r="J17" s="170" t="str">
        <f t="shared" si="3"/>
        <v/>
      </c>
      <c r="K17" s="242"/>
      <c r="L17" s="170" t="str">
        <f t="shared" si="4"/>
        <v/>
      </c>
      <c r="M17" s="242"/>
      <c r="N17" s="170" t="str">
        <f t="shared" si="5"/>
        <v/>
      </c>
      <c r="O17" s="242"/>
      <c r="P17" s="170" t="str">
        <f t="shared" si="6"/>
        <v/>
      </c>
      <c r="Q17" s="172"/>
    </row>
    <row r="18" spans="2:17">
      <c r="B18" s="162">
        <f t="shared" si="0"/>
        <v>15</v>
      </c>
      <c r="C18" s="189"/>
      <c r="D18" s="189"/>
      <c r="E18" s="243"/>
      <c r="F18" s="170" t="str">
        <f t="shared" si="1"/>
        <v/>
      </c>
      <c r="G18" s="245"/>
      <c r="H18" s="170" t="str">
        <f t="shared" si="2"/>
        <v/>
      </c>
      <c r="I18" s="244"/>
      <c r="J18" s="170" t="str">
        <f t="shared" si="3"/>
        <v/>
      </c>
      <c r="K18" s="245"/>
      <c r="L18" s="170" t="str">
        <f t="shared" si="4"/>
        <v/>
      </c>
      <c r="M18" s="245"/>
      <c r="N18" s="170" t="str">
        <f t="shared" si="5"/>
        <v/>
      </c>
      <c r="O18" s="245"/>
      <c r="P18" s="170" t="str">
        <f t="shared" si="6"/>
        <v/>
      </c>
      <c r="Q18" s="175"/>
    </row>
    <row r="19" spans="2:17">
      <c r="B19" s="160">
        <f t="shared" si="0"/>
        <v>16</v>
      </c>
      <c r="C19" s="190"/>
      <c r="D19" s="190"/>
      <c r="E19" s="240"/>
      <c r="F19" s="170" t="str">
        <f t="shared" si="1"/>
        <v/>
      </c>
      <c r="G19" s="242"/>
      <c r="H19" s="170" t="str">
        <f t="shared" si="2"/>
        <v/>
      </c>
      <c r="I19" s="241"/>
      <c r="J19" s="170" t="str">
        <f t="shared" si="3"/>
        <v/>
      </c>
      <c r="K19" s="242"/>
      <c r="L19" s="170" t="str">
        <f t="shared" si="4"/>
        <v/>
      </c>
      <c r="M19" s="242"/>
      <c r="N19" s="170" t="str">
        <f t="shared" si="5"/>
        <v/>
      </c>
      <c r="O19" s="242"/>
      <c r="P19" s="170" t="str">
        <f t="shared" si="6"/>
        <v/>
      </c>
      <c r="Q19" s="172"/>
    </row>
    <row r="20" spans="2:17">
      <c r="B20" s="162">
        <f t="shared" si="0"/>
        <v>17</v>
      </c>
      <c r="C20" s="189"/>
      <c r="D20" s="189"/>
      <c r="E20" s="243"/>
      <c r="F20" s="170" t="str">
        <f t="shared" si="1"/>
        <v/>
      </c>
      <c r="G20" s="245"/>
      <c r="H20" s="170" t="str">
        <f t="shared" si="2"/>
        <v/>
      </c>
      <c r="I20" s="244"/>
      <c r="J20" s="170" t="str">
        <f t="shared" si="3"/>
        <v/>
      </c>
      <c r="K20" s="245"/>
      <c r="L20" s="170" t="str">
        <f t="shared" si="4"/>
        <v/>
      </c>
      <c r="M20" s="245"/>
      <c r="N20" s="170" t="str">
        <f t="shared" si="5"/>
        <v/>
      </c>
      <c r="O20" s="245"/>
      <c r="P20" s="170" t="str">
        <f t="shared" si="6"/>
        <v/>
      </c>
      <c r="Q20" s="175"/>
    </row>
    <row r="21" spans="2:17">
      <c r="B21" s="160">
        <f t="shared" si="0"/>
        <v>18</v>
      </c>
      <c r="C21" s="190"/>
      <c r="D21" s="190"/>
      <c r="E21" s="240"/>
      <c r="F21" s="170" t="str">
        <f t="shared" si="1"/>
        <v/>
      </c>
      <c r="G21" s="242"/>
      <c r="H21" s="170" t="str">
        <f t="shared" si="2"/>
        <v/>
      </c>
      <c r="I21" s="241"/>
      <c r="J21" s="170" t="str">
        <f t="shared" si="3"/>
        <v/>
      </c>
      <c r="K21" s="242"/>
      <c r="L21" s="170" t="str">
        <f t="shared" si="4"/>
        <v/>
      </c>
      <c r="M21" s="242"/>
      <c r="N21" s="170" t="str">
        <f t="shared" si="5"/>
        <v/>
      </c>
      <c r="O21" s="242"/>
      <c r="P21" s="170" t="str">
        <f t="shared" si="6"/>
        <v/>
      </c>
      <c r="Q21" s="172"/>
    </row>
    <row r="22" spans="2:17">
      <c r="B22" s="162">
        <f t="shared" si="0"/>
        <v>19</v>
      </c>
      <c r="C22" s="191"/>
      <c r="D22" s="191"/>
      <c r="E22" s="243"/>
      <c r="F22" s="170" t="str">
        <f t="shared" si="1"/>
        <v/>
      </c>
      <c r="G22" s="245"/>
      <c r="H22" s="170" t="str">
        <f t="shared" si="2"/>
        <v/>
      </c>
      <c r="I22" s="244"/>
      <c r="J22" s="170" t="str">
        <f t="shared" si="3"/>
        <v/>
      </c>
      <c r="K22" s="245"/>
      <c r="L22" s="170" t="str">
        <f t="shared" si="4"/>
        <v/>
      </c>
      <c r="M22" s="245"/>
      <c r="N22" s="170" t="str">
        <f t="shared" si="5"/>
        <v/>
      </c>
      <c r="O22" s="245"/>
      <c r="P22" s="170" t="str">
        <f t="shared" si="6"/>
        <v/>
      </c>
      <c r="Q22" s="175"/>
    </row>
    <row r="23" spans="2:17">
      <c r="B23" s="160">
        <f t="shared" si="0"/>
        <v>20</v>
      </c>
      <c r="C23" s="190"/>
      <c r="D23" s="190"/>
      <c r="E23" s="240"/>
      <c r="F23" s="170" t="str">
        <f t="shared" si="1"/>
        <v/>
      </c>
      <c r="G23" s="242"/>
      <c r="H23" s="170" t="str">
        <f t="shared" si="2"/>
        <v/>
      </c>
      <c r="I23" s="241"/>
      <c r="J23" s="170" t="str">
        <f t="shared" si="3"/>
        <v/>
      </c>
      <c r="K23" s="242"/>
      <c r="L23" s="170" t="str">
        <f t="shared" si="4"/>
        <v/>
      </c>
      <c r="M23" s="242"/>
      <c r="N23" s="170" t="str">
        <f t="shared" si="5"/>
        <v/>
      </c>
      <c r="O23" s="242"/>
      <c r="P23" s="170" t="str">
        <f t="shared" si="6"/>
        <v/>
      </c>
      <c r="Q23" s="172"/>
    </row>
    <row r="24" spans="2:17">
      <c r="B24" s="162">
        <f t="shared" si="0"/>
        <v>21</v>
      </c>
      <c r="C24" s="189"/>
      <c r="D24" s="189"/>
      <c r="E24" s="243"/>
      <c r="F24" s="170" t="str">
        <f t="shared" si="1"/>
        <v/>
      </c>
      <c r="G24" s="245"/>
      <c r="H24" s="170" t="str">
        <f t="shared" si="2"/>
        <v/>
      </c>
      <c r="I24" s="244"/>
      <c r="J24" s="170" t="str">
        <f t="shared" si="3"/>
        <v/>
      </c>
      <c r="K24" s="245"/>
      <c r="L24" s="170" t="str">
        <f t="shared" si="4"/>
        <v/>
      </c>
      <c r="M24" s="245"/>
      <c r="N24" s="170" t="str">
        <f t="shared" si="5"/>
        <v/>
      </c>
      <c r="O24" s="245"/>
      <c r="P24" s="170" t="str">
        <f t="shared" si="6"/>
        <v/>
      </c>
      <c r="Q24" s="175"/>
    </row>
    <row r="25" spans="2:17">
      <c r="B25" s="160">
        <f t="shared" si="0"/>
        <v>22</v>
      </c>
      <c r="C25" s="190"/>
      <c r="D25" s="190"/>
      <c r="E25" s="240"/>
      <c r="F25" s="170" t="str">
        <f t="shared" si="1"/>
        <v/>
      </c>
      <c r="G25" s="242"/>
      <c r="H25" s="170" t="str">
        <f t="shared" si="2"/>
        <v/>
      </c>
      <c r="I25" s="241"/>
      <c r="J25" s="170" t="str">
        <f t="shared" si="3"/>
        <v/>
      </c>
      <c r="K25" s="242"/>
      <c r="L25" s="170" t="str">
        <f t="shared" si="4"/>
        <v/>
      </c>
      <c r="M25" s="242"/>
      <c r="N25" s="170" t="str">
        <f t="shared" si="5"/>
        <v/>
      </c>
      <c r="O25" s="242"/>
      <c r="P25" s="170" t="str">
        <f t="shared" si="6"/>
        <v/>
      </c>
      <c r="Q25" s="172"/>
    </row>
    <row r="26" spans="2:17">
      <c r="B26" s="162">
        <f t="shared" si="0"/>
        <v>23</v>
      </c>
      <c r="C26" s="189"/>
      <c r="D26" s="189"/>
      <c r="E26" s="243"/>
      <c r="F26" s="170" t="str">
        <f t="shared" si="1"/>
        <v/>
      </c>
      <c r="G26" s="245"/>
      <c r="H26" s="170" t="str">
        <f t="shared" si="2"/>
        <v/>
      </c>
      <c r="I26" s="244"/>
      <c r="J26" s="170" t="str">
        <f t="shared" si="3"/>
        <v/>
      </c>
      <c r="K26" s="245"/>
      <c r="L26" s="170" t="str">
        <f t="shared" si="4"/>
        <v/>
      </c>
      <c r="M26" s="245"/>
      <c r="N26" s="170" t="str">
        <f t="shared" si="5"/>
        <v/>
      </c>
      <c r="O26" s="245"/>
      <c r="P26" s="170" t="str">
        <f t="shared" si="6"/>
        <v/>
      </c>
      <c r="Q26" s="175"/>
    </row>
    <row r="27" spans="2:17">
      <c r="B27" s="160">
        <f t="shared" si="0"/>
        <v>24</v>
      </c>
      <c r="C27" s="190"/>
      <c r="D27" s="190"/>
      <c r="E27" s="240"/>
      <c r="F27" s="170" t="str">
        <f t="shared" si="1"/>
        <v/>
      </c>
      <c r="G27" s="242"/>
      <c r="H27" s="170" t="str">
        <f t="shared" si="2"/>
        <v/>
      </c>
      <c r="I27" s="241"/>
      <c r="J27" s="170" t="str">
        <f t="shared" si="3"/>
        <v/>
      </c>
      <c r="K27" s="242"/>
      <c r="L27" s="170" t="str">
        <f t="shared" si="4"/>
        <v/>
      </c>
      <c r="M27" s="242"/>
      <c r="N27" s="170" t="str">
        <f t="shared" si="5"/>
        <v/>
      </c>
      <c r="O27" s="242"/>
      <c r="P27" s="170" t="str">
        <f t="shared" si="6"/>
        <v/>
      </c>
      <c r="Q27" s="172"/>
    </row>
    <row r="28" spans="2:17">
      <c r="B28" s="162">
        <f t="shared" si="0"/>
        <v>25</v>
      </c>
      <c r="C28" s="189"/>
      <c r="D28" s="189"/>
      <c r="E28" s="243"/>
      <c r="F28" s="170" t="str">
        <f t="shared" si="1"/>
        <v/>
      </c>
      <c r="G28" s="245"/>
      <c r="H28" s="170" t="str">
        <f t="shared" si="2"/>
        <v/>
      </c>
      <c r="I28" s="244"/>
      <c r="J28" s="170" t="str">
        <f t="shared" si="3"/>
        <v/>
      </c>
      <c r="K28" s="245"/>
      <c r="L28" s="170" t="str">
        <f t="shared" si="4"/>
        <v/>
      </c>
      <c r="M28" s="245"/>
      <c r="N28" s="170" t="str">
        <f t="shared" si="5"/>
        <v/>
      </c>
      <c r="O28" s="245"/>
      <c r="P28" s="170" t="str">
        <f t="shared" si="6"/>
        <v/>
      </c>
      <c r="Q28" s="175"/>
    </row>
    <row r="29" spans="2:17">
      <c r="B29" s="160">
        <f t="shared" si="0"/>
        <v>26</v>
      </c>
      <c r="C29" s="190"/>
      <c r="D29" s="190"/>
      <c r="E29" s="240"/>
      <c r="F29" s="170" t="str">
        <f t="shared" si="1"/>
        <v/>
      </c>
      <c r="G29" s="242"/>
      <c r="H29" s="170" t="str">
        <f t="shared" si="2"/>
        <v/>
      </c>
      <c r="I29" s="241"/>
      <c r="J29" s="170" t="str">
        <f t="shared" si="3"/>
        <v/>
      </c>
      <c r="K29" s="242"/>
      <c r="L29" s="170" t="str">
        <f t="shared" si="4"/>
        <v/>
      </c>
      <c r="M29" s="242"/>
      <c r="N29" s="170" t="str">
        <f t="shared" si="5"/>
        <v/>
      </c>
      <c r="O29" s="242"/>
      <c r="P29" s="170" t="str">
        <f t="shared" si="6"/>
        <v/>
      </c>
      <c r="Q29" s="172"/>
    </row>
    <row r="30" spans="2:17">
      <c r="B30" s="162">
        <f t="shared" si="0"/>
        <v>27</v>
      </c>
      <c r="C30" s="189"/>
      <c r="D30" s="189"/>
      <c r="E30" s="243"/>
      <c r="F30" s="170" t="str">
        <f t="shared" si="1"/>
        <v/>
      </c>
      <c r="G30" s="245"/>
      <c r="H30" s="170" t="str">
        <f t="shared" si="2"/>
        <v/>
      </c>
      <c r="I30" s="244"/>
      <c r="J30" s="170" t="str">
        <f t="shared" si="3"/>
        <v/>
      </c>
      <c r="K30" s="245"/>
      <c r="L30" s="170" t="str">
        <f t="shared" si="4"/>
        <v/>
      </c>
      <c r="M30" s="245"/>
      <c r="N30" s="170" t="str">
        <f t="shared" si="5"/>
        <v/>
      </c>
      <c r="O30" s="245"/>
      <c r="P30" s="170" t="str">
        <f t="shared" si="6"/>
        <v/>
      </c>
      <c r="Q30" s="175"/>
    </row>
    <row r="31" spans="2:17">
      <c r="B31" s="160">
        <f t="shared" si="0"/>
        <v>28</v>
      </c>
      <c r="C31" s="190"/>
      <c r="D31" s="190"/>
      <c r="E31" s="240"/>
      <c r="F31" s="170" t="str">
        <f t="shared" si="1"/>
        <v/>
      </c>
      <c r="G31" s="242"/>
      <c r="H31" s="170" t="str">
        <f t="shared" si="2"/>
        <v/>
      </c>
      <c r="I31" s="241"/>
      <c r="J31" s="170" t="str">
        <f t="shared" si="3"/>
        <v/>
      </c>
      <c r="K31" s="242"/>
      <c r="L31" s="170" t="str">
        <f t="shared" si="4"/>
        <v/>
      </c>
      <c r="M31" s="242"/>
      <c r="N31" s="170" t="str">
        <f t="shared" si="5"/>
        <v/>
      </c>
      <c r="O31" s="242"/>
      <c r="P31" s="170" t="str">
        <f t="shared" si="6"/>
        <v/>
      </c>
      <c r="Q31" s="172"/>
    </row>
    <row r="32" spans="2:17">
      <c r="B32" s="162">
        <f t="shared" si="0"/>
        <v>29</v>
      </c>
      <c r="C32" s="191"/>
      <c r="D32" s="191"/>
      <c r="E32" s="243"/>
      <c r="F32" s="170" t="str">
        <f t="shared" si="1"/>
        <v/>
      </c>
      <c r="G32" s="245"/>
      <c r="H32" s="170" t="str">
        <f t="shared" si="2"/>
        <v/>
      </c>
      <c r="I32" s="244"/>
      <c r="J32" s="170" t="str">
        <f t="shared" si="3"/>
        <v/>
      </c>
      <c r="K32" s="245"/>
      <c r="L32" s="170" t="str">
        <f t="shared" si="4"/>
        <v/>
      </c>
      <c r="M32" s="245"/>
      <c r="N32" s="170" t="str">
        <f t="shared" si="5"/>
        <v/>
      </c>
      <c r="O32" s="245"/>
      <c r="P32" s="170" t="str">
        <f t="shared" si="6"/>
        <v/>
      </c>
      <c r="Q32" s="175"/>
    </row>
    <row r="33" spans="2:17" ht="15.75" thickBot="1">
      <c r="B33" s="192">
        <f t="shared" si="0"/>
        <v>30</v>
      </c>
      <c r="C33" s="193"/>
      <c r="D33" s="193"/>
      <c r="E33" s="246"/>
      <c r="F33" s="178" t="str">
        <f t="shared" si="1"/>
        <v/>
      </c>
      <c r="G33" s="248"/>
      <c r="H33" s="178" t="str">
        <f t="shared" si="2"/>
        <v/>
      </c>
      <c r="I33" s="247"/>
      <c r="J33" s="178" t="str">
        <f t="shared" si="3"/>
        <v/>
      </c>
      <c r="K33" s="248"/>
      <c r="L33" s="178" t="str">
        <f t="shared" si="4"/>
        <v/>
      </c>
      <c r="M33" s="248"/>
      <c r="N33" s="178" t="str">
        <f t="shared" si="5"/>
        <v/>
      </c>
      <c r="O33" s="248"/>
      <c r="P33" s="178" t="str">
        <f t="shared" si="6"/>
        <v/>
      </c>
      <c r="Q33" s="180"/>
    </row>
    <row r="34" spans="2:17">
      <c r="B34" s="137"/>
      <c r="C34" s="137"/>
      <c r="D34" s="137"/>
      <c r="E34" s="137"/>
      <c r="F34" s="137"/>
      <c r="G34" s="137"/>
      <c r="H34" s="137"/>
      <c r="I34" s="137"/>
      <c r="J34" s="137"/>
      <c r="K34" s="137"/>
      <c r="L34" s="137"/>
      <c r="M34" s="137"/>
      <c r="N34" s="137"/>
      <c r="O34" s="137"/>
      <c r="P34" s="137"/>
      <c r="Q34" s="137"/>
    </row>
  </sheetData>
  <protectedRanges>
    <protectedRange sqref="Q4:Q33" name="Range2"/>
    <protectedRange sqref="C4:D33" name="Range1"/>
  </protectedRanges>
  <mergeCells count="1">
    <mergeCell ref="B1:Q1"/>
  </mergeCells>
  <phoneticPr fontId="3"/>
  <conditionalFormatting sqref="B4:E33 G4:G33 I4:I33 K4:K33 M4:M33 O4:O33 Q4:Q33">
    <cfRule type="expression" dxfId="48" priority="1" stopIfTrue="1">
      <formula>MOD(ROW(),2)=0</formula>
    </cfRule>
    <cfRule type="expression" dxfId="47" priority="2" stopIfTrue="1">
      <formula>MOD(ROW(),2)=1</formula>
    </cfRule>
  </conditionalFormatting>
  <conditionalFormatting sqref="F4:F33 H4:H33 J4:J33 L4:L33 N4:N33 P4:P33">
    <cfRule type="expression" dxfId="46" priority="3" stopIfTrue="1">
      <formula>MOD(ROW(),2)=0</formula>
    </cfRule>
    <cfRule type="expression" dxfId="45" priority="4" stopIfTrue="1">
      <formula>MOD(ROW(),2)=1</formula>
    </cfRule>
  </conditionalFormatting>
  <printOptions horizontalCentered="1"/>
  <pageMargins left="0.59055118110236227" right="0.39370078740157483" top="0.39370078740157483" bottom="0.39370078740157483" header="0.51181102362204722" footer="0.51181102362204722"/>
  <pageSetup paperSize="9"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sheetPr codeName="Sheet12">
    <tabColor indexed="22"/>
  </sheetPr>
  <dimension ref="B1:AK92"/>
  <sheetViews>
    <sheetView zoomScale="85" zoomScaleNormal="85" workbookViewId="0">
      <selection activeCell="J21" sqref="J21"/>
    </sheetView>
  </sheetViews>
  <sheetFormatPr defaultRowHeight="12.75"/>
  <cols>
    <col min="1" max="1" width="2.5" style="18" customWidth="1"/>
    <col min="2" max="2" width="18.75" style="18" customWidth="1"/>
    <col min="3" max="6" width="8.75" style="18" customWidth="1"/>
    <col min="7" max="7" width="8.75" style="19" customWidth="1"/>
    <col min="8" max="8" width="8.75" style="18" customWidth="1"/>
    <col min="9" max="9" width="9.125" style="18" customWidth="1"/>
    <col min="10" max="16384" width="9" style="18"/>
  </cols>
  <sheetData>
    <row r="1" spans="2:37" ht="13.5" thickBot="1">
      <c r="Z1" s="666" t="s">
        <v>433</v>
      </c>
      <c r="AA1" s="666"/>
      <c r="AB1" s="666"/>
      <c r="AC1" s="666"/>
      <c r="AD1" s="666"/>
      <c r="AE1" s="666"/>
      <c r="AF1" s="666"/>
      <c r="AG1" s="666"/>
      <c r="AH1" s="666"/>
      <c r="AI1" s="666"/>
      <c r="AJ1" s="666"/>
      <c r="AK1" s="666"/>
    </row>
    <row r="2" spans="2:37">
      <c r="B2" s="91" t="s">
        <v>119</v>
      </c>
      <c r="C2" s="36" t="s">
        <v>4</v>
      </c>
      <c r="D2" s="40" t="s">
        <v>5</v>
      </c>
      <c r="E2" s="40" t="s">
        <v>28</v>
      </c>
      <c r="F2" s="93" t="s">
        <v>192</v>
      </c>
      <c r="G2" s="93" t="s">
        <v>17</v>
      </c>
      <c r="H2" s="93" t="s">
        <v>248</v>
      </c>
      <c r="I2" s="93" t="s">
        <v>246</v>
      </c>
      <c r="J2" s="41" t="s">
        <v>247</v>
      </c>
      <c r="N2" s="625" t="s">
        <v>382</v>
      </c>
      <c r="O2" s="626"/>
      <c r="P2" s="626"/>
      <c r="Q2" s="626"/>
      <c r="R2" s="626"/>
      <c r="S2" s="626"/>
      <c r="T2" s="626"/>
      <c r="U2" s="626"/>
      <c r="V2" s="627"/>
      <c r="Z2" s="450" t="s">
        <v>119</v>
      </c>
      <c r="AA2" s="451" t="s">
        <v>4</v>
      </c>
      <c r="AB2" s="452" t="s">
        <v>5</v>
      </c>
      <c r="AC2" s="452" t="s">
        <v>28</v>
      </c>
      <c r="AD2" s="453" t="s">
        <v>192</v>
      </c>
      <c r="AE2" s="453" t="s">
        <v>17</v>
      </c>
      <c r="AF2" s="453" t="s">
        <v>248</v>
      </c>
      <c r="AG2" s="453" t="s">
        <v>246</v>
      </c>
      <c r="AH2" s="454" t="s">
        <v>247</v>
      </c>
      <c r="AI2" s="448"/>
      <c r="AJ2" s="448"/>
    </row>
    <row r="3" spans="2:37">
      <c r="B3" s="335" t="s">
        <v>125</v>
      </c>
      <c r="C3" s="443">
        <v>2</v>
      </c>
      <c r="D3" s="444">
        <v>4</v>
      </c>
      <c r="E3" s="444">
        <v>80</v>
      </c>
      <c r="F3" s="445">
        <v>300</v>
      </c>
      <c r="G3" s="445">
        <v>800</v>
      </c>
      <c r="H3" s="445">
        <v>30</v>
      </c>
      <c r="I3" s="445">
        <v>20</v>
      </c>
      <c r="J3" s="446">
        <v>16</v>
      </c>
      <c r="N3" s="628" t="s">
        <v>383</v>
      </c>
      <c r="O3" s="623"/>
      <c r="P3" s="623"/>
      <c r="Q3" s="623"/>
      <c r="R3" s="623"/>
      <c r="S3" s="623"/>
      <c r="T3" s="623"/>
      <c r="U3" s="623"/>
      <c r="V3" s="624"/>
      <c r="Z3" s="455" t="s">
        <v>125</v>
      </c>
      <c r="AA3" s="516">
        <v>2</v>
      </c>
      <c r="AB3" s="517">
        <v>4</v>
      </c>
      <c r="AC3" s="517">
        <v>80</v>
      </c>
      <c r="AD3" s="518">
        <v>300</v>
      </c>
      <c r="AE3" s="518">
        <v>800</v>
      </c>
      <c r="AF3" s="518">
        <v>30</v>
      </c>
      <c r="AG3" s="518">
        <v>20</v>
      </c>
      <c r="AH3" s="519">
        <v>16</v>
      </c>
      <c r="AI3" s="448"/>
      <c r="AJ3" s="448"/>
    </row>
    <row r="4" spans="2:37" ht="13.5" thickBot="1">
      <c r="B4" s="92" t="s">
        <v>123</v>
      </c>
      <c r="C4" s="94">
        <v>4</v>
      </c>
      <c r="D4" s="42">
        <v>4</v>
      </c>
      <c r="E4" s="42">
        <v>4</v>
      </c>
      <c r="F4" s="42">
        <v>4</v>
      </c>
      <c r="G4" s="42">
        <v>4</v>
      </c>
      <c r="H4" s="42">
        <v>4</v>
      </c>
      <c r="I4" s="42">
        <v>4</v>
      </c>
      <c r="J4" s="43">
        <v>4</v>
      </c>
      <c r="N4" s="628" t="s">
        <v>386</v>
      </c>
      <c r="O4" s="623"/>
      <c r="P4" s="623"/>
      <c r="Q4" s="623"/>
      <c r="R4" s="623"/>
      <c r="S4" s="623"/>
      <c r="T4" s="623"/>
      <c r="U4" s="623"/>
      <c r="V4" s="624"/>
      <c r="Z4" s="456" t="s">
        <v>123</v>
      </c>
      <c r="AA4" s="457">
        <v>4</v>
      </c>
      <c r="AB4" s="458">
        <v>4</v>
      </c>
      <c r="AC4" s="458">
        <v>4</v>
      </c>
      <c r="AD4" s="458">
        <v>4</v>
      </c>
      <c r="AE4" s="458">
        <v>4</v>
      </c>
      <c r="AF4" s="458">
        <v>4</v>
      </c>
      <c r="AG4" s="458">
        <v>4</v>
      </c>
      <c r="AH4" s="459">
        <v>4</v>
      </c>
      <c r="AI4" s="448"/>
      <c r="AJ4" s="448"/>
    </row>
    <row r="5" spans="2:37" ht="13.5" thickBot="1">
      <c r="N5" s="633" t="s">
        <v>393</v>
      </c>
      <c r="O5" s="634"/>
      <c r="P5" s="634"/>
      <c r="Q5" s="634"/>
      <c r="R5" s="634"/>
      <c r="S5" s="634"/>
      <c r="T5" s="634"/>
      <c r="U5" s="634"/>
      <c r="V5" s="635"/>
      <c r="Z5" s="448"/>
      <c r="AA5" s="448"/>
      <c r="AB5" s="448"/>
      <c r="AC5" s="448"/>
      <c r="AD5" s="448"/>
      <c r="AE5" s="449"/>
      <c r="AF5" s="448"/>
      <c r="AG5" s="448"/>
      <c r="AH5" s="448"/>
      <c r="AI5" s="448"/>
      <c r="AJ5" s="448"/>
    </row>
    <row r="6" spans="2:37">
      <c r="B6" s="36" t="s">
        <v>116</v>
      </c>
      <c r="C6" s="37" t="s">
        <v>117</v>
      </c>
      <c r="E6" s="368" t="s">
        <v>119</v>
      </c>
      <c r="F6" s="369" t="s">
        <v>104</v>
      </c>
      <c r="G6" s="18"/>
      <c r="N6" s="628" t="s">
        <v>390</v>
      </c>
      <c r="O6" s="623"/>
      <c r="P6" s="623"/>
      <c r="Q6" s="623"/>
      <c r="R6" s="623"/>
      <c r="S6" s="623"/>
      <c r="T6" s="623"/>
      <c r="U6" s="623"/>
      <c r="V6" s="624"/>
      <c r="Z6" s="451" t="s">
        <v>116</v>
      </c>
      <c r="AA6" s="460" t="s">
        <v>117</v>
      </c>
      <c r="AB6" s="448"/>
      <c r="AC6" s="461" t="s">
        <v>119</v>
      </c>
      <c r="AD6" s="462" t="s">
        <v>104</v>
      </c>
      <c r="AE6" s="448"/>
      <c r="AF6" s="448"/>
      <c r="AG6" s="448"/>
      <c r="AH6" s="448"/>
      <c r="AI6" s="448"/>
      <c r="AJ6" s="448"/>
    </row>
    <row r="7" spans="2:37" ht="13.5" thickBot="1">
      <c r="B7" s="148" t="s">
        <v>111</v>
      </c>
      <c r="C7" s="150">
        <v>0</v>
      </c>
      <c r="E7" s="149" t="s">
        <v>118</v>
      </c>
      <c r="F7" s="332">
        <v>0.2</v>
      </c>
      <c r="G7" s="18"/>
      <c r="N7" s="628" t="s">
        <v>399</v>
      </c>
      <c r="O7" s="623"/>
      <c r="P7" s="623"/>
      <c r="Q7" s="623"/>
      <c r="R7" s="623"/>
      <c r="S7" s="623"/>
      <c r="T7" s="623"/>
      <c r="U7" s="623"/>
      <c r="V7" s="624"/>
      <c r="Z7" s="463" t="s">
        <v>111</v>
      </c>
      <c r="AA7" s="464">
        <v>0</v>
      </c>
      <c r="AB7" s="448"/>
      <c r="AC7" s="465" t="s">
        <v>118</v>
      </c>
      <c r="AD7" s="466">
        <v>0.2</v>
      </c>
      <c r="AE7" s="448"/>
      <c r="AF7" s="448"/>
      <c r="AG7" s="448"/>
      <c r="AH7" s="448"/>
      <c r="AI7" s="448"/>
      <c r="AJ7" s="448"/>
    </row>
    <row r="8" spans="2:37" ht="13.5" thickBot="1">
      <c r="B8" s="148" t="s">
        <v>113</v>
      </c>
      <c r="C8" s="38"/>
      <c r="F8" s="19"/>
      <c r="G8" s="18"/>
      <c r="N8" s="628" t="s">
        <v>388</v>
      </c>
      <c r="O8" s="623"/>
      <c r="P8" s="623"/>
      <c r="Q8" s="623"/>
      <c r="R8" s="623"/>
      <c r="S8" s="623"/>
      <c r="T8" s="623"/>
      <c r="U8" s="623"/>
      <c r="V8" s="624"/>
      <c r="Z8" s="463" t="s">
        <v>113</v>
      </c>
      <c r="AA8" s="467"/>
      <c r="AB8" s="448"/>
      <c r="AC8" s="448"/>
      <c r="AD8" s="449"/>
      <c r="AE8" s="448"/>
      <c r="AF8" s="448"/>
      <c r="AG8" s="448"/>
      <c r="AH8" s="448"/>
      <c r="AI8" s="448"/>
      <c r="AJ8" s="448"/>
    </row>
    <row r="9" spans="2:37" ht="14.25" customHeight="1" thickBot="1">
      <c r="B9" s="149" t="s">
        <v>115</v>
      </c>
      <c r="C9" s="151">
        <v>1</v>
      </c>
      <c r="E9" s="645" t="s">
        <v>298</v>
      </c>
      <c r="F9" s="646"/>
      <c r="G9" s="651" t="s">
        <v>306</v>
      </c>
      <c r="H9" s="652"/>
      <c r="I9" s="643" t="s">
        <v>329</v>
      </c>
      <c r="J9" s="644"/>
      <c r="K9" s="644"/>
      <c r="L9" s="371"/>
      <c r="N9" s="636" t="s">
        <v>384</v>
      </c>
      <c r="O9" s="637"/>
      <c r="P9" s="637"/>
      <c r="Q9" s="637"/>
      <c r="R9" s="637"/>
      <c r="S9" s="637"/>
      <c r="T9" s="637"/>
      <c r="U9" s="637"/>
      <c r="V9" s="638"/>
      <c r="Z9" s="465" t="s">
        <v>115</v>
      </c>
      <c r="AA9" s="468">
        <v>1</v>
      </c>
      <c r="AB9" s="448"/>
      <c r="AC9" s="658" t="s">
        <v>298</v>
      </c>
      <c r="AD9" s="659"/>
      <c r="AE9" s="660" t="s">
        <v>306</v>
      </c>
      <c r="AF9" s="661"/>
      <c r="AG9" s="662" t="s">
        <v>329</v>
      </c>
      <c r="AH9" s="663"/>
      <c r="AI9" s="663"/>
      <c r="AJ9" s="469"/>
    </row>
    <row r="10" spans="2:37" ht="13.5" thickBot="1">
      <c r="E10" s="339" t="s">
        <v>416</v>
      </c>
      <c r="F10" s="501">
        <v>9</v>
      </c>
      <c r="G10" s="326" t="s">
        <v>307</v>
      </c>
      <c r="H10" s="501">
        <v>4</v>
      </c>
      <c r="I10" s="643"/>
      <c r="J10" s="644"/>
      <c r="K10" s="644"/>
      <c r="L10" s="371"/>
      <c r="N10" s="639" t="s">
        <v>427</v>
      </c>
      <c r="O10" s="634"/>
      <c r="P10" s="634"/>
      <c r="Q10" s="634"/>
      <c r="R10" s="634"/>
      <c r="S10" s="634"/>
      <c r="T10" s="634"/>
      <c r="U10" s="634"/>
      <c r="V10" s="635"/>
      <c r="Z10" s="448"/>
      <c r="AA10" s="448"/>
      <c r="AB10" s="448"/>
      <c r="AC10" s="470" t="s">
        <v>416</v>
      </c>
      <c r="AD10" s="504">
        <v>9</v>
      </c>
      <c r="AE10" s="471" t="s">
        <v>307</v>
      </c>
      <c r="AF10" s="506">
        <v>4</v>
      </c>
      <c r="AG10" s="662"/>
      <c r="AH10" s="663"/>
      <c r="AI10" s="663"/>
      <c r="AJ10" s="469"/>
    </row>
    <row r="11" spans="2:37">
      <c r="B11" s="330" t="s">
        <v>122</v>
      </c>
      <c r="C11" s="331">
        <v>0.2</v>
      </c>
      <c r="E11" s="339" t="s">
        <v>417</v>
      </c>
      <c r="F11" s="501">
        <v>3</v>
      </c>
      <c r="G11" s="326" t="s">
        <v>308</v>
      </c>
      <c r="H11" s="501">
        <v>1</v>
      </c>
      <c r="I11" s="643"/>
      <c r="J11" s="644"/>
      <c r="K11" s="644"/>
      <c r="L11" s="371"/>
      <c r="N11" s="639" t="s">
        <v>391</v>
      </c>
      <c r="O11" s="634"/>
      <c r="P11" s="634"/>
      <c r="Q11" s="634"/>
      <c r="R11" s="634"/>
      <c r="S11" s="634"/>
      <c r="T11" s="634"/>
      <c r="U11" s="634"/>
      <c r="V11" s="635"/>
      <c r="Z11" s="472" t="s">
        <v>122</v>
      </c>
      <c r="AA11" s="473">
        <v>0.2</v>
      </c>
      <c r="AB11" s="448"/>
      <c r="AC11" s="470" t="s">
        <v>417</v>
      </c>
      <c r="AD11" s="504">
        <v>3</v>
      </c>
      <c r="AE11" s="474" t="s">
        <v>308</v>
      </c>
      <c r="AF11" s="506">
        <v>1</v>
      </c>
      <c r="AG11" s="662"/>
      <c r="AH11" s="663"/>
      <c r="AI11" s="663"/>
      <c r="AJ11" s="469"/>
    </row>
    <row r="12" spans="2:37" ht="13.5" thickBot="1">
      <c r="B12" s="327" t="s">
        <v>324</v>
      </c>
      <c r="C12" s="332">
        <v>0.2</v>
      </c>
      <c r="E12" s="340" t="s">
        <v>418</v>
      </c>
      <c r="F12" s="503">
        <v>1</v>
      </c>
      <c r="G12" s="493" t="s">
        <v>394</v>
      </c>
      <c r="H12" s="503">
        <v>0.1</v>
      </c>
      <c r="I12" s="643"/>
      <c r="J12" s="644"/>
      <c r="K12" s="644"/>
      <c r="L12" s="371"/>
      <c r="N12" s="622" t="s">
        <v>389</v>
      </c>
      <c r="O12" s="623"/>
      <c r="P12" s="623"/>
      <c r="Q12" s="623"/>
      <c r="R12" s="623"/>
      <c r="S12" s="623"/>
      <c r="T12" s="623"/>
      <c r="U12" s="623"/>
      <c r="V12" s="624"/>
      <c r="Z12" s="475" t="s">
        <v>324</v>
      </c>
      <c r="AA12" s="466">
        <v>0.2</v>
      </c>
      <c r="AB12" s="448"/>
      <c r="AC12" s="476" t="s">
        <v>418</v>
      </c>
      <c r="AD12" s="505">
        <v>1</v>
      </c>
      <c r="AE12" s="477" t="s">
        <v>394</v>
      </c>
      <c r="AF12" s="507">
        <v>0.1</v>
      </c>
      <c r="AG12" s="662"/>
      <c r="AH12" s="663"/>
      <c r="AI12" s="663"/>
      <c r="AJ12" s="469"/>
    </row>
    <row r="13" spans="2:37" ht="13.5" thickBot="1">
      <c r="E13" s="19"/>
      <c r="G13" s="18"/>
      <c r="N13" s="622" t="s">
        <v>385</v>
      </c>
      <c r="O13" s="623"/>
      <c r="P13" s="623"/>
      <c r="Q13" s="623"/>
      <c r="R13" s="623"/>
      <c r="S13" s="623"/>
      <c r="T13" s="623"/>
      <c r="U13" s="623"/>
      <c r="V13" s="624"/>
      <c r="Z13" s="448"/>
      <c r="AA13" s="448"/>
      <c r="AB13" s="448"/>
      <c r="AC13" s="449"/>
      <c r="AD13" s="448"/>
      <c r="AE13" s="448"/>
      <c r="AF13" s="448"/>
      <c r="AG13" s="448"/>
      <c r="AH13" s="448"/>
      <c r="AI13" s="448"/>
      <c r="AJ13" s="448"/>
    </row>
    <row r="14" spans="2:37" ht="26.25" thickBot="1">
      <c r="B14" s="39" t="s">
        <v>207</v>
      </c>
      <c r="C14" s="152">
        <f>2+2*Risk_Buffer</f>
        <v>2</v>
      </c>
      <c r="D14" s="18" t="s">
        <v>124</v>
      </c>
      <c r="E14" s="653" t="s">
        <v>317</v>
      </c>
      <c r="F14" s="654"/>
      <c r="G14" s="18"/>
      <c r="H14" s="378" t="s">
        <v>425</v>
      </c>
      <c r="I14" s="376" t="s">
        <v>419</v>
      </c>
      <c r="J14" s="377" t="s">
        <v>420</v>
      </c>
      <c r="N14" s="622" t="s">
        <v>432</v>
      </c>
      <c r="O14" s="623"/>
      <c r="P14" s="623"/>
      <c r="Q14" s="623"/>
      <c r="R14" s="623"/>
      <c r="S14" s="623"/>
      <c r="T14" s="623"/>
      <c r="U14" s="623"/>
      <c r="V14" s="624"/>
      <c r="Z14" s="478" t="s">
        <v>207</v>
      </c>
      <c r="AA14" s="479">
        <v>2</v>
      </c>
      <c r="AB14" s="448" t="s">
        <v>124</v>
      </c>
      <c r="AC14" s="664" t="s">
        <v>317</v>
      </c>
      <c r="AD14" s="665"/>
      <c r="AE14" s="448"/>
      <c r="AF14" s="480" t="s">
        <v>425</v>
      </c>
      <c r="AG14" s="481" t="s">
        <v>419</v>
      </c>
      <c r="AH14" s="482" t="s">
        <v>420</v>
      </c>
      <c r="AI14" s="448"/>
      <c r="AJ14" s="448"/>
    </row>
    <row r="15" spans="2:37" ht="13.5" thickBot="1">
      <c r="E15" s="326" t="s">
        <v>416</v>
      </c>
      <c r="F15" s="374">
        <v>0.2</v>
      </c>
      <c r="G15" s="18"/>
      <c r="H15" s="326" t="s">
        <v>416</v>
      </c>
      <c r="I15" s="500">
        <v>80</v>
      </c>
      <c r="J15" s="501">
        <v>8</v>
      </c>
      <c r="N15" s="625" t="s">
        <v>395</v>
      </c>
      <c r="O15" s="626"/>
      <c r="P15" s="626"/>
      <c r="Q15" s="626"/>
      <c r="R15" s="626"/>
      <c r="S15" s="626"/>
      <c r="T15" s="626"/>
      <c r="U15" s="626"/>
      <c r="V15" s="627"/>
      <c r="Z15" s="448"/>
      <c r="AA15" s="448"/>
      <c r="AB15" s="448"/>
      <c r="AC15" s="474" t="s">
        <v>416</v>
      </c>
      <c r="AD15" s="483">
        <v>0.2</v>
      </c>
      <c r="AE15" s="448"/>
      <c r="AF15" s="474" t="s">
        <v>416</v>
      </c>
      <c r="AG15" s="508">
        <v>80</v>
      </c>
      <c r="AH15" s="509">
        <v>8</v>
      </c>
      <c r="AI15" s="448"/>
      <c r="AJ15" s="448"/>
    </row>
    <row r="16" spans="2:37" ht="13.5" thickBot="1">
      <c r="B16" s="353" t="s">
        <v>380</v>
      </c>
      <c r="C16" s="523">
        <v>0.1</v>
      </c>
      <c r="E16" s="326" t="s">
        <v>417</v>
      </c>
      <c r="F16" s="374">
        <v>0.5</v>
      </c>
      <c r="G16" s="18"/>
      <c r="H16" s="326" t="s">
        <v>417</v>
      </c>
      <c r="I16" s="500">
        <v>30</v>
      </c>
      <c r="J16" s="501">
        <v>3</v>
      </c>
      <c r="N16" s="628" t="s">
        <v>396</v>
      </c>
      <c r="O16" s="623"/>
      <c r="P16" s="623"/>
      <c r="Q16" s="623"/>
      <c r="R16" s="623"/>
      <c r="S16" s="623"/>
      <c r="T16" s="623"/>
      <c r="U16" s="623"/>
      <c r="V16" s="624"/>
      <c r="Z16" s="484" t="s">
        <v>380</v>
      </c>
      <c r="AA16" s="522">
        <v>0.1</v>
      </c>
      <c r="AB16" s="448"/>
      <c r="AC16" s="474" t="s">
        <v>417</v>
      </c>
      <c r="AD16" s="483">
        <v>0.5</v>
      </c>
      <c r="AE16" s="448"/>
      <c r="AF16" s="474" t="s">
        <v>417</v>
      </c>
      <c r="AG16" s="508">
        <v>30</v>
      </c>
      <c r="AH16" s="509">
        <v>3</v>
      </c>
      <c r="AI16" s="448"/>
      <c r="AJ16" s="448"/>
    </row>
    <row r="17" spans="2:37" ht="14.25" thickBot="1">
      <c r="B17"/>
      <c r="C17"/>
      <c r="E17" s="327" t="s">
        <v>418</v>
      </c>
      <c r="F17" s="375">
        <v>2</v>
      </c>
      <c r="G17" s="18"/>
      <c r="H17" s="327" t="s">
        <v>418</v>
      </c>
      <c r="I17" s="502">
        <v>15</v>
      </c>
      <c r="J17" s="503">
        <v>2</v>
      </c>
      <c r="N17" s="628" t="s">
        <v>397</v>
      </c>
      <c r="O17" s="623"/>
      <c r="P17" s="623"/>
      <c r="Q17" s="623"/>
      <c r="R17" s="623"/>
      <c r="S17" s="623"/>
      <c r="T17" s="623"/>
      <c r="U17" s="623"/>
      <c r="V17" s="624"/>
      <c r="Z17" s="485"/>
      <c r="AA17" s="485"/>
      <c r="AB17" s="448"/>
      <c r="AC17" s="475" t="s">
        <v>418</v>
      </c>
      <c r="AD17" s="486">
        <v>2</v>
      </c>
      <c r="AE17" s="448"/>
      <c r="AF17" s="475" t="s">
        <v>418</v>
      </c>
      <c r="AG17" s="510">
        <v>15</v>
      </c>
      <c r="AH17" s="511">
        <v>2</v>
      </c>
      <c r="AI17" s="448"/>
      <c r="AJ17" s="448"/>
    </row>
    <row r="18" spans="2:37" ht="13.5" thickBot="1">
      <c r="N18" s="640" t="s">
        <v>398</v>
      </c>
      <c r="O18" s="641"/>
      <c r="P18" s="641"/>
      <c r="Q18" s="641"/>
      <c r="R18" s="641"/>
      <c r="S18" s="641"/>
      <c r="T18" s="641"/>
      <c r="U18" s="641"/>
      <c r="V18" s="642"/>
      <c r="Z18" s="448"/>
      <c r="AA18" s="448"/>
      <c r="AB18" s="448"/>
      <c r="AC18" s="448"/>
      <c r="AD18" s="448"/>
      <c r="AE18" s="449"/>
      <c r="AF18" s="448"/>
      <c r="AG18" s="448"/>
      <c r="AH18" s="448"/>
      <c r="AI18" s="448"/>
      <c r="AJ18" s="448"/>
    </row>
    <row r="19" spans="2:37" ht="38.25">
      <c r="B19" s="336" t="s">
        <v>223</v>
      </c>
      <c r="C19" s="337" t="s">
        <v>225</v>
      </c>
      <c r="E19" s="372" t="s">
        <v>410</v>
      </c>
      <c r="F19" s="373" t="s">
        <v>414</v>
      </c>
      <c r="G19"/>
      <c r="H19" s="378" t="s">
        <v>434</v>
      </c>
      <c r="I19" s="379" t="s">
        <v>421</v>
      </c>
      <c r="J19" s="379" t="s">
        <v>422</v>
      </c>
      <c r="K19" s="376" t="s">
        <v>423</v>
      </c>
      <c r="L19" s="377" t="s">
        <v>424</v>
      </c>
      <c r="Z19" s="487" t="s">
        <v>223</v>
      </c>
      <c r="AA19" s="488" t="s">
        <v>225</v>
      </c>
      <c r="AB19" s="448"/>
      <c r="AC19" s="489" t="s">
        <v>410</v>
      </c>
      <c r="AD19" s="490" t="s">
        <v>414</v>
      </c>
      <c r="AE19" s="485"/>
      <c r="AF19" s="480"/>
      <c r="AG19" s="491" t="s">
        <v>421</v>
      </c>
      <c r="AH19" s="491" t="s">
        <v>422</v>
      </c>
      <c r="AI19" s="481" t="s">
        <v>423</v>
      </c>
      <c r="AJ19" s="482" t="s">
        <v>424</v>
      </c>
    </row>
    <row r="20" spans="2:37" ht="13.5">
      <c r="B20" s="148" t="s">
        <v>222</v>
      </c>
      <c r="C20" s="338">
        <v>1</v>
      </c>
      <c r="E20" s="326" t="s">
        <v>415</v>
      </c>
      <c r="F20" s="524">
        <v>1</v>
      </c>
      <c r="G20"/>
      <c r="H20" s="326" t="s">
        <v>416</v>
      </c>
      <c r="I20" s="496">
        <v>0.5</v>
      </c>
      <c r="J20" s="496">
        <v>0.2</v>
      </c>
      <c r="K20" s="494">
        <f>1-(I20+J20+L20)</f>
        <v>0.20000000000000007</v>
      </c>
      <c r="L20" s="497">
        <v>0.1</v>
      </c>
      <c r="Z20" s="463" t="s">
        <v>222</v>
      </c>
      <c r="AA20" s="492">
        <v>1</v>
      </c>
      <c r="AB20" s="448"/>
      <c r="AC20" s="474" t="s">
        <v>415</v>
      </c>
      <c r="AD20" s="520">
        <v>1</v>
      </c>
      <c r="AE20" s="485"/>
      <c r="AF20" s="474" t="s">
        <v>416</v>
      </c>
      <c r="AG20" s="512">
        <v>0.5</v>
      </c>
      <c r="AH20" s="512">
        <v>0.2</v>
      </c>
      <c r="AI20" s="512">
        <f>1-(AG20+AH20+AJ20)</f>
        <v>0.20000000000000007</v>
      </c>
      <c r="AJ20" s="513">
        <v>0.1</v>
      </c>
    </row>
    <row r="21" spans="2:37" ht="13.5">
      <c r="B21" s="148" t="s">
        <v>333</v>
      </c>
      <c r="C21" s="338">
        <v>1.2</v>
      </c>
      <c r="E21" s="326" t="s">
        <v>361</v>
      </c>
      <c r="F21" s="524">
        <v>1</v>
      </c>
      <c r="G21"/>
      <c r="H21" s="326" t="s">
        <v>417</v>
      </c>
      <c r="I21" s="496">
        <v>0.2</v>
      </c>
      <c r="J21" s="496">
        <v>0.2</v>
      </c>
      <c r="K21" s="494">
        <f t="shared" ref="K21:K22" si="0">1-(I21+J21+L21)</f>
        <v>0.5</v>
      </c>
      <c r="L21" s="497">
        <v>0.1</v>
      </c>
      <c r="Z21" s="463" t="s">
        <v>333</v>
      </c>
      <c r="AA21" s="492">
        <v>1.2</v>
      </c>
      <c r="AB21" s="448"/>
      <c r="AC21" s="474" t="s">
        <v>361</v>
      </c>
      <c r="AD21" s="520">
        <v>1</v>
      </c>
      <c r="AE21" s="485"/>
      <c r="AF21" s="474" t="s">
        <v>417</v>
      </c>
      <c r="AG21" s="512">
        <v>0.5</v>
      </c>
      <c r="AH21" s="512">
        <v>0.2</v>
      </c>
      <c r="AI21" s="512">
        <f t="shared" ref="AI21:AI22" si="1">1-(AG21+AH21+AJ21)</f>
        <v>0.20000000000000007</v>
      </c>
      <c r="AJ21" s="513">
        <v>0.1</v>
      </c>
    </row>
    <row r="22" spans="2:37" ht="14.25" thickBot="1">
      <c r="B22" s="148" t="s">
        <v>334</v>
      </c>
      <c r="C22" s="338">
        <v>1.2</v>
      </c>
      <c r="E22" s="326" t="s">
        <v>362</v>
      </c>
      <c r="F22" s="524">
        <v>1</v>
      </c>
      <c r="G22"/>
      <c r="H22" s="327" t="s">
        <v>418</v>
      </c>
      <c r="I22" s="498">
        <v>0.5</v>
      </c>
      <c r="J22" s="498">
        <v>0.2</v>
      </c>
      <c r="K22" s="495">
        <f t="shared" si="0"/>
        <v>0.20000000000000007</v>
      </c>
      <c r="L22" s="499">
        <v>0.1</v>
      </c>
      <c r="Z22" s="463" t="s">
        <v>334</v>
      </c>
      <c r="AA22" s="492">
        <v>1.2</v>
      </c>
      <c r="AB22" s="448"/>
      <c r="AC22" s="474" t="s">
        <v>362</v>
      </c>
      <c r="AD22" s="520">
        <v>1</v>
      </c>
      <c r="AE22" s="485"/>
      <c r="AF22" s="475" t="s">
        <v>418</v>
      </c>
      <c r="AG22" s="514">
        <v>0.5</v>
      </c>
      <c r="AH22" s="514">
        <v>0.2</v>
      </c>
      <c r="AI22" s="514">
        <f t="shared" si="1"/>
        <v>0.20000000000000007</v>
      </c>
      <c r="AJ22" s="515">
        <v>0.1</v>
      </c>
    </row>
    <row r="23" spans="2:37" ht="15" thickBot="1">
      <c r="B23" s="148" t="s">
        <v>335</v>
      </c>
      <c r="C23" s="338">
        <v>1.2</v>
      </c>
      <c r="E23" s="326" t="s">
        <v>411</v>
      </c>
      <c r="F23" s="524">
        <v>1</v>
      </c>
      <c r="G23"/>
      <c r="I23"/>
      <c r="J23"/>
      <c r="K23"/>
      <c r="L23"/>
      <c r="Z23" s="463" t="s">
        <v>335</v>
      </c>
      <c r="AA23" s="492">
        <v>1.2</v>
      </c>
      <c r="AB23" s="448"/>
      <c r="AC23" s="474" t="s">
        <v>411</v>
      </c>
      <c r="AD23" s="520">
        <v>1</v>
      </c>
      <c r="AE23" s="485"/>
      <c r="AF23" s="448"/>
      <c r="AG23" s="526"/>
      <c r="AH23" s="526"/>
      <c r="AI23" s="526"/>
      <c r="AJ23" s="526"/>
    </row>
    <row r="24" spans="2:37" ht="15" thickBot="1">
      <c r="B24" s="148" t="s">
        <v>336</v>
      </c>
      <c r="C24" s="338">
        <v>1.2</v>
      </c>
      <c r="E24" s="326" t="s">
        <v>412</v>
      </c>
      <c r="F24" s="524">
        <v>1</v>
      </c>
      <c r="G24"/>
      <c r="H24" s="353" t="s">
        <v>447</v>
      </c>
      <c r="I24" s="523">
        <v>0</v>
      </c>
      <c r="J24"/>
      <c r="K24"/>
      <c r="L24"/>
      <c r="Z24" s="463" t="s">
        <v>336</v>
      </c>
      <c r="AA24" s="492">
        <v>1.2</v>
      </c>
      <c r="AB24" s="448"/>
      <c r="AC24" s="474" t="s">
        <v>412</v>
      </c>
      <c r="AD24" s="520">
        <v>1</v>
      </c>
      <c r="AE24" s="485"/>
      <c r="AF24" s="563" t="s">
        <v>436</v>
      </c>
      <c r="AG24" s="564"/>
      <c r="AH24" s="564"/>
      <c r="AI24" s="564"/>
      <c r="AJ24" s="565"/>
    </row>
    <row r="25" spans="2:37" ht="15" thickBot="1">
      <c r="B25" s="148" t="s">
        <v>341</v>
      </c>
      <c r="C25" s="338">
        <v>1.2</v>
      </c>
      <c r="E25" s="327" t="s">
        <v>413</v>
      </c>
      <c r="F25" s="525">
        <v>1</v>
      </c>
      <c r="G25"/>
      <c r="H25"/>
      <c r="I25"/>
      <c r="J25"/>
      <c r="K25"/>
      <c r="L25"/>
      <c r="Z25" s="463" t="s">
        <v>341</v>
      </c>
      <c r="AA25" s="492">
        <v>1.2</v>
      </c>
      <c r="AB25" s="448"/>
      <c r="AC25" s="475" t="s">
        <v>413</v>
      </c>
      <c r="AD25" s="521">
        <v>1</v>
      </c>
      <c r="AE25" s="485"/>
      <c r="AF25" s="527" t="s">
        <v>351</v>
      </c>
      <c r="AG25" s="528" t="s">
        <v>352</v>
      </c>
      <c r="AH25" s="528" t="s">
        <v>353</v>
      </c>
      <c r="AI25" s="528" t="s">
        <v>354</v>
      </c>
      <c r="AJ25" s="529" t="s">
        <v>355</v>
      </c>
    </row>
    <row r="26" spans="2:37">
      <c r="B26" s="148" t="s">
        <v>340</v>
      </c>
      <c r="C26" s="338">
        <v>1.25</v>
      </c>
      <c r="Z26" s="463" t="s">
        <v>340</v>
      </c>
      <c r="AA26" s="492">
        <v>1.25</v>
      </c>
      <c r="AB26" s="448"/>
      <c r="AC26" s="448"/>
      <c r="AD26" s="448"/>
      <c r="AE26" s="449"/>
      <c r="AF26" s="530">
        <v>4.92</v>
      </c>
      <c r="AG26" s="508">
        <v>2.4500000000000002</v>
      </c>
      <c r="AH26" s="508">
        <v>1.78</v>
      </c>
      <c r="AI26" s="508">
        <v>1.36</v>
      </c>
      <c r="AJ26" s="509"/>
      <c r="AK26" s="18" t="s">
        <v>437</v>
      </c>
    </row>
    <row r="27" spans="2:37" ht="13.5" thickBot="1">
      <c r="B27" s="148" t="s">
        <v>339</v>
      </c>
      <c r="C27" s="338">
        <v>1.3</v>
      </c>
      <c r="Z27" s="463" t="s">
        <v>339</v>
      </c>
      <c r="AA27" s="492">
        <v>1.3</v>
      </c>
      <c r="AB27" s="448"/>
      <c r="AC27" s="448"/>
      <c r="AD27" s="448"/>
      <c r="AE27" s="449"/>
      <c r="AF27" s="531">
        <v>4.13</v>
      </c>
      <c r="AG27" s="532">
        <v>2.2400000000000002</v>
      </c>
      <c r="AH27" s="532">
        <v>1.66</v>
      </c>
      <c r="AI27" s="532">
        <v>1.33</v>
      </c>
      <c r="AJ27" s="533"/>
      <c r="AK27" s="18" t="s">
        <v>438</v>
      </c>
    </row>
    <row r="28" spans="2:37">
      <c r="B28" s="148" t="s">
        <v>337</v>
      </c>
      <c r="C28" s="338">
        <v>1.4</v>
      </c>
      <c r="Z28" s="463" t="s">
        <v>337</v>
      </c>
      <c r="AA28" s="492">
        <v>1.4</v>
      </c>
      <c r="AB28" s="448"/>
      <c r="AC28" s="448"/>
      <c r="AD28" s="448"/>
      <c r="AE28" s="449"/>
      <c r="AF28" s="448"/>
      <c r="AG28" s="448"/>
      <c r="AH28" s="448"/>
      <c r="AI28" s="448"/>
      <c r="AJ28" s="448"/>
    </row>
    <row r="29" spans="2:37">
      <c r="B29" s="148" t="s">
        <v>338</v>
      </c>
      <c r="C29" s="338">
        <v>1.6</v>
      </c>
      <c r="Z29" s="463" t="s">
        <v>338</v>
      </c>
      <c r="AA29" s="492">
        <v>1.6</v>
      </c>
      <c r="AB29" s="448"/>
      <c r="AC29" s="448"/>
      <c r="AD29" s="448"/>
      <c r="AE29" s="449"/>
      <c r="AF29" s="448"/>
      <c r="AG29" s="448"/>
      <c r="AH29" s="448"/>
      <c r="AI29" s="448"/>
      <c r="AJ29" s="448"/>
    </row>
    <row r="30" spans="2:37">
      <c r="B30" s="148" t="s">
        <v>342</v>
      </c>
      <c r="C30" s="338">
        <v>1.6</v>
      </c>
      <c r="Z30" s="463" t="s">
        <v>342</v>
      </c>
      <c r="AA30" s="492">
        <v>1.6</v>
      </c>
      <c r="AB30" s="448"/>
      <c r="AC30" s="448"/>
      <c r="AD30" s="448"/>
      <c r="AE30" s="449"/>
      <c r="AF30" s="448"/>
      <c r="AG30" s="448"/>
      <c r="AH30" s="448"/>
      <c r="AI30" s="448"/>
      <c r="AJ30" s="448"/>
    </row>
    <row r="31" spans="2:37" ht="13.5" thickBot="1">
      <c r="B31" s="149" t="s">
        <v>343</v>
      </c>
      <c r="C31" s="260">
        <v>1.6</v>
      </c>
      <c r="Z31" s="149" t="s">
        <v>343</v>
      </c>
      <c r="AA31" s="260">
        <v>1.6</v>
      </c>
      <c r="AE31" s="19"/>
    </row>
    <row r="32" spans="2:37">
      <c r="AE32" s="19"/>
    </row>
    <row r="33" spans="2:11" ht="13.5" thickBot="1"/>
    <row r="34" spans="2:11" ht="15" customHeight="1" thickBot="1">
      <c r="B34" s="10" t="s">
        <v>18</v>
      </c>
      <c r="C34" s="647" t="s">
        <v>25</v>
      </c>
      <c r="D34" s="647"/>
      <c r="E34" s="647"/>
      <c r="F34" s="647"/>
      <c r="G34" s="647"/>
      <c r="H34" s="647"/>
      <c r="I34" s="647"/>
      <c r="J34" s="648"/>
      <c r="K34" s="447" t="s">
        <v>157</v>
      </c>
    </row>
    <row r="35" spans="2:11" ht="12.75" hidden="1" customHeight="1">
      <c r="B35" s="122" t="s">
        <v>19</v>
      </c>
      <c r="C35" s="649" t="s">
        <v>24</v>
      </c>
      <c r="D35" s="649"/>
      <c r="E35" s="649"/>
      <c r="F35" s="649"/>
      <c r="G35" s="649"/>
      <c r="H35" s="649"/>
      <c r="I35" s="649"/>
      <c r="J35" s="650"/>
      <c r="K35" s="123"/>
    </row>
    <row r="36" spans="2:11" ht="13.5" hidden="1">
      <c r="B36" s="124" t="s">
        <v>20</v>
      </c>
      <c r="C36" s="629" t="s">
        <v>23</v>
      </c>
      <c r="D36" s="629"/>
      <c r="E36" s="629"/>
      <c r="F36" s="629"/>
      <c r="G36" s="629"/>
      <c r="H36" s="629"/>
      <c r="I36" s="629"/>
      <c r="J36" s="632"/>
      <c r="K36" s="125"/>
    </row>
    <row r="37" spans="2:11" ht="27.75" hidden="1" customHeight="1">
      <c r="B37" s="124" t="s">
        <v>21</v>
      </c>
      <c r="C37" s="629" t="s">
        <v>22</v>
      </c>
      <c r="D37" s="629"/>
      <c r="E37" s="629"/>
      <c r="F37" s="629"/>
      <c r="G37" s="629"/>
      <c r="H37" s="629"/>
      <c r="I37" s="629"/>
      <c r="J37" s="632"/>
      <c r="K37" s="125"/>
    </row>
    <row r="38" spans="2:11" ht="13.5" hidden="1">
      <c r="B38" s="124" t="s">
        <v>26</v>
      </c>
      <c r="C38" s="629" t="s">
        <v>27</v>
      </c>
      <c r="D38" s="629"/>
      <c r="E38" s="629"/>
      <c r="F38" s="629"/>
      <c r="G38" s="629"/>
      <c r="H38" s="629"/>
      <c r="I38" s="629"/>
      <c r="J38" s="632"/>
      <c r="K38" s="125"/>
    </row>
    <row r="39" spans="2:11" ht="13.5" hidden="1">
      <c r="B39" s="124" t="s">
        <v>33</v>
      </c>
      <c r="C39" s="629" t="s">
        <v>34</v>
      </c>
      <c r="D39" s="629"/>
      <c r="E39" s="629"/>
      <c r="F39" s="629"/>
      <c r="G39" s="629"/>
      <c r="H39" s="629"/>
      <c r="I39" s="629"/>
      <c r="J39" s="632"/>
      <c r="K39" s="125"/>
    </row>
    <row r="40" spans="2:11" ht="13.5" hidden="1">
      <c r="B40" s="124" t="s">
        <v>31</v>
      </c>
      <c r="C40" s="629" t="s">
        <v>32</v>
      </c>
      <c r="D40" s="629"/>
      <c r="E40" s="629"/>
      <c r="F40" s="629"/>
      <c r="G40" s="629"/>
      <c r="H40" s="629"/>
      <c r="I40" s="629"/>
      <c r="J40" s="632"/>
      <c r="K40" s="125"/>
    </row>
    <row r="41" spans="2:11" ht="13.5" hidden="1">
      <c r="B41" s="124" t="s">
        <v>35</v>
      </c>
      <c r="C41" s="629" t="s">
        <v>38</v>
      </c>
      <c r="D41" s="629"/>
      <c r="E41" s="629"/>
      <c r="F41" s="629"/>
      <c r="G41" s="629"/>
      <c r="H41" s="629"/>
      <c r="I41" s="629"/>
      <c r="J41" s="632"/>
      <c r="K41" s="125"/>
    </row>
    <row r="42" spans="2:11" ht="27" hidden="1" customHeight="1">
      <c r="B42" s="124" t="s">
        <v>36</v>
      </c>
      <c r="C42" s="629" t="s">
        <v>37</v>
      </c>
      <c r="D42" s="629"/>
      <c r="E42" s="629"/>
      <c r="F42" s="629"/>
      <c r="G42" s="629"/>
      <c r="H42" s="629"/>
      <c r="I42" s="629"/>
      <c r="J42" s="632"/>
      <c r="K42" s="125"/>
    </row>
    <row r="43" spans="2:11" ht="41.25" hidden="1" customHeight="1">
      <c r="B43" s="124" t="s">
        <v>43</v>
      </c>
      <c r="C43" s="629" t="s">
        <v>44</v>
      </c>
      <c r="D43" s="629"/>
      <c r="E43" s="629"/>
      <c r="F43" s="629"/>
      <c r="G43" s="629"/>
      <c r="H43" s="629"/>
      <c r="I43" s="629"/>
      <c r="J43" s="632"/>
      <c r="K43" s="125"/>
    </row>
    <row r="44" spans="2:11" hidden="1">
      <c r="B44" s="124" t="s">
        <v>45</v>
      </c>
      <c r="C44" s="630" t="s">
        <v>46</v>
      </c>
      <c r="D44" s="630"/>
      <c r="E44" s="630"/>
      <c r="F44" s="630"/>
      <c r="G44" s="630"/>
      <c r="H44" s="630"/>
      <c r="I44" s="630"/>
      <c r="J44" s="655"/>
      <c r="K44" s="125"/>
    </row>
    <row r="45" spans="2:11" ht="13.5" hidden="1">
      <c r="B45" s="124" t="s">
        <v>51</v>
      </c>
      <c r="C45" s="630" t="s">
        <v>52</v>
      </c>
      <c r="D45" s="630"/>
      <c r="E45" s="630"/>
      <c r="F45" s="630"/>
      <c r="G45" s="630"/>
      <c r="H45" s="630"/>
      <c r="I45" s="630"/>
      <c r="J45" s="631"/>
      <c r="K45" s="125"/>
    </row>
    <row r="46" spans="2:11" ht="13.5" hidden="1">
      <c r="B46" s="124" t="s">
        <v>53</v>
      </c>
      <c r="C46" s="630" t="s">
        <v>54</v>
      </c>
      <c r="D46" s="630"/>
      <c r="E46" s="630"/>
      <c r="F46" s="630"/>
      <c r="G46" s="630"/>
      <c r="H46" s="630"/>
      <c r="I46" s="630"/>
      <c r="J46" s="631"/>
      <c r="K46" s="125"/>
    </row>
    <row r="47" spans="2:11" ht="13.5" hidden="1">
      <c r="B47" s="124" t="s">
        <v>94</v>
      </c>
      <c r="C47" s="630" t="s">
        <v>129</v>
      </c>
      <c r="D47" s="630"/>
      <c r="E47" s="630"/>
      <c r="F47" s="630"/>
      <c r="G47" s="630"/>
      <c r="H47" s="630"/>
      <c r="I47" s="630"/>
      <c r="J47" s="631"/>
      <c r="K47" s="125"/>
    </row>
    <row r="48" spans="2:11" ht="27" hidden="1" customHeight="1">
      <c r="B48" s="124" t="s">
        <v>131</v>
      </c>
      <c r="C48" s="629" t="s">
        <v>132</v>
      </c>
      <c r="D48" s="630"/>
      <c r="E48" s="630"/>
      <c r="F48" s="630"/>
      <c r="G48" s="630"/>
      <c r="H48" s="630"/>
      <c r="I48" s="630"/>
      <c r="J48" s="631"/>
      <c r="K48" s="125"/>
    </row>
    <row r="49" spans="2:11" ht="13.5" hidden="1">
      <c r="B49" s="124" t="s">
        <v>135</v>
      </c>
      <c r="C49" s="629" t="s">
        <v>136</v>
      </c>
      <c r="D49" s="630"/>
      <c r="E49" s="630"/>
      <c r="F49" s="630"/>
      <c r="G49" s="630"/>
      <c r="H49" s="630"/>
      <c r="I49" s="630"/>
      <c r="J49" s="631"/>
      <c r="K49" s="125"/>
    </row>
    <row r="50" spans="2:11" ht="13.5" hidden="1">
      <c r="B50" s="124" t="s">
        <v>146</v>
      </c>
      <c r="C50" s="629" t="s">
        <v>147</v>
      </c>
      <c r="D50" s="630"/>
      <c r="E50" s="630"/>
      <c r="F50" s="630"/>
      <c r="G50" s="630"/>
      <c r="H50" s="630"/>
      <c r="I50" s="630"/>
      <c r="J50" s="631"/>
      <c r="K50" s="125"/>
    </row>
    <row r="51" spans="2:11" ht="13.5" hidden="1">
      <c r="B51" s="124" t="s">
        <v>148</v>
      </c>
      <c r="C51" s="629" t="s">
        <v>149</v>
      </c>
      <c r="D51" s="630"/>
      <c r="E51" s="630"/>
      <c r="F51" s="630"/>
      <c r="G51" s="630"/>
      <c r="H51" s="630"/>
      <c r="I51" s="630"/>
      <c r="J51" s="631"/>
      <c r="K51" s="125"/>
    </row>
    <row r="52" spans="2:11" ht="13.5" hidden="1">
      <c r="B52" s="124" t="s">
        <v>150</v>
      </c>
      <c r="C52" s="629" t="s">
        <v>151</v>
      </c>
      <c r="D52" s="630"/>
      <c r="E52" s="630"/>
      <c r="F52" s="630"/>
      <c r="G52" s="630"/>
      <c r="H52" s="630"/>
      <c r="I52" s="630"/>
      <c r="J52" s="631"/>
      <c r="K52" s="125"/>
    </row>
    <row r="53" spans="2:11" ht="13.5" hidden="1">
      <c r="B53" s="124" t="s">
        <v>153</v>
      </c>
      <c r="C53" s="629" t="s">
        <v>154</v>
      </c>
      <c r="D53" s="630"/>
      <c r="E53" s="630"/>
      <c r="F53" s="630"/>
      <c r="G53" s="630"/>
      <c r="H53" s="630"/>
      <c r="I53" s="630"/>
      <c r="J53" s="631"/>
      <c r="K53" s="125">
        <v>39873</v>
      </c>
    </row>
    <row r="54" spans="2:11" ht="51.75" hidden="1" customHeight="1">
      <c r="B54" s="124" t="s">
        <v>158</v>
      </c>
      <c r="C54" s="629" t="s">
        <v>159</v>
      </c>
      <c r="D54" s="630"/>
      <c r="E54" s="630"/>
      <c r="F54" s="630"/>
      <c r="G54" s="630"/>
      <c r="H54" s="630"/>
      <c r="I54" s="630"/>
      <c r="J54" s="631"/>
      <c r="K54" s="125">
        <v>39973</v>
      </c>
    </row>
    <row r="55" spans="2:11" ht="13.5" hidden="1">
      <c r="B55" s="124" t="s">
        <v>190</v>
      </c>
      <c r="C55" s="629" t="s">
        <v>191</v>
      </c>
      <c r="D55" s="630"/>
      <c r="E55" s="630"/>
      <c r="F55" s="630"/>
      <c r="G55" s="630"/>
      <c r="H55" s="630"/>
      <c r="I55" s="630"/>
      <c r="J55" s="631"/>
      <c r="K55" s="125">
        <v>39976</v>
      </c>
    </row>
    <row r="56" spans="2:11" ht="13.5" hidden="1">
      <c r="B56" s="124" t="s">
        <v>195</v>
      </c>
      <c r="C56" s="629" t="s">
        <v>196</v>
      </c>
      <c r="D56" s="630"/>
      <c r="E56" s="630"/>
      <c r="F56" s="630"/>
      <c r="G56" s="630"/>
      <c r="H56" s="630"/>
      <c r="I56" s="630"/>
      <c r="J56" s="631"/>
      <c r="K56" s="125">
        <v>39976</v>
      </c>
    </row>
    <row r="57" spans="2:11" ht="13.5" hidden="1">
      <c r="B57" s="124" t="s">
        <v>201</v>
      </c>
      <c r="C57" s="629" t="s">
        <v>202</v>
      </c>
      <c r="D57" s="630"/>
      <c r="E57" s="630"/>
      <c r="F57" s="630"/>
      <c r="G57" s="630"/>
      <c r="H57" s="630"/>
      <c r="I57" s="630"/>
      <c r="J57" s="631"/>
      <c r="K57" s="125">
        <v>40091</v>
      </c>
    </row>
    <row r="58" spans="2:11" ht="13.5" hidden="1">
      <c r="B58" s="124" t="s">
        <v>203</v>
      </c>
      <c r="C58" s="629" t="s">
        <v>204</v>
      </c>
      <c r="D58" s="630"/>
      <c r="E58" s="630"/>
      <c r="F58" s="630"/>
      <c r="G58" s="630"/>
      <c r="H58" s="630"/>
      <c r="I58" s="630"/>
      <c r="J58" s="631"/>
      <c r="K58" s="125">
        <v>40112</v>
      </c>
    </row>
    <row r="59" spans="2:11" ht="13.5" hidden="1">
      <c r="B59" s="124" t="s">
        <v>214</v>
      </c>
      <c r="C59" s="629" t="s">
        <v>215</v>
      </c>
      <c r="D59" s="630"/>
      <c r="E59" s="630"/>
      <c r="F59" s="630"/>
      <c r="G59" s="630"/>
      <c r="H59" s="630"/>
      <c r="I59" s="630"/>
      <c r="J59" s="631"/>
      <c r="K59" s="125">
        <v>40364</v>
      </c>
    </row>
    <row r="60" spans="2:11" ht="13.5" hidden="1">
      <c r="B60" s="124" t="s">
        <v>218</v>
      </c>
      <c r="C60" s="629" t="s">
        <v>219</v>
      </c>
      <c r="D60" s="630"/>
      <c r="E60" s="630"/>
      <c r="F60" s="630"/>
      <c r="G60" s="630"/>
      <c r="H60" s="630"/>
      <c r="I60" s="630"/>
      <c r="J60" s="631"/>
      <c r="K60" s="125">
        <v>40407</v>
      </c>
    </row>
    <row r="61" spans="2:11" ht="13.5" hidden="1">
      <c r="B61" s="124" t="s">
        <v>220</v>
      </c>
      <c r="C61" s="629" t="s">
        <v>221</v>
      </c>
      <c r="D61" s="630"/>
      <c r="E61" s="630"/>
      <c r="F61" s="630"/>
      <c r="G61" s="630"/>
      <c r="H61" s="630"/>
      <c r="I61" s="630"/>
      <c r="J61" s="631"/>
      <c r="K61" s="125">
        <v>40456</v>
      </c>
    </row>
    <row r="62" spans="2:11" ht="13.5" hidden="1">
      <c r="B62" s="124" t="s">
        <v>226</v>
      </c>
      <c r="C62" s="629" t="s">
        <v>227</v>
      </c>
      <c r="D62" s="630"/>
      <c r="E62" s="630"/>
      <c r="F62" s="630"/>
      <c r="G62" s="630"/>
      <c r="H62" s="630"/>
      <c r="I62" s="630"/>
      <c r="J62" s="631"/>
      <c r="K62" s="125">
        <v>40487</v>
      </c>
    </row>
    <row r="63" spans="2:11" ht="13.5" hidden="1">
      <c r="B63" s="124" t="s">
        <v>228</v>
      </c>
      <c r="C63" s="629" t="s">
        <v>229</v>
      </c>
      <c r="D63" s="630"/>
      <c r="E63" s="630"/>
      <c r="F63" s="630"/>
      <c r="G63" s="630"/>
      <c r="H63" s="630"/>
      <c r="I63" s="630"/>
      <c r="J63" s="631"/>
      <c r="K63" s="125">
        <v>40847</v>
      </c>
    </row>
    <row r="64" spans="2:11" ht="27" hidden="1" customHeight="1">
      <c r="B64" s="124" t="s">
        <v>295</v>
      </c>
      <c r="C64" s="629" t="s">
        <v>296</v>
      </c>
      <c r="D64" s="630"/>
      <c r="E64" s="630"/>
      <c r="F64" s="630"/>
      <c r="G64" s="630"/>
      <c r="H64" s="630"/>
      <c r="I64" s="630"/>
      <c r="J64" s="631"/>
      <c r="K64" s="125">
        <v>40981</v>
      </c>
    </row>
    <row r="65" spans="2:11" ht="13.5" hidden="1">
      <c r="B65" s="124" t="s">
        <v>316</v>
      </c>
      <c r="C65" s="629" t="s">
        <v>326</v>
      </c>
      <c r="D65" s="630"/>
      <c r="E65" s="630"/>
      <c r="F65" s="630"/>
      <c r="G65" s="630"/>
      <c r="H65" s="630"/>
      <c r="I65" s="630"/>
      <c r="J65" s="631"/>
      <c r="K65" s="125">
        <v>41068</v>
      </c>
    </row>
    <row r="66" spans="2:11" ht="13.5" hidden="1">
      <c r="B66" s="124" t="s">
        <v>325</v>
      </c>
      <c r="C66" s="629" t="s">
        <v>327</v>
      </c>
      <c r="D66" s="630"/>
      <c r="E66" s="630"/>
      <c r="F66" s="630"/>
      <c r="G66" s="630"/>
      <c r="H66" s="630"/>
      <c r="I66" s="630"/>
      <c r="J66" s="631"/>
      <c r="K66" s="125">
        <v>41100</v>
      </c>
    </row>
    <row r="67" spans="2:11" ht="13.5" hidden="1">
      <c r="B67" s="124" t="s">
        <v>330</v>
      </c>
      <c r="C67" s="629" t="s">
        <v>331</v>
      </c>
      <c r="D67" s="630"/>
      <c r="E67" s="630"/>
      <c r="F67" s="630"/>
      <c r="G67" s="630"/>
      <c r="H67" s="630"/>
      <c r="I67" s="630"/>
      <c r="J67" s="631"/>
      <c r="K67" s="125">
        <v>41292</v>
      </c>
    </row>
    <row r="68" spans="2:11" ht="52.7" hidden="1" customHeight="1">
      <c r="B68" s="124" t="s">
        <v>332</v>
      </c>
      <c r="C68" s="629" t="s">
        <v>344</v>
      </c>
      <c r="D68" s="630"/>
      <c r="E68" s="630"/>
      <c r="F68" s="630"/>
      <c r="G68" s="630"/>
      <c r="H68" s="630"/>
      <c r="I68" s="630"/>
      <c r="J68" s="631"/>
      <c r="K68" s="125">
        <v>41806</v>
      </c>
    </row>
    <row r="69" spans="2:11" ht="13.5" hidden="1">
      <c r="B69" s="124" t="s">
        <v>347</v>
      </c>
      <c r="C69" s="629" t="s">
        <v>348</v>
      </c>
      <c r="D69" s="630"/>
      <c r="E69" s="630"/>
      <c r="F69" s="630"/>
      <c r="G69" s="630"/>
      <c r="H69" s="630"/>
      <c r="I69" s="630"/>
      <c r="J69" s="631"/>
      <c r="K69" s="125">
        <v>41815</v>
      </c>
    </row>
    <row r="70" spans="2:11" ht="13.5" hidden="1">
      <c r="B70" s="124" t="s">
        <v>357</v>
      </c>
      <c r="C70" s="629" t="s">
        <v>358</v>
      </c>
      <c r="D70" s="630"/>
      <c r="E70" s="630"/>
      <c r="F70" s="630"/>
      <c r="G70" s="630"/>
      <c r="H70" s="630"/>
      <c r="I70" s="630"/>
      <c r="J70" s="631"/>
      <c r="K70" s="125"/>
    </row>
    <row r="71" spans="2:11" ht="13.5">
      <c r="B71" s="124" t="s">
        <v>430</v>
      </c>
      <c r="C71" s="629" t="s">
        <v>429</v>
      </c>
      <c r="D71" s="630"/>
      <c r="E71" s="630"/>
      <c r="F71" s="630"/>
      <c r="G71" s="630"/>
      <c r="H71" s="630"/>
      <c r="I71" s="630"/>
      <c r="J71" s="631"/>
      <c r="K71" s="125"/>
    </row>
    <row r="72" spans="2:11" ht="13.5">
      <c r="B72" s="124" t="s">
        <v>428</v>
      </c>
      <c r="C72" s="629" t="s">
        <v>431</v>
      </c>
      <c r="D72" s="630"/>
      <c r="E72" s="630"/>
      <c r="F72" s="630"/>
      <c r="G72" s="630"/>
      <c r="H72" s="630"/>
      <c r="I72" s="630"/>
      <c r="J72" s="631"/>
      <c r="K72" s="125">
        <v>42851</v>
      </c>
    </row>
    <row r="73" spans="2:11" ht="13.5">
      <c r="B73" s="124" t="s">
        <v>53</v>
      </c>
      <c r="C73" s="629" t="s">
        <v>448</v>
      </c>
      <c r="D73" s="630"/>
      <c r="E73" s="630"/>
      <c r="F73" s="630"/>
      <c r="G73" s="630"/>
      <c r="H73" s="630"/>
      <c r="I73" s="630"/>
      <c r="J73" s="631"/>
      <c r="K73" s="125">
        <v>42909</v>
      </c>
    </row>
    <row r="74" spans="2:11" ht="13.5">
      <c r="B74" s="124"/>
      <c r="C74" s="629"/>
      <c r="D74" s="630"/>
      <c r="E74" s="630"/>
      <c r="F74" s="630"/>
      <c r="G74" s="630"/>
      <c r="H74" s="630"/>
      <c r="I74" s="630"/>
      <c r="J74" s="631"/>
      <c r="K74" s="125"/>
    </row>
    <row r="75" spans="2:11" ht="13.5">
      <c r="B75" s="124"/>
      <c r="C75" s="629"/>
      <c r="D75" s="630"/>
      <c r="E75" s="630"/>
      <c r="F75" s="630"/>
      <c r="G75" s="630"/>
      <c r="H75" s="630"/>
      <c r="I75" s="630"/>
      <c r="J75" s="631"/>
      <c r="K75" s="125"/>
    </row>
    <row r="76" spans="2:11" ht="13.5">
      <c r="B76" s="124"/>
      <c r="C76" s="629"/>
      <c r="D76" s="630"/>
      <c r="E76" s="630"/>
      <c r="F76" s="630"/>
      <c r="G76" s="630"/>
      <c r="H76" s="630"/>
      <c r="I76" s="630"/>
      <c r="J76" s="631"/>
      <c r="K76" s="125"/>
    </row>
    <row r="77" spans="2:11" ht="13.5">
      <c r="B77" s="124"/>
      <c r="C77" s="629"/>
      <c r="D77" s="630"/>
      <c r="E77" s="630"/>
      <c r="F77" s="630"/>
      <c r="G77" s="630"/>
      <c r="H77" s="630"/>
      <c r="I77" s="630"/>
      <c r="J77" s="631"/>
      <c r="K77" s="125"/>
    </row>
    <row r="78" spans="2:11" ht="13.5">
      <c r="B78" s="124"/>
      <c r="C78" s="629"/>
      <c r="D78" s="630"/>
      <c r="E78" s="630"/>
      <c r="F78" s="630"/>
      <c r="G78" s="630"/>
      <c r="H78" s="630"/>
      <c r="I78" s="630"/>
      <c r="J78" s="631"/>
      <c r="K78" s="125"/>
    </row>
    <row r="79" spans="2:11" ht="13.5">
      <c r="B79" s="124"/>
      <c r="C79" s="629"/>
      <c r="D79" s="630"/>
      <c r="E79" s="630"/>
      <c r="F79" s="630"/>
      <c r="G79" s="630"/>
      <c r="H79" s="630"/>
      <c r="I79" s="630"/>
      <c r="J79" s="631"/>
      <c r="K79" s="125"/>
    </row>
    <row r="80" spans="2:11" ht="13.5">
      <c r="B80" s="124"/>
      <c r="C80" s="629"/>
      <c r="D80" s="630"/>
      <c r="E80" s="630"/>
      <c r="F80" s="630"/>
      <c r="G80" s="630"/>
      <c r="H80" s="630"/>
      <c r="I80" s="630"/>
      <c r="J80" s="631"/>
      <c r="K80" s="125"/>
    </row>
    <row r="81" spans="2:11" ht="13.5">
      <c r="B81" s="124"/>
      <c r="C81" s="629"/>
      <c r="D81" s="630"/>
      <c r="E81" s="630"/>
      <c r="F81" s="630"/>
      <c r="G81" s="630"/>
      <c r="H81" s="630"/>
      <c r="I81" s="630"/>
      <c r="J81" s="631"/>
      <c r="K81" s="125"/>
    </row>
    <row r="82" spans="2:11" ht="13.5">
      <c r="B82" s="124"/>
      <c r="C82" s="629"/>
      <c r="D82" s="630"/>
      <c r="E82" s="630"/>
      <c r="F82" s="630"/>
      <c r="G82" s="630"/>
      <c r="H82" s="630"/>
      <c r="I82" s="630"/>
      <c r="J82" s="631"/>
      <c r="K82" s="125"/>
    </row>
    <row r="83" spans="2:11" ht="13.5">
      <c r="B83" s="124"/>
      <c r="C83" s="629"/>
      <c r="D83" s="630"/>
      <c r="E83" s="630"/>
      <c r="F83" s="630"/>
      <c r="G83" s="630"/>
      <c r="H83" s="630"/>
      <c r="I83" s="630"/>
      <c r="J83" s="631"/>
      <c r="K83" s="125"/>
    </row>
    <row r="84" spans="2:11" ht="13.5">
      <c r="B84" s="124"/>
      <c r="C84" s="629"/>
      <c r="D84" s="630"/>
      <c r="E84" s="630"/>
      <c r="F84" s="630"/>
      <c r="G84" s="630"/>
      <c r="H84" s="630"/>
      <c r="I84" s="630"/>
      <c r="J84" s="631"/>
      <c r="K84" s="125"/>
    </row>
    <row r="85" spans="2:11" ht="13.5">
      <c r="B85" s="124"/>
      <c r="C85" s="629"/>
      <c r="D85" s="630"/>
      <c r="E85" s="630"/>
      <c r="F85" s="630"/>
      <c r="G85" s="630"/>
      <c r="H85" s="630"/>
      <c r="I85" s="630"/>
      <c r="J85" s="631"/>
      <c r="K85" s="125"/>
    </row>
    <row r="86" spans="2:11" ht="13.5">
      <c r="B86" s="124"/>
      <c r="C86" s="629"/>
      <c r="D86" s="630"/>
      <c r="E86" s="630"/>
      <c r="F86" s="630"/>
      <c r="G86" s="630"/>
      <c r="H86" s="630"/>
      <c r="I86" s="630"/>
      <c r="J86" s="631"/>
      <c r="K86" s="125"/>
    </row>
    <row r="87" spans="2:11" ht="14.25" thickBot="1">
      <c r="B87" s="126"/>
      <c r="C87" s="656"/>
      <c r="D87" s="656"/>
      <c r="E87" s="656"/>
      <c r="F87" s="656"/>
      <c r="G87" s="656"/>
      <c r="H87" s="656"/>
      <c r="I87" s="656"/>
      <c r="J87" s="657"/>
      <c r="K87" s="127"/>
    </row>
    <row r="88" spans="2:11">
      <c r="B88" s="20"/>
    </row>
    <row r="89" spans="2:11">
      <c r="B89" s="20"/>
    </row>
    <row r="90" spans="2:11">
      <c r="B90" s="20"/>
    </row>
    <row r="91" spans="2:11">
      <c r="B91" s="20"/>
    </row>
    <row r="92" spans="2:11">
      <c r="B92" s="20"/>
    </row>
  </sheetData>
  <sheetProtection algorithmName="SHA-512" hashValue="nO7LOQw1G7CwHc1zTTSd5FioSLHcpRFL5RV36TPWQH2cw58emRUrO7VCABuXVYkGAWA3WTDASJqE2dL5CqwzMw==" saltValue="lWPAvFXU2C5FxpL4rxKSbw==" spinCount="100000" sheet="1" objects="1" scenarios="1" selectLockedCells="1"/>
  <protectedRanges>
    <protectedRange sqref="I24" name="Range8"/>
    <protectedRange sqref="F10:F12" name="Range2"/>
    <protectedRange sqref="H10:H12" name="Range1"/>
    <protectedRange sqref="C3:J3" name="Range3_2"/>
    <protectedRange sqref="I20:J22" name="Range4"/>
    <protectedRange sqref="L20:L22" name="Range5"/>
    <protectedRange sqref="I15:J17" name="Range6"/>
    <protectedRange sqref="F20:F25" name="Range7"/>
  </protectedRanges>
  <mergeCells count="81">
    <mergeCell ref="AC9:AD9"/>
    <mergeCell ref="AE9:AF9"/>
    <mergeCell ref="AG9:AI12"/>
    <mergeCell ref="AC14:AD14"/>
    <mergeCell ref="Z1:AK1"/>
    <mergeCell ref="C66:J66"/>
    <mergeCell ref="C61:J61"/>
    <mergeCell ref="C85:J85"/>
    <mergeCell ref="C64:J64"/>
    <mergeCell ref="C67:J67"/>
    <mergeCell ref="C71:J71"/>
    <mergeCell ref="C65:J65"/>
    <mergeCell ref="C83:J83"/>
    <mergeCell ref="C84:J84"/>
    <mergeCell ref="C81:J81"/>
    <mergeCell ref="C82:J82"/>
    <mergeCell ref="C79:J79"/>
    <mergeCell ref="C80:J80"/>
    <mergeCell ref="C72:J72"/>
    <mergeCell ref="C73:J73"/>
    <mergeCell ref="C74:J74"/>
    <mergeCell ref="C87:J87"/>
    <mergeCell ref="C68:J68"/>
    <mergeCell ref="C86:J86"/>
    <mergeCell ref="C69:J69"/>
    <mergeCell ref="C70:J70"/>
    <mergeCell ref="C75:J75"/>
    <mergeCell ref="C76:J76"/>
    <mergeCell ref="C77:J77"/>
    <mergeCell ref="C78:J78"/>
    <mergeCell ref="C58:J58"/>
    <mergeCell ref="C63:J63"/>
    <mergeCell ref="C51:J51"/>
    <mergeCell ref="C60:J60"/>
    <mergeCell ref="C39:J39"/>
    <mergeCell ref="C62:J62"/>
    <mergeCell ref="C48:J48"/>
    <mergeCell ref="C44:J44"/>
    <mergeCell ref="C41:J41"/>
    <mergeCell ref="C45:J45"/>
    <mergeCell ref="C49:J49"/>
    <mergeCell ref="C47:J47"/>
    <mergeCell ref="C59:J59"/>
    <mergeCell ref="C42:J42"/>
    <mergeCell ref="C43:J43"/>
    <mergeCell ref="C56:J56"/>
    <mergeCell ref="C38:J38"/>
    <mergeCell ref="C52:J52"/>
    <mergeCell ref="C46:J46"/>
    <mergeCell ref="C53:J53"/>
    <mergeCell ref="I9:K12"/>
    <mergeCell ref="E9:F9"/>
    <mergeCell ref="C34:J34"/>
    <mergeCell ref="C35:J35"/>
    <mergeCell ref="C36:J36"/>
    <mergeCell ref="C37:J37"/>
    <mergeCell ref="C50:J50"/>
    <mergeCell ref="G9:H9"/>
    <mergeCell ref="E14:F14"/>
    <mergeCell ref="C54:J54"/>
    <mergeCell ref="C57:J57"/>
    <mergeCell ref="C55:J55"/>
    <mergeCell ref="C40:J40"/>
    <mergeCell ref="N2:V2"/>
    <mergeCell ref="N3:V3"/>
    <mergeCell ref="N4:V4"/>
    <mergeCell ref="N5:V5"/>
    <mergeCell ref="N6:V6"/>
    <mergeCell ref="N7:V7"/>
    <mergeCell ref="N8:V8"/>
    <mergeCell ref="N9:V9"/>
    <mergeCell ref="N10:V10"/>
    <mergeCell ref="N11:V11"/>
    <mergeCell ref="N17:V17"/>
    <mergeCell ref="N18:V18"/>
    <mergeCell ref="AF24:AJ24"/>
    <mergeCell ref="N12:V12"/>
    <mergeCell ref="N13:V13"/>
    <mergeCell ref="N14:V14"/>
    <mergeCell ref="N15:V15"/>
    <mergeCell ref="N16:V16"/>
  </mergeCells>
  <phoneticPr fontId="3"/>
  <conditionalFormatting sqref="C3:J3">
    <cfRule type="expression" dxfId="44" priority="9">
      <formula>C3&lt;&gt;AA3</formula>
    </cfRule>
  </conditionalFormatting>
  <conditionalFormatting sqref="F10:F12">
    <cfRule type="expression" dxfId="43" priority="8">
      <formula>F10&lt;&gt;AD10</formula>
    </cfRule>
  </conditionalFormatting>
  <conditionalFormatting sqref="H10:H12">
    <cfRule type="expression" dxfId="42" priority="7">
      <formula>H10&lt;&gt;AF10</formula>
    </cfRule>
  </conditionalFormatting>
  <conditionalFormatting sqref="I15:J17">
    <cfRule type="expression" dxfId="41" priority="6">
      <formula>I15&lt;&gt;AG15</formula>
    </cfRule>
  </conditionalFormatting>
  <conditionalFormatting sqref="I20:J22">
    <cfRule type="expression" dxfId="40" priority="5">
      <formula>I20&lt;&gt;AG20</formula>
    </cfRule>
  </conditionalFormatting>
  <conditionalFormatting sqref="L20:L22">
    <cfRule type="expression" dxfId="39" priority="4">
      <formula>L20&lt;&gt;AJ20</formula>
    </cfRule>
  </conditionalFormatting>
  <conditionalFormatting sqref="F20:F25">
    <cfRule type="expression" dxfId="38" priority="3">
      <formula>F20&lt;&gt;AD20</formula>
    </cfRule>
  </conditionalFormatting>
  <conditionalFormatting sqref="C16">
    <cfRule type="expression" dxfId="37" priority="2">
      <formula>C16&lt;&gt;AA16</formula>
    </cfRule>
  </conditionalFormatting>
  <printOptions horizontalCentered="1"/>
  <pageMargins left="0.59055118110236227" right="0.39370078740157483" top="0.39370078740157483" bottom="0.39370078740157483" header="0.51181102362204722" footer="0.51181102362204722"/>
  <pageSetup paperSize="9" orientation="landscape" r:id="rId1"/>
  <headerFooter alignWithMargins="0"/>
  <legacyDrawing r:id="rId2"/>
</worksheet>
</file>

<file path=xl/worksheets/sheet9.xml><?xml version="1.0" encoding="utf-8"?>
<worksheet xmlns="http://schemas.openxmlformats.org/spreadsheetml/2006/main" xmlns:r="http://schemas.openxmlformats.org/officeDocument/2006/relationships">
  <sheetPr codeName="Sheet11"/>
  <dimension ref="B1:Q37"/>
  <sheetViews>
    <sheetView view="pageBreakPreview" zoomScale="85" zoomScaleNormal="100" workbookViewId="0">
      <selection activeCell="H5" sqref="H5"/>
    </sheetView>
  </sheetViews>
  <sheetFormatPr defaultRowHeight="15"/>
  <cols>
    <col min="1" max="1" width="1.625" style="8" customWidth="1"/>
    <col min="2" max="2" width="3.875" style="8" bestFit="1" customWidth="1"/>
    <col min="3" max="3" width="30.625" style="8" customWidth="1"/>
    <col min="4" max="15" width="9.875" style="23" customWidth="1"/>
    <col min="16" max="16" width="6.5" style="8" bestFit="1" customWidth="1"/>
    <col min="17" max="17" width="39.625" style="8" customWidth="1"/>
    <col min="18" max="18" width="1.625" style="8" customWidth="1"/>
    <col min="19" max="19" width="11.625" style="8" customWidth="1"/>
    <col min="20" max="20" width="4.5" style="8" customWidth="1"/>
    <col min="21" max="16384" width="9" style="8"/>
  </cols>
  <sheetData>
    <row r="1" spans="2:17">
      <c r="B1" s="619" t="s">
        <v>95</v>
      </c>
      <c r="C1" s="619"/>
      <c r="D1" s="619"/>
      <c r="E1" s="619"/>
      <c r="F1" s="619"/>
      <c r="G1" s="619"/>
      <c r="H1" s="619"/>
      <c r="I1" s="619"/>
      <c r="J1" s="619"/>
      <c r="K1" s="619"/>
      <c r="L1" s="619"/>
      <c r="M1" s="619"/>
      <c r="N1" s="131"/>
      <c r="O1" s="131"/>
      <c r="P1" s="131"/>
      <c r="Q1" s="131"/>
    </row>
    <row r="2" spans="2:17">
      <c r="B2" s="22"/>
      <c r="C2" s="22"/>
      <c r="D2" s="24"/>
      <c r="E2" s="24"/>
      <c r="F2" s="24"/>
      <c r="G2" s="24"/>
      <c r="H2" s="24"/>
      <c r="I2" s="24"/>
      <c r="J2" s="24"/>
      <c r="K2" s="24"/>
      <c r="L2" s="24"/>
      <c r="M2" s="24"/>
      <c r="N2" s="24"/>
      <c r="O2" s="24"/>
      <c r="P2" s="22"/>
      <c r="Q2" s="22"/>
    </row>
    <row r="3" spans="2:17" s="46" customFormat="1" ht="30" customHeight="1" thickBot="1">
      <c r="B3" s="44"/>
      <c r="C3" s="45" t="s">
        <v>409</v>
      </c>
      <c r="D3" s="59">
        <f t="shared" ref="D3:O3" si="0">SUM(D5:D34)</f>
        <v>5</v>
      </c>
      <c r="E3" s="59">
        <f t="shared" si="0"/>
        <v>0</v>
      </c>
      <c r="F3" s="59">
        <f t="shared" si="0"/>
        <v>10</v>
      </c>
      <c r="G3" s="59">
        <f t="shared" si="0"/>
        <v>0</v>
      </c>
      <c r="H3" s="59">
        <f t="shared" si="0"/>
        <v>3.1219999999999999</v>
      </c>
      <c r="I3" s="59">
        <f t="shared" si="0"/>
        <v>0</v>
      </c>
      <c r="J3" s="59">
        <f t="shared" si="0"/>
        <v>0</v>
      </c>
      <c r="K3" s="59">
        <f t="shared" si="0"/>
        <v>0</v>
      </c>
      <c r="L3" s="59">
        <f t="shared" si="0"/>
        <v>0</v>
      </c>
      <c r="M3" s="59">
        <f t="shared" si="0"/>
        <v>0</v>
      </c>
      <c r="N3" s="59">
        <f t="shared" si="0"/>
        <v>48</v>
      </c>
      <c r="O3" s="59">
        <f t="shared" si="0"/>
        <v>3</v>
      </c>
      <c r="P3" s="8"/>
    </row>
    <row r="4" spans="2:17" ht="26.25" thickBot="1">
      <c r="B4" s="10" t="s">
        <v>1</v>
      </c>
      <c r="C4" s="11" t="s">
        <v>2</v>
      </c>
      <c r="D4" s="370" t="s">
        <v>403</v>
      </c>
      <c r="E4" s="25" t="s">
        <v>392</v>
      </c>
      <c r="F4" s="370" t="s">
        <v>402</v>
      </c>
      <c r="G4" s="25" t="s">
        <v>364</v>
      </c>
      <c r="H4" s="370" t="s">
        <v>401</v>
      </c>
      <c r="I4" s="25" t="s">
        <v>365</v>
      </c>
      <c r="J4" s="370" t="s">
        <v>400</v>
      </c>
      <c r="K4" s="370" t="s">
        <v>404</v>
      </c>
      <c r="L4" s="370" t="s">
        <v>405</v>
      </c>
      <c r="M4" s="370" t="s">
        <v>406</v>
      </c>
      <c r="N4" s="370" t="s">
        <v>407</v>
      </c>
      <c r="O4" s="370" t="s">
        <v>408</v>
      </c>
      <c r="P4" s="46" t="s">
        <v>349</v>
      </c>
    </row>
    <row r="5" spans="2:17">
      <c r="B5" s="165">
        <f>ROW() - 4</f>
        <v>1</v>
      </c>
      <c r="C5" s="249" t="s">
        <v>56</v>
      </c>
      <c r="D5" s="250">
        <f>IF(C5="","",SUMIF(BD!$C$4:$C$33,C5,BD!$D$4:$D$33))</f>
        <v>5</v>
      </c>
      <c r="E5" s="250"/>
      <c r="F5" s="250">
        <f>IF(C5="","",SUMIF(DD!$C$4:$C$53,C5,DD!$E$4:$E$53))</f>
        <v>10</v>
      </c>
      <c r="G5" s="250"/>
      <c r="H5" s="250">
        <f>IF(C5="","",(SUMIF('PG1'!$C$4:$C$53,C5,'PG1'!$L$4:$L$53) + SUMIF('PG2'!$C$4:$C$53,C5,'PG2'!$E$4:$E$53) + SUMIF('PG3'!$C$4:$C$53,C5,'PG3'!$E$4:$E$53)+ (SUMIF('PG2'!$C$4:$C$53,C5,'PG2'!$F$4:$F$53) + SUMIF('PG3'!$C$4:$C$53,C5,'PG3'!$F$4:$F$53))*SampleLOCConvRate)/1000)</f>
        <v>3.1219999999999999</v>
      </c>
      <c r="I5" s="250"/>
      <c r="J5" s="250">
        <f>IF(C5="","",SUMIF('PT1(UT)'!$C$4:$C$53,C5,'PT1(UT)'!$H$4:$H$53))</f>
        <v>0</v>
      </c>
      <c r="K5" s="250">
        <f>IF(C5="","",ROUND((SUMIF('PT1(UT)'!$C$4:$C$53,C5,'PT1(UT)'!$F$4:$F$53) +SUMIF('PT1(UT)'!$C$4:$C$53,C5,'PT1(UT)'!$G$4:$G$53)*SampleLOCConvRate)/1000*AvgUTBugKLOC,0))</f>
        <v>0</v>
      </c>
      <c r="L5" s="250">
        <f>IF(C5="","",SUMIF('PT2(CT)'!$C$4:$C$53,C5,'PT2(CT)'!$H$4:$H$53))</f>
        <v>0</v>
      </c>
      <c r="M5" s="250">
        <f>IF(C5="","",ROUND((SUMIF('PT2(CT)'!$C$4:$C$53,C5,'PT2(CT)'!$F$4:$F$53) +SUMIF('PT2(CT)'!$C$4:$C$53,C5,'PT2(CT)'!$G$4:$G$53)*SampleLOCConvRate)/1000*AvgCTBugKLOC,0))</f>
        <v>0</v>
      </c>
      <c r="N5" s="250">
        <f>IF(C5="","",SUMIF('PT2(ST)'!$C$4:$C$53,C5,'PT2(ST)'!$H$4:$H$53))</f>
        <v>48</v>
      </c>
      <c r="O5" s="250">
        <f>IF(C5="","",ROUND((SUMIF('PT2(ST)'!$C$4:$C$53,C5,'PT2(ST)'!$F$4:$F$53) +SUMIF('PT2(ST)'!$C$4:$C$53,C5,'PT2(ST)'!$G$4:$G$53)*SampleLOCConvRate)/1000*AvgSTBugKLOC,0))</f>
        <v>3</v>
      </c>
      <c r="P5" s="8">
        <f>COUNTIF($C$5:$C$34,C5)</f>
        <v>1</v>
      </c>
    </row>
    <row r="6" spans="2:17">
      <c r="B6" s="169">
        <f t="shared" ref="B6:B34" si="1">ROW() - 4</f>
        <v>2</v>
      </c>
      <c r="C6" s="251" t="s">
        <v>58</v>
      </c>
      <c r="D6" s="252">
        <f>IF(C6="","",SUMIF(BD!$C$4:$C$33,C6,BD!$D$4:$D$33))</f>
        <v>0</v>
      </c>
      <c r="E6" s="252"/>
      <c r="F6" s="252">
        <f>IF(C6="","",SUMIF(DD!$C$4:$C$53,C6,DD!$E$4:$E$53))</f>
        <v>0</v>
      </c>
      <c r="G6" s="252"/>
      <c r="H6" s="252">
        <f>IF(C6="","",(SUMIF('PG1'!$C$4:$C$53,C6,'PG1'!$L$4:$L$53) + SUMIF('PG2'!$C$4:$C$53,C6,'PG2'!$E$4:$E$53) + SUMIF('PG3'!$C$4:$C$53,C6,'PG3'!$E$4:$E$53)+ (SUMIF('PG2'!$C$4:$C$53,C6,'PG2'!$F$4:$F$53) + SUMIF('PG3'!$C$4:$C$53,C6,'PG3'!$F$4:$F$53))*SampleLOCConvRate)/1000)</f>
        <v>0</v>
      </c>
      <c r="I6" s="252"/>
      <c r="J6" s="252">
        <f>IF(C6="","",SUMIF('PT1(UT)'!$C$4:$C$53,C6,'PT1(UT)'!$H$4:$H$53))</f>
        <v>0</v>
      </c>
      <c r="K6" s="252">
        <f>IF(C6="","",ROUND((SUMIF('PT1(UT)'!$C$4:$C$53,C6,'PT1(UT)'!$F$4:$F$53) +SUMIF('PT1(UT)'!$C$4:$C$53,C6,'PT1(UT)'!$G$4:$G$53)*SampleLOCConvRate)/1000*AvgUTBugKLOC,0))</f>
        <v>0</v>
      </c>
      <c r="L6" s="252">
        <f>IF(C6="","",SUMIF('PT2(CT)'!$C$4:$C$53,C6,'PT2(CT)'!$H$4:$H$53))</f>
        <v>0</v>
      </c>
      <c r="M6" s="252">
        <f>IF(C6="","",ROUND((SUMIF('PT2(CT)'!$C$4:$C$53,C6,'PT2(CT)'!$F$4:$F$53) +SUMIF('PT2(CT)'!$C$4:$C$53,C6,'PT2(CT)'!$G$4:$G$53)*SampleLOCConvRate)/1000*AvgCTBugKLOC,0))</f>
        <v>0</v>
      </c>
      <c r="N6" s="252">
        <f>IF(C6="","",SUMIF('PT2(ST)'!$C$4:$C$53,C6,'PT2(ST)'!$H$4:$H$53))</f>
        <v>0</v>
      </c>
      <c r="O6" s="252">
        <f>IF(C6="","",ROUND((SUMIF('PT2(ST)'!$C$4:$C$53,C6,'PT2(ST)'!$F$4:$F$53) +SUMIF('PT2(ST)'!$C$4:$C$53,C6,'PT2(ST)'!$G$4:$G$53)*SampleLOCConvRate)/1000*AvgSTBugKLOC,0))</f>
        <v>0</v>
      </c>
      <c r="P6" s="8">
        <f t="shared" ref="P6:P34" si="2">COUNTIF($C$5:$C$34,C6)</f>
        <v>1</v>
      </c>
    </row>
    <row r="7" spans="2:17">
      <c r="B7" s="173">
        <f t="shared" si="1"/>
        <v>3</v>
      </c>
      <c r="C7" s="253" t="s">
        <v>60</v>
      </c>
      <c r="D7" s="254">
        <f>IF(C7="","",SUMIF(BD!$C$4:$C$33,C7,BD!$D$4:$D$33))</f>
        <v>0</v>
      </c>
      <c r="E7" s="254"/>
      <c r="F7" s="254">
        <f>IF(C7="","",SUMIF(DD!$C$4:$C$53,C7,DD!$E$4:$E$53))</f>
        <v>0</v>
      </c>
      <c r="G7" s="254"/>
      <c r="H7" s="254">
        <f>IF(C7="","",(SUMIF('PG1'!$C$4:$C$53,C7,'PG1'!$L$4:$L$53) + SUMIF('PG2'!$C$4:$C$53,C7,'PG2'!$E$4:$E$53) + SUMIF('PG3'!$C$4:$C$53,C7,'PG3'!$E$4:$E$53)+ (SUMIF('PG2'!$C$4:$C$53,C7,'PG2'!$F$4:$F$53) + SUMIF('PG3'!$C$4:$C$53,C7,'PG3'!$F$4:$F$53))*SampleLOCConvRate)/1000)</f>
        <v>0</v>
      </c>
      <c r="I7" s="254"/>
      <c r="J7" s="254">
        <f>IF(C7="","",SUMIF('PT1(UT)'!$C$4:$C$53,C7,'PT1(UT)'!$H$4:$H$53))</f>
        <v>0</v>
      </c>
      <c r="K7" s="254">
        <f>IF(C7="","",ROUND((SUMIF('PT1(UT)'!$C$4:$C$53,C7,'PT1(UT)'!$F$4:$F$53) +SUMIF('PT1(UT)'!$C$4:$C$53,C7,'PT1(UT)'!$G$4:$G$53)*SampleLOCConvRate)/1000*AvgUTBugKLOC,0))</f>
        <v>0</v>
      </c>
      <c r="L7" s="254">
        <f>IF(C7="","",SUMIF('PT2(CT)'!$C$4:$C$53,C7,'PT2(CT)'!$H$4:$H$53))</f>
        <v>0</v>
      </c>
      <c r="M7" s="254">
        <f>IF(C7="","",ROUND((SUMIF('PT2(CT)'!$C$4:$C$53,C7,'PT2(CT)'!$F$4:$F$53) +SUMIF('PT2(CT)'!$C$4:$C$53,C7,'PT2(CT)'!$G$4:$G$53)*SampleLOCConvRate)/1000*AvgCTBugKLOC,0))</f>
        <v>0</v>
      </c>
      <c r="N7" s="254">
        <f>IF(C7="","",SUMIF('PT2(ST)'!$C$4:$C$53,C7,'PT2(ST)'!$H$4:$H$53))</f>
        <v>0</v>
      </c>
      <c r="O7" s="254">
        <f>IF(C7="","",ROUND((SUMIF('PT2(ST)'!$C$4:$C$53,C7,'PT2(ST)'!$F$4:$F$53) +SUMIF('PT2(ST)'!$C$4:$C$53,C7,'PT2(ST)'!$G$4:$G$53)*SampleLOCConvRate)/1000*AvgSTBugKLOC,0))</f>
        <v>0</v>
      </c>
      <c r="P7" s="8">
        <f t="shared" si="2"/>
        <v>1</v>
      </c>
    </row>
    <row r="8" spans="2:17">
      <c r="B8" s="169">
        <f t="shared" si="1"/>
        <v>4</v>
      </c>
      <c r="C8" s="251" t="s">
        <v>62</v>
      </c>
      <c r="D8" s="252">
        <f>IF(C8="","",SUMIF(BD!$C$4:$C$33,C8,BD!$D$4:$D$33))</f>
        <v>0</v>
      </c>
      <c r="E8" s="252"/>
      <c r="F8" s="252">
        <f>IF(C8="","",SUMIF(DD!$C$4:$C$53,C8,DD!$E$4:$E$53))</f>
        <v>0</v>
      </c>
      <c r="G8" s="252"/>
      <c r="H8" s="252">
        <f>IF(C8="","",(SUMIF('PG1'!$C$4:$C$53,C8,'PG1'!$L$4:$L$53) + SUMIF('PG2'!$C$4:$C$53,C8,'PG2'!$E$4:$E$53) + SUMIF('PG3'!$C$4:$C$53,C8,'PG3'!$E$4:$E$53)+ (SUMIF('PG2'!$C$4:$C$53,C8,'PG2'!$F$4:$F$53) + SUMIF('PG3'!$C$4:$C$53,C8,'PG3'!$F$4:$F$53))*SampleLOCConvRate)/1000)</f>
        <v>0</v>
      </c>
      <c r="I8" s="252"/>
      <c r="J8" s="252">
        <f>IF(C8="","",SUMIF('PT1(UT)'!$C$4:$C$53,C8,'PT1(UT)'!$H$4:$H$53))</f>
        <v>0</v>
      </c>
      <c r="K8" s="252">
        <f>IF(C8="","",ROUND((SUMIF('PT1(UT)'!$C$4:$C$53,C8,'PT1(UT)'!$F$4:$F$53) +SUMIF('PT1(UT)'!$C$4:$C$53,C8,'PT1(UT)'!$G$4:$G$53)*SampleLOCConvRate)/1000*AvgUTBugKLOC,0))</f>
        <v>0</v>
      </c>
      <c r="L8" s="252">
        <f>IF(C8="","",SUMIF('PT2(CT)'!$C$4:$C$53,C8,'PT2(CT)'!$H$4:$H$53))</f>
        <v>0</v>
      </c>
      <c r="M8" s="252">
        <f>IF(C8="","",ROUND((SUMIF('PT2(CT)'!$C$4:$C$53,C8,'PT2(CT)'!$F$4:$F$53) +SUMIF('PT2(CT)'!$C$4:$C$53,C8,'PT2(CT)'!$G$4:$G$53)*SampleLOCConvRate)/1000*AvgCTBugKLOC,0))</f>
        <v>0</v>
      </c>
      <c r="N8" s="252">
        <f>IF(C8="","",SUMIF('PT2(ST)'!$C$4:$C$53,C8,'PT2(ST)'!$H$4:$H$53))</f>
        <v>0</v>
      </c>
      <c r="O8" s="252">
        <f>IF(C8="","",ROUND((SUMIF('PT2(ST)'!$C$4:$C$53,C8,'PT2(ST)'!$F$4:$F$53) +SUMIF('PT2(ST)'!$C$4:$C$53,C8,'PT2(ST)'!$G$4:$G$53)*SampleLOCConvRate)/1000*AvgSTBugKLOC,0))</f>
        <v>0</v>
      </c>
      <c r="P8" s="8">
        <f t="shared" si="2"/>
        <v>1</v>
      </c>
    </row>
    <row r="9" spans="2:17">
      <c r="B9" s="176">
        <f t="shared" si="1"/>
        <v>5</v>
      </c>
      <c r="C9" s="255" t="s">
        <v>64</v>
      </c>
      <c r="D9" s="256">
        <f>IF(C9="","",SUMIF(BD!$C$4:$C$33,C9,BD!$D$4:$D$33))</f>
        <v>0</v>
      </c>
      <c r="E9" s="256"/>
      <c r="F9" s="256">
        <f>IF(C9="","",SUMIF(DD!$C$4:$C$53,C9,DD!$E$4:$E$53))</f>
        <v>0</v>
      </c>
      <c r="G9" s="256"/>
      <c r="H9" s="256">
        <f>IF(C9="","",(SUMIF('PG1'!$C$4:$C$53,C9,'PG1'!$L$4:$L$53) + SUMIF('PG2'!$C$4:$C$53,C9,'PG2'!$E$4:$E$53) + SUMIF('PG3'!$C$4:$C$53,C9,'PG3'!$E$4:$E$53)+ (SUMIF('PG2'!$C$4:$C$53,C9,'PG2'!$F$4:$F$53) + SUMIF('PG3'!$C$4:$C$53,C9,'PG3'!$F$4:$F$53))*SampleLOCConvRate)/1000)</f>
        <v>0</v>
      </c>
      <c r="I9" s="256"/>
      <c r="J9" s="256">
        <f>IF(C9="","",SUMIF('PT1(UT)'!$C$4:$C$53,C9,'PT1(UT)'!$H$4:$H$53))</f>
        <v>0</v>
      </c>
      <c r="K9" s="256">
        <f>IF(C9="","",ROUND((SUMIF('PT1(UT)'!$C$4:$C$53,C9,'PT1(UT)'!$F$4:$F$53) +SUMIF('PT1(UT)'!$C$4:$C$53,C9,'PT1(UT)'!$G$4:$G$53)*SampleLOCConvRate)/1000*AvgUTBugKLOC,0))</f>
        <v>0</v>
      </c>
      <c r="L9" s="256">
        <f>IF(C9="","",SUMIF('PT2(CT)'!$C$4:$C$53,C9,'PT2(CT)'!$H$4:$H$53))</f>
        <v>0</v>
      </c>
      <c r="M9" s="256">
        <f>IF(C9="","",ROUND((SUMIF('PT2(CT)'!$C$4:$C$53,C9,'PT2(CT)'!$F$4:$F$53) +SUMIF('PT2(CT)'!$C$4:$C$53,C9,'PT2(CT)'!$G$4:$G$53)*SampleLOCConvRate)/1000*AvgCTBugKLOC,0))</f>
        <v>0</v>
      </c>
      <c r="N9" s="256">
        <f>IF(C9="","",SUMIF('PT2(ST)'!$C$4:$C$53,C9,'PT2(ST)'!$H$4:$H$53))</f>
        <v>0</v>
      </c>
      <c r="O9" s="256">
        <f>IF(C9="","",ROUND((SUMIF('PT2(ST)'!$C$4:$C$53,C9,'PT2(ST)'!$F$4:$F$53) +SUMIF('PT2(ST)'!$C$4:$C$53,C9,'PT2(ST)'!$G$4:$G$53)*SampleLOCConvRate)/1000*AvgSTBugKLOC,0))</f>
        <v>0</v>
      </c>
      <c r="P9" s="8">
        <f t="shared" si="2"/>
        <v>1</v>
      </c>
    </row>
    <row r="10" spans="2:17">
      <c r="B10" s="169">
        <f t="shared" si="1"/>
        <v>6</v>
      </c>
      <c r="C10" s="251" t="s">
        <v>66</v>
      </c>
      <c r="D10" s="252">
        <f>IF(C10="","",SUMIF(BD!$C$4:$C$33,C10,BD!$D$4:$D$33))</f>
        <v>0</v>
      </c>
      <c r="E10" s="252"/>
      <c r="F10" s="252">
        <f>IF(C10="","",SUMIF(DD!$C$4:$C$53,C10,DD!$E$4:$E$53))</f>
        <v>0</v>
      </c>
      <c r="G10" s="252"/>
      <c r="H10" s="252">
        <f>IF(C10="","",(SUMIF('PG1'!$C$4:$C$53,C10,'PG1'!$L$4:$L$53) + SUMIF('PG2'!$C$4:$C$53,C10,'PG2'!$E$4:$E$53) + SUMIF('PG3'!$C$4:$C$53,C10,'PG3'!$E$4:$E$53)+ (SUMIF('PG2'!$C$4:$C$53,C10,'PG2'!$F$4:$F$53) + SUMIF('PG3'!$C$4:$C$53,C10,'PG3'!$F$4:$F$53))*SampleLOCConvRate)/1000)</f>
        <v>0</v>
      </c>
      <c r="I10" s="252"/>
      <c r="J10" s="252">
        <f>IF(C10="","",SUMIF('PT1(UT)'!$C$4:$C$53,C10,'PT1(UT)'!$H$4:$H$53))</f>
        <v>0</v>
      </c>
      <c r="K10" s="252">
        <f>IF(C10="","",ROUND((SUMIF('PT1(UT)'!$C$4:$C$53,C10,'PT1(UT)'!$F$4:$F$53) +SUMIF('PT1(UT)'!$C$4:$C$53,C10,'PT1(UT)'!$G$4:$G$53)*SampleLOCConvRate)/1000*AvgUTBugKLOC,0))</f>
        <v>0</v>
      </c>
      <c r="L10" s="252">
        <f>IF(C10="","",SUMIF('PT2(CT)'!$C$4:$C$53,C10,'PT2(CT)'!$H$4:$H$53))</f>
        <v>0</v>
      </c>
      <c r="M10" s="252">
        <f>IF(C10="","",ROUND((SUMIF('PT2(CT)'!$C$4:$C$53,C10,'PT2(CT)'!$F$4:$F$53) +SUMIF('PT2(CT)'!$C$4:$C$53,C10,'PT2(CT)'!$G$4:$G$53)*SampleLOCConvRate)/1000*AvgCTBugKLOC,0))</f>
        <v>0</v>
      </c>
      <c r="N10" s="252">
        <f>IF(C10="","",SUMIF('PT2(ST)'!$C$4:$C$53,C10,'PT2(ST)'!$H$4:$H$53))</f>
        <v>0</v>
      </c>
      <c r="O10" s="252">
        <f>IF(C10="","",ROUND((SUMIF('PT2(ST)'!$C$4:$C$53,C10,'PT2(ST)'!$F$4:$F$53) +SUMIF('PT2(ST)'!$C$4:$C$53,C10,'PT2(ST)'!$G$4:$G$53)*SampleLOCConvRate)/1000*AvgSTBugKLOC,0))</f>
        <v>0</v>
      </c>
      <c r="P10" s="8">
        <f t="shared" si="2"/>
        <v>1</v>
      </c>
    </row>
    <row r="11" spans="2:17">
      <c r="B11" s="176">
        <f t="shared" si="1"/>
        <v>7</v>
      </c>
      <c r="C11" s="255" t="s">
        <v>68</v>
      </c>
      <c r="D11" s="256">
        <f>IF(C11="","",SUMIF(BD!$C$4:$C$33,C11,BD!$D$4:$D$33))</f>
        <v>0</v>
      </c>
      <c r="E11" s="256"/>
      <c r="F11" s="256">
        <f>IF(C11="","",SUMIF(DD!$C$4:$C$53,C11,DD!$E$4:$E$53))</f>
        <v>0</v>
      </c>
      <c r="G11" s="256"/>
      <c r="H11" s="256">
        <f>IF(C11="","",(SUMIF('PG1'!$C$4:$C$53,C11,'PG1'!$L$4:$L$53) + SUMIF('PG2'!$C$4:$C$53,C11,'PG2'!$E$4:$E$53) + SUMIF('PG3'!$C$4:$C$53,C11,'PG3'!$E$4:$E$53)+ (SUMIF('PG2'!$C$4:$C$53,C11,'PG2'!$F$4:$F$53) + SUMIF('PG3'!$C$4:$C$53,C11,'PG3'!$F$4:$F$53))*SampleLOCConvRate)/1000)</f>
        <v>0</v>
      </c>
      <c r="I11" s="256"/>
      <c r="J11" s="256">
        <f>IF(C11="","",SUMIF('PT1(UT)'!$C$4:$C$53,C11,'PT1(UT)'!$H$4:$H$53))</f>
        <v>0</v>
      </c>
      <c r="K11" s="256">
        <f>IF(C11="","",ROUND((SUMIF('PT1(UT)'!$C$4:$C$53,C11,'PT1(UT)'!$F$4:$F$53) +SUMIF('PT1(UT)'!$C$4:$C$53,C11,'PT1(UT)'!$G$4:$G$53)*SampleLOCConvRate)/1000*AvgUTBugKLOC,0))</f>
        <v>0</v>
      </c>
      <c r="L11" s="256">
        <f>IF(C11="","",SUMIF('PT2(CT)'!$C$4:$C$53,C11,'PT2(CT)'!$H$4:$H$53))</f>
        <v>0</v>
      </c>
      <c r="M11" s="256">
        <f>IF(C11="","",ROUND((SUMIF('PT2(CT)'!$C$4:$C$53,C11,'PT2(CT)'!$F$4:$F$53) +SUMIF('PT2(CT)'!$C$4:$C$53,C11,'PT2(CT)'!$G$4:$G$53)*SampleLOCConvRate)/1000*AvgCTBugKLOC,0))</f>
        <v>0</v>
      </c>
      <c r="N11" s="256">
        <f>IF(C11="","",SUMIF('PT2(ST)'!$C$4:$C$53,C11,'PT2(ST)'!$H$4:$H$53))</f>
        <v>0</v>
      </c>
      <c r="O11" s="256">
        <f>IF(C11="","",ROUND((SUMIF('PT2(ST)'!$C$4:$C$53,C11,'PT2(ST)'!$F$4:$F$53) +SUMIF('PT2(ST)'!$C$4:$C$53,C11,'PT2(ST)'!$G$4:$G$53)*SampleLOCConvRate)/1000*AvgSTBugKLOC,0))</f>
        <v>0</v>
      </c>
      <c r="P11" s="8">
        <f t="shared" si="2"/>
        <v>1</v>
      </c>
    </row>
    <row r="12" spans="2:17">
      <c r="B12" s="169">
        <f t="shared" si="1"/>
        <v>8</v>
      </c>
      <c r="C12" s="251"/>
      <c r="D12" s="252" t="str">
        <f>IF(C12="","",SUMIF(BD!$C$4:$C$33,C12,BD!$D$4:$D$33))</f>
        <v/>
      </c>
      <c r="E12" s="252"/>
      <c r="F12" s="252" t="str">
        <f>IF(C12="","",SUMIF(DD!$C$4:$C$53,C12,DD!$E$4:$E$53))</f>
        <v/>
      </c>
      <c r="G12" s="252"/>
      <c r="H12" s="252" t="str">
        <f>IF(C12="","",(SUMIF('PG1'!$C$4:$C$53,C12,'PG1'!$L$4:$L$53) + SUMIF('PG2'!$C$4:$C$53,C12,'PG2'!$E$4:$E$53) + SUMIF('PG3'!$C$4:$C$53,C12,'PG3'!$E$4:$E$53)+ (SUMIF('PG2'!$C$4:$C$53,C12,'PG2'!$F$4:$F$53) + SUMIF('PG3'!$C$4:$C$53,C12,'PG3'!$F$4:$F$53))*SampleLOCConvRate)/1000)</f>
        <v/>
      </c>
      <c r="I12" s="252"/>
      <c r="J12" s="252" t="str">
        <f>IF(C12="","",SUMIF('PT1(UT)'!$C$4:$C$53,C12,'PT1(UT)'!$H$4:$H$53))</f>
        <v/>
      </c>
      <c r="K12" s="252" t="str">
        <f>IF(C12="","",ROUND((SUMIF('PT1(UT)'!$C$4:$C$53,C12,'PT1(UT)'!$F$4:$F$53) +SUMIF('PT1(UT)'!$C$4:$C$53,C12,'PT1(UT)'!$G$4:$G$53)*SampleLOCConvRate)/1000*AvgUTBugKLOC,0))</f>
        <v/>
      </c>
      <c r="L12" s="252" t="str">
        <f>IF(C12="","",SUMIF('PT2(CT)'!$C$4:$C$53,C12,'PT2(CT)'!$H$4:$H$53))</f>
        <v/>
      </c>
      <c r="M12" s="252" t="str">
        <f>IF(C12="","",ROUND((SUMIF('PT2(CT)'!$C$4:$C$53,C12,'PT2(CT)'!$F$4:$F$53) +SUMIF('PT2(CT)'!$C$4:$C$53,C12,'PT2(CT)'!$G$4:$G$53)*SampleLOCConvRate)/1000*AvgCTBugKLOC,0))</f>
        <v/>
      </c>
      <c r="N12" s="252" t="str">
        <f>IF(C12="","",SUMIF('PT2(ST)'!$C$4:$C$53,C12,'PT2(ST)'!$H$4:$H$53))</f>
        <v/>
      </c>
      <c r="O12" s="252" t="str">
        <f>IF(C12="","",ROUND((SUMIF('PT2(ST)'!$C$4:$C$53,C12,'PT2(ST)'!$F$4:$F$53) +SUMIF('PT2(ST)'!$C$4:$C$53,C12,'PT2(ST)'!$G$4:$G$53)*SampleLOCConvRate)/1000*AvgSTBugKLOC,0))</f>
        <v/>
      </c>
      <c r="P12" s="8">
        <f t="shared" si="2"/>
        <v>0</v>
      </c>
    </row>
    <row r="13" spans="2:17">
      <c r="B13" s="176">
        <f t="shared" si="1"/>
        <v>9</v>
      </c>
      <c r="C13" s="255"/>
      <c r="D13" s="256" t="str">
        <f>IF(C13="","",SUMIF(BD!$C$4:$C$33,C13,BD!$D$4:$D$33))</f>
        <v/>
      </c>
      <c r="E13" s="256"/>
      <c r="F13" s="256" t="str">
        <f>IF(C13="","",SUMIF(DD!$C$4:$C$53,C13,DD!$E$4:$E$53))</f>
        <v/>
      </c>
      <c r="G13" s="256"/>
      <c r="H13" s="256" t="str">
        <f>IF(C13="","",(SUMIF('PG1'!$C$4:$C$53,C13,'PG1'!$L$4:$L$53) + SUMIF('PG2'!$C$4:$C$53,C13,'PG2'!$E$4:$E$53) + SUMIF('PG3'!$C$4:$C$53,C13,'PG3'!$E$4:$E$53)+ (SUMIF('PG2'!$C$4:$C$53,C13,'PG2'!$F$4:$F$53) + SUMIF('PG3'!$C$4:$C$53,C13,'PG3'!$F$4:$F$53))*SampleLOCConvRate)/1000)</f>
        <v/>
      </c>
      <c r="I13" s="256"/>
      <c r="J13" s="256" t="str">
        <f>IF(C13="","",SUMIF('PT1(UT)'!$C$4:$C$53,C13,'PT1(UT)'!$H$4:$H$53))</f>
        <v/>
      </c>
      <c r="K13" s="256" t="str">
        <f>IF(C13="","",ROUND((SUMIF('PT1(UT)'!$C$4:$C$53,C13,'PT1(UT)'!$F$4:$F$53) +SUMIF('PT1(UT)'!$C$4:$C$53,C13,'PT1(UT)'!$G$4:$G$53)*SampleLOCConvRate)/1000*AvgUTBugKLOC,0))</f>
        <v/>
      </c>
      <c r="L13" s="256" t="str">
        <f>IF(C13="","",SUMIF('PT2(CT)'!$C$4:$C$53,C13,'PT2(CT)'!$H$4:$H$53))</f>
        <v/>
      </c>
      <c r="M13" s="256" t="str">
        <f>IF(C13="","",ROUND((SUMIF('PT2(CT)'!$C$4:$C$53,C13,'PT2(CT)'!$F$4:$F$53) +SUMIF('PT2(CT)'!$C$4:$C$53,C13,'PT2(CT)'!$G$4:$G$53)*SampleLOCConvRate)/1000*AvgCTBugKLOC,0))</f>
        <v/>
      </c>
      <c r="N13" s="256" t="str">
        <f>IF(C13="","",SUMIF('PT2(ST)'!$C$4:$C$53,C13,'PT2(ST)'!$H$4:$H$53))</f>
        <v/>
      </c>
      <c r="O13" s="256" t="str">
        <f>IF(C13="","",ROUND((SUMIF('PT2(ST)'!$C$4:$C$53,C13,'PT2(ST)'!$F$4:$F$53) +SUMIF('PT2(ST)'!$C$4:$C$53,C13,'PT2(ST)'!$G$4:$G$53)*SampleLOCConvRate)/1000*AvgSTBugKLOC,0))</f>
        <v/>
      </c>
      <c r="P13" s="8">
        <f t="shared" si="2"/>
        <v>0</v>
      </c>
    </row>
    <row r="14" spans="2:17">
      <c r="B14" s="169">
        <f t="shared" si="1"/>
        <v>10</v>
      </c>
      <c r="C14" s="251"/>
      <c r="D14" s="252" t="str">
        <f>IF(C14="","",SUMIF(BD!$C$4:$C$33,C14,BD!$D$4:$D$33))</f>
        <v/>
      </c>
      <c r="E14" s="252"/>
      <c r="F14" s="252" t="str">
        <f>IF(C14="","",SUMIF(DD!$C$4:$C$53,C14,DD!$E$4:$E$53))</f>
        <v/>
      </c>
      <c r="G14" s="252"/>
      <c r="H14" s="252" t="str">
        <f>IF(C14="","",(SUMIF('PG1'!$C$4:$C$53,C14,'PG1'!$L$4:$L$53) + SUMIF('PG2'!$C$4:$C$53,C14,'PG2'!$E$4:$E$53) + SUMIF('PG3'!$C$4:$C$53,C14,'PG3'!$E$4:$E$53)+ (SUMIF('PG2'!$C$4:$C$53,C14,'PG2'!$F$4:$F$53) + SUMIF('PG3'!$C$4:$C$53,C14,'PG3'!$F$4:$F$53))*SampleLOCConvRate)/1000)</f>
        <v/>
      </c>
      <c r="I14" s="252"/>
      <c r="J14" s="252" t="str">
        <f>IF(C14="","",SUMIF('PT1(UT)'!$C$4:$C$53,C14,'PT1(UT)'!$H$4:$H$53))</f>
        <v/>
      </c>
      <c r="K14" s="252" t="str">
        <f>IF(C14="","",ROUND((SUMIF('PT1(UT)'!$C$4:$C$53,C14,'PT1(UT)'!$F$4:$F$53) +SUMIF('PT1(UT)'!$C$4:$C$53,C14,'PT1(UT)'!$G$4:$G$53)*SampleLOCConvRate)/1000*AvgUTBugKLOC,0))</f>
        <v/>
      </c>
      <c r="L14" s="252" t="str">
        <f>IF(C14="","",SUMIF('PT2(CT)'!$C$4:$C$53,C14,'PT2(CT)'!$H$4:$H$53))</f>
        <v/>
      </c>
      <c r="M14" s="252" t="str">
        <f>IF(C14="","",ROUND((SUMIF('PT2(CT)'!$C$4:$C$53,C14,'PT2(CT)'!$F$4:$F$53) +SUMIF('PT2(CT)'!$C$4:$C$53,C14,'PT2(CT)'!$G$4:$G$53)*SampleLOCConvRate)/1000*AvgCTBugKLOC,0))</f>
        <v/>
      </c>
      <c r="N14" s="252" t="str">
        <f>IF(C14="","",SUMIF('PT2(ST)'!$C$4:$C$53,C14,'PT2(ST)'!$H$4:$H$53))</f>
        <v/>
      </c>
      <c r="O14" s="252" t="str">
        <f>IF(C14="","",ROUND((SUMIF('PT2(ST)'!$C$4:$C$53,C14,'PT2(ST)'!$F$4:$F$53) +SUMIF('PT2(ST)'!$C$4:$C$53,C14,'PT2(ST)'!$G$4:$G$53)*SampleLOCConvRate)/1000*AvgSTBugKLOC,0))</f>
        <v/>
      </c>
      <c r="P14" s="8">
        <f t="shared" si="2"/>
        <v>0</v>
      </c>
    </row>
    <row r="15" spans="2:17">
      <c r="B15" s="176">
        <f t="shared" si="1"/>
        <v>11</v>
      </c>
      <c r="C15" s="253"/>
      <c r="D15" s="254" t="str">
        <f>IF(C15="","",SUMIF(BD!$C$4:$C$33,C15,BD!$D$4:$D$33))</f>
        <v/>
      </c>
      <c r="E15" s="254"/>
      <c r="F15" s="254" t="str">
        <f>IF(C15="","",SUMIF(DD!$C$4:$C$53,C15,DD!$E$4:$E$53))</f>
        <v/>
      </c>
      <c r="G15" s="254"/>
      <c r="H15" s="254" t="str">
        <f>IF(C15="","",(SUMIF('PG1'!$C$4:$C$53,C15,'PG1'!$L$4:$L$53) + SUMIF('PG2'!$C$4:$C$53,C15,'PG2'!$E$4:$E$53) + SUMIF('PG3'!$C$4:$C$53,C15,'PG3'!$E$4:$E$53)+ (SUMIF('PG2'!$C$4:$C$53,C15,'PG2'!$F$4:$F$53) + SUMIF('PG3'!$C$4:$C$53,C15,'PG3'!$F$4:$F$53))*SampleLOCConvRate)/1000)</f>
        <v/>
      </c>
      <c r="I15" s="254"/>
      <c r="J15" s="254" t="str">
        <f>IF(C15="","",SUMIF('PT1(UT)'!$C$4:$C$53,C15,'PT1(UT)'!$H$4:$H$53))</f>
        <v/>
      </c>
      <c r="K15" s="254" t="str">
        <f>IF(C15="","",ROUND((SUMIF('PT1(UT)'!$C$4:$C$53,C15,'PT1(UT)'!$F$4:$F$53) +SUMIF('PT1(UT)'!$C$4:$C$53,C15,'PT1(UT)'!$G$4:$G$53)*SampleLOCConvRate)/1000*AvgUTBugKLOC,0))</f>
        <v/>
      </c>
      <c r="L15" s="254" t="str">
        <f>IF(C15="","",SUMIF('PT2(CT)'!$C$4:$C$53,C15,'PT2(CT)'!$H$4:$H$53))</f>
        <v/>
      </c>
      <c r="M15" s="254" t="str">
        <f>IF(C15="","",ROUND((SUMIF('PT2(CT)'!$C$4:$C$53,C15,'PT2(CT)'!$F$4:$F$53) +SUMIF('PT2(CT)'!$C$4:$C$53,C15,'PT2(CT)'!$G$4:$G$53)*SampleLOCConvRate)/1000*AvgCTBugKLOC,0))</f>
        <v/>
      </c>
      <c r="N15" s="254" t="str">
        <f>IF(C15="","",SUMIF('PT2(ST)'!$C$4:$C$53,C15,'PT2(ST)'!$H$4:$H$53))</f>
        <v/>
      </c>
      <c r="O15" s="254" t="str">
        <f>IF(C15="","",ROUND((SUMIF('PT2(ST)'!$C$4:$C$53,C15,'PT2(ST)'!$F$4:$F$53) +SUMIF('PT2(ST)'!$C$4:$C$53,C15,'PT2(ST)'!$G$4:$G$53)*SampleLOCConvRate)/1000*AvgSTBugKLOC,0))</f>
        <v/>
      </c>
      <c r="P15" s="8">
        <f t="shared" si="2"/>
        <v>0</v>
      </c>
    </row>
    <row r="16" spans="2:17">
      <c r="B16" s="169">
        <f t="shared" si="1"/>
        <v>12</v>
      </c>
      <c r="C16" s="251"/>
      <c r="D16" s="252" t="str">
        <f>IF(C16="","",SUMIF(BD!$C$4:$C$33,C16,BD!$D$4:$D$33))</f>
        <v/>
      </c>
      <c r="E16" s="252"/>
      <c r="F16" s="252" t="str">
        <f>IF(C16="","",SUMIF(DD!$C$4:$C$53,C16,DD!$E$4:$E$53))</f>
        <v/>
      </c>
      <c r="G16" s="252"/>
      <c r="H16" s="252" t="str">
        <f>IF(C16="","",(SUMIF('PG1'!$C$4:$C$53,C16,'PG1'!$L$4:$L$53) + SUMIF('PG2'!$C$4:$C$53,C16,'PG2'!$E$4:$E$53) + SUMIF('PG3'!$C$4:$C$53,C16,'PG3'!$E$4:$E$53)+ (SUMIF('PG2'!$C$4:$C$53,C16,'PG2'!$F$4:$F$53) + SUMIF('PG3'!$C$4:$C$53,C16,'PG3'!$F$4:$F$53))*SampleLOCConvRate)/1000)</f>
        <v/>
      </c>
      <c r="I16" s="252"/>
      <c r="J16" s="252" t="str">
        <f>IF(C16="","",SUMIF('PT1(UT)'!$C$4:$C$53,C16,'PT1(UT)'!$H$4:$H$53))</f>
        <v/>
      </c>
      <c r="K16" s="252" t="str">
        <f>IF(C16="","",ROUND((SUMIF('PT1(UT)'!$C$4:$C$53,C16,'PT1(UT)'!$F$4:$F$53) +SUMIF('PT1(UT)'!$C$4:$C$53,C16,'PT1(UT)'!$G$4:$G$53)*SampleLOCConvRate)/1000*AvgUTBugKLOC,0))</f>
        <v/>
      </c>
      <c r="L16" s="252" t="str">
        <f>IF(C16="","",SUMIF('PT2(CT)'!$C$4:$C$53,C16,'PT2(CT)'!$H$4:$H$53))</f>
        <v/>
      </c>
      <c r="M16" s="252" t="str">
        <f>IF(C16="","",ROUND((SUMIF('PT2(CT)'!$C$4:$C$53,C16,'PT2(CT)'!$F$4:$F$53) +SUMIF('PT2(CT)'!$C$4:$C$53,C16,'PT2(CT)'!$G$4:$G$53)*SampleLOCConvRate)/1000*AvgCTBugKLOC,0))</f>
        <v/>
      </c>
      <c r="N16" s="252" t="str">
        <f>IF(C16="","",SUMIF('PT2(ST)'!$C$4:$C$53,C16,'PT2(ST)'!$H$4:$H$53))</f>
        <v/>
      </c>
      <c r="O16" s="252" t="str">
        <f>IF(C16="","",ROUND((SUMIF('PT2(ST)'!$C$4:$C$53,C16,'PT2(ST)'!$F$4:$F$53) +SUMIF('PT2(ST)'!$C$4:$C$53,C16,'PT2(ST)'!$G$4:$G$53)*SampleLOCConvRate)/1000*AvgSTBugKLOC,0))</f>
        <v/>
      </c>
      <c r="P16" s="8">
        <f t="shared" si="2"/>
        <v>0</v>
      </c>
    </row>
    <row r="17" spans="2:16">
      <c r="B17" s="176">
        <f t="shared" si="1"/>
        <v>13</v>
      </c>
      <c r="C17" s="255"/>
      <c r="D17" s="256" t="str">
        <f>IF(C17="","",SUMIF(BD!$C$4:$C$33,C17,BD!$D$4:$D$33))</f>
        <v/>
      </c>
      <c r="E17" s="256"/>
      <c r="F17" s="256" t="str">
        <f>IF(C17="","",SUMIF(DD!$C$4:$C$53,C17,DD!$E$4:$E$53))</f>
        <v/>
      </c>
      <c r="G17" s="256"/>
      <c r="H17" s="256" t="str">
        <f>IF(C17="","",(SUMIF('PG1'!$C$4:$C$53,C17,'PG1'!$L$4:$L$53) + SUMIF('PG2'!$C$4:$C$53,C17,'PG2'!$E$4:$E$53) + SUMIF('PG3'!$C$4:$C$53,C17,'PG3'!$E$4:$E$53)+ (SUMIF('PG2'!$C$4:$C$53,C17,'PG2'!$F$4:$F$53) + SUMIF('PG3'!$C$4:$C$53,C17,'PG3'!$F$4:$F$53))*SampleLOCConvRate)/1000)</f>
        <v/>
      </c>
      <c r="I17" s="256"/>
      <c r="J17" s="256" t="str">
        <f>IF(C17="","",SUMIF('PT1(UT)'!$C$4:$C$53,C17,'PT1(UT)'!$H$4:$H$53))</f>
        <v/>
      </c>
      <c r="K17" s="256" t="str">
        <f>IF(C17="","",ROUND((SUMIF('PT1(UT)'!$C$4:$C$53,C17,'PT1(UT)'!$F$4:$F$53) +SUMIF('PT1(UT)'!$C$4:$C$53,C17,'PT1(UT)'!$G$4:$G$53)*SampleLOCConvRate)/1000*AvgUTBugKLOC,0))</f>
        <v/>
      </c>
      <c r="L17" s="256" t="str">
        <f>IF(C17="","",SUMIF('PT2(CT)'!$C$4:$C$53,C17,'PT2(CT)'!$H$4:$H$53))</f>
        <v/>
      </c>
      <c r="M17" s="256" t="str">
        <f>IF(C17="","",ROUND((SUMIF('PT2(CT)'!$C$4:$C$53,C17,'PT2(CT)'!$F$4:$F$53) +SUMIF('PT2(CT)'!$C$4:$C$53,C17,'PT2(CT)'!$G$4:$G$53)*SampleLOCConvRate)/1000*AvgCTBugKLOC,0))</f>
        <v/>
      </c>
      <c r="N17" s="256" t="str">
        <f>IF(C17="","",SUMIF('PT2(ST)'!$C$4:$C$53,C17,'PT2(ST)'!$H$4:$H$53))</f>
        <v/>
      </c>
      <c r="O17" s="256" t="str">
        <f>IF(C17="","",ROUND((SUMIF('PT2(ST)'!$C$4:$C$53,C17,'PT2(ST)'!$F$4:$F$53) +SUMIF('PT2(ST)'!$C$4:$C$53,C17,'PT2(ST)'!$G$4:$G$53)*SampleLOCConvRate)/1000*AvgSTBugKLOC,0))</f>
        <v/>
      </c>
      <c r="P17" s="8">
        <f t="shared" si="2"/>
        <v>0</v>
      </c>
    </row>
    <row r="18" spans="2:16">
      <c r="B18" s="169">
        <f t="shared" si="1"/>
        <v>14</v>
      </c>
      <c r="C18" s="251"/>
      <c r="D18" s="252" t="str">
        <f>IF(C18="","",SUMIF(BD!$C$4:$C$33,C18,BD!$D$4:$D$33))</f>
        <v/>
      </c>
      <c r="E18" s="252"/>
      <c r="F18" s="252" t="str">
        <f>IF(C18="","",SUMIF(DD!$C$4:$C$53,C18,DD!$E$4:$E$53))</f>
        <v/>
      </c>
      <c r="G18" s="252"/>
      <c r="H18" s="252" t="str">
        <f>IF(C18="","",(SUMIF('PG1'!$C$4:$C$53,C18,'PG1'!$L$4:$L$53) + SUMIF('PG2'!$C$4:$C$53,C18,'PG2'!$E$4:$E$53) + SUMIF('PG3'!$C$4:$C$53,C18,'PG3'!$E$4:$E$53)+ (SUMIF('PG2'!$C$4:$C$53,C18,'PG2'!$F$4:$F$53) + SUMIF('PG3'!$C$4:$C$53,C18,'PG3'!$F$4:$F$53))*SampleLOCConvRate)/1000)</f>
        <v/>
      </c>
      <c r="I18" s="252"/>
      <c r="J18" s="252" t="str">
        <f>IF(C18="","",SUMIF('PT1(UT)'!$C$4:$C$53,C18,'PT1(UT)'!$H$4:$H$53))</f>
        <v/>
      </c>
      <c r="K18" s="252" t="str">
        <f>IF(C18="","",ROUND((SUMIF('PT1(UT)'!$C$4:$C$53,C18,'PT1(UT)'!$F$4:$F$53) +SUMIF('PT1(UT)'!$C$4:$C$53,C18,'PT1(UT)'!$G$4:$G$53)*SampleLOCConvRate)/1000*AvgUTBugKLOC,0))</f>
        <v/>
      </c>
      <c r="L18" s="252" t="str">
        <f>IF(C18="","",SUMIF('PT2(CT)'!$C$4:$C$53,C18,'PT2(CT)'!$H$4:$H$53))</f>
        <v/>
      </c>
      <c r="M18" s="252" t="str">
        <f>IF(C18="","",ROUND((SUMIF('PT2(CT)'!$C$4:$C$53,C18,'PT2(CT)'!$F$4:$F$53) +SUMIF('PT2(CT)'!$C$4:$C$53,C18,'PT2(CT)'!$G$4:$G$53)*SampleLOCConvRate)/1000*AvgCTBugKLOC,0))</f>
        <v/>
      </c>
      <c r="N18" s="252" t="str">
        <f>IF(C18="","",SUMIF('PT2(ST)'!$C$4:$C$53,C18,'PT2(ST)'!$H$4:$H$53))</f>
        <v/>
      </c>
      <c r="O18" s="252" t="str">
        <f>IF(C18="","",ROUND((SUMIF('PT2(ST)'!$C$4:$C$53,C18,'PT2(ST)'!$F$4:$F$53) +SUMIF('PT2(ST)'!$C$4:$C$53,C18,'PT2(ST)'!$G$4:$G$53)*SampleLOCConvRate)/1000*AvgSTBugKLOC,0))</f>
        <v/>
      </c>
      <c r="P18" s="8">
        <f t="shared" si="2"/>
        <v>0</v>
      </c>
    </row>
    <row r="19" spans="2:16">
      <c r="B19" s="176">
        <f t="shared" si="1"/>
        <v>15</v>
      </c>
      <c r="C19" s="255"/>
      <c r="D19" s="256" t="str">
        <f>IF(C19="","",SUMIF(BD!$C$4:$C$33,C19,BD!$D$4:$D$33))</f>
        <v/>
      </c>
      <c r="E19" s="256"/>
      <c r="F19" s="256" t="str">
        <f>IF(C19="","",SUMIF(DD!$C$4:$C$53,C19,DD!$E$4:$E$53))</f>
        <v/>
      </c>
      <c r="G19" s="256"/>
      <c r="H19" s="256" t="str">
        <f>IF(C19="","",(SUMIF('PG1'!$C$4:$C$53,C19,'PG1'!$L$4:$L$53) + SUMIF('PG2'!$C$4:$C$53,C19,'PG2'!$E$4:$E$53) + SUMIF('PG3'!$C$4:$C$53,C19,'PG3'!$E$4:$E$53)+ (SUMIF('PG2'!$C$4:$C$53,C19,'PG2'!$F$4:$F$53) + SUMIF('PG3'!$C$4:$C$53,C19,'PG3'!$F$4:$F$53))*SampleLOCConvRate)/1000)</f>
        <v/>
      </c>
      <c r="I19" s="256"/>
      <c r="J19" s="256" t="str">
        <f>IF(C19="","",SUMIF('PT1(UT)'!$C$4:$C$53,C19,'PT1(UT)'!$H$4:$H$53))</f>
        <v/>
      </c>
      <c r="K19" s="256" t="str">
        <f>IF(C19="","",ROUND((SUMIF('PT1(UT)'!$C$4:$C$53,C19,'PT1(UT)'!$F$4:$F$53) +SUMIF('PT1(UT)'!$C$4:$C$53,C19,'PT1(UT)'!$G$4:$G$53)*SampleLOCConvRate)/1000*AvgUTBugKLOC,0))</f>
        <v/>
      </c>
      <c r="L19" s="256" t="str">
        <f>IF(C19="","",SUMIF('PT2(CT)'!$C$4:$C$53,C19,'PT2(CT)'!$H$4:$H$53))</f>
        <v/>
      </c>
      <c r="M19" s="256" t="str">
        <f>IF(C19="","",ROUND((SUMIF('PT2(CT)'!$C$4:$C$53,C19,'PT2(CT)'!$F$4:$F$53) +SUMIF('PT2(CT)'!$C$4:$C$53,C19,'PT2(CT)'!$G$4:$G$53)*SampleLOCConvRate)/1000*AvgCTBugKLOC,0))</f>
        <v/>
      </c>
      <c r="N19" s="256" t="str">
        <f>IF(C19="","",SUMIF('PT2(ST)'!$C$4:$C$53,C19,'PT2(ST)'!$H$4:$H$53))</f>
        <v/>
      </c>
      <c r="O19" s="256" t="str">
        <f>IF(C19="","",ROUND((SUMIF('PT2(ST)'!$C$4:$C$53,C19,'PT2(ST)'!$F$4:$F$53) +SUMIF('PT2(ST)'!$C$4:$C$53,C19,'PT2(ST)'!$G$4:$G$53)*SampleLOCConvRate)/1000*AvgSTBugKLOC,0))</f>
        <v/>
      </c>
      <c r="P19" s="8">
        <f t="shared" si="2"/>
        <v>0</v>
      </c>
    </row>
    <row r="20" spans="2:16">
      <c r="B20" s="169">
        <f t="shared" si="1"/>
        <v>16</v>
      </c>
      <c r="C20" s="251"/>
      <c r="D20" s="252" t="str">
        <f>IF(C20="","",SUMIF(BD!$C$4:$C$33,C20,BD!$D$4:$D$33))</f>
        <v/>
      </c>
      <c r="E20" s="252"/>
      <c r="F20" s="252" t="str">
        <f>IF(C20="","",SUMIF(DD!$C$4:$C$53,C20,DD!$E$4:$E$53))</f>
        <v/>
      </c>
      <c r="G20" s="252"/>
      <c r="H20" s="252" t="str">
        <f>IF(C20="","",(SUMIF('PG1'!$C$4:$C$53,C20,'PG1'!$L$4:$L$53) + SUMIF('PG2'!$C$4:$C$53,C20,'PG2'!$E$4:$E$53) + SUMIF('PG3'!$C$4:$C$53,C20,'PG3'!$E$4:$E$53)+ (SUMIF('PG2'!$C$4:$C$53,C20,'PG2'!$F$4:$F$53) + SUMIF('PG3'!$C$4:$C$53,C20,'PG3'!$F$4:$F$53))*SampleLOCConvRate)/1000)</f>
        <v/>
      </c>
      <c r="I20" s="252"/>
      <c r="J20" s="252" t="str">
        <f>IF(C20="","",SUMIF('PT1(UT)'!$C$4:$C$53,C20,'PT1(UT)'!$H$4:$H$53))</f>
        <v/>
      </c>
      <c r="K20" s="252" t="str">
        <f>IF(C20="","",ROUND((SUMIF('PT1(UT)'!$C$4:$C$53,C20,'PT1(UT)'!$F$4:$F$53) +SUMIF('PT1(UT)'!$C$4:$C$53,C20,'PT1(UT)'!$G$4:$G$53)*SampleLOCConvRate)/1000*AvgUTBugKLOC,0))</f>
        <v/>
      </c>
      <c r="L20" s="252" t="str">
        <f>IF(C20="","",SUMIF('PT2(CT)'!$C$4:$C$53,C20,'PT2(CT)'!$H$4:$H$53))</f>
        <v/>
      </c>
      <c r="M20" s="252" t="str">
        <f>IF(C20="","",ROUND((SUMIF('PT2(CT)'!$C$4:$C$53,C20,'PT2(CT)'!$F$4:$F$53) +SUMIF('PT2(CT)'!$C$4:$C$53,C20,'PT2(CT)'!$G$4:$G$53)*SampleLOCConvRate)/1000*AvgCTBugKLOC,0))</f>
        <v/>
      </c>
      <c r="N20" s="252" t="str">
        <f>IF(C20="","",SUMIF('PT2(ST)'!$C$4:$C$53,C20,'PT2(ST)'!$H$4:$H$53))</f>
        <v/>
      </c>
      <c r="O20" s="252" t="str">
        <f>IF(C20="","",ROUND((SUMIF('PT2(ST)'!$C$4:$C$53,C20,'PT2(ST)'!$F$4:$F$53) +SUMIF('PT2(ST)'!$C$4:$C$53,C20,'PT2(ST)'!$G$4:$G$53)*SampleLOCConvRate)/1000*AvgSTBugKLOC,0))</f>
        <v/>
      </c>
      <c r="P20" s="8">
        <f t="shared" si="2"/>
        <v>0</v>
      </c>
    </row>
    <row r="21" spans="2:16">
      <c r="B21" s="176">
        <f t="shared" si="1"/>
        <v>17</v>
      </c>
      <c r="C21" s="255"/>
      <c r="D21" s="256" t="str">
        <f>IF(C21="","",SUMIF(BD!$C$4:$C$33,C21,BD!$D$4:$D$33))</f>
        <v/>
      </c>
      <c r="E21" s="256"/>
      <c r="F21" s="256" t="str">
        <f>IF(C21="","",SUMIF(DD!$C$4:$C$53,C21,DD!$E$4:$E$53))</f>
        <v/>
      </c>
      <c r="G21" s="256"/>
      <c r="H21" s="256" t="str">
        <f>IF(C21="","",(SUMIF('PG1'!$C$4:$C$53,C21,'PG1'!$L$4:$L$53) + SUMIF('PG2'!$C$4:$C$53,C21,'PG2'!$E$4:$E$53) + SUMIF('PG3'!$C$4:$C$53,C21,'PG3'!$E$4:$E$53)+ (SUMIF('PG2'!$C$4:$C$53,C21,'PG2'!$F$4:$F$53) + SUMIF('PG3'!$C$4:$C$53,C21,'PG3'!$F$4:$F$53))*SampleLOCConvRate)/1000)</f>
        <v/>
      </c>
      <c r="I21" s="256"/>
      <c r="J21" s="256" t="str">
        <f>IF(C21="","",SUMIF('PT1(UT)'!$C$4:$C$53,C21,'PT1(UT)'!$H$4:$H$53))</f>
        <v/>
      </c>
      <c r="K21" s="256" t="str">
        <f>IF(C21="","",ROUND((SUMIF('PT1(UT)'!$C$4:$C$53,C21,'PT1(UT)'!$F$4:$F$53) +SUMIF('PT1(UT)'!$C$4:$C$53,C21,'PT1(UT)'!$G$4:$G$53)*SampleLOCConvRate)/1000*AvgUTBugKLOC,0))</f>
        <v/>
      </c>
      <c r="L21" s="256" t="str">
        <f>IF(C21="","",SUMIF('PT2(CT)'!$C$4:$C$53,C21,'PT2(CT)'!$H$4:$H$53))</f>
        <v/>
      </c>
      <c r="M21" s="256" t="str">
        <f>IF(C21="","",ROUND((SUMIF('PT2(CT)'!$C$4:$C$53,C21,'PT2(CT)'!$F$4:$F$53) +SUMIF('PT2(CT)'!$C$4:$C$53,C21,'PT2(CT)'!$G$4:$G$53)*SampleLOCConvRate)/1000*AvgCTBugKLOC,0))</f>
        <v/>
      </c>
      <c r="N21" s="256" t="str">
        <f>IF(C21="","",SUMIF('PT2(ST)'!$C$4:$C$53,C21,'PT2(ST)'!$H$4:$H$53))</f>
        <v/>
      </c>
      <c r="O21" s="256" t="str">
        <f>IF(C21="","",ROUND((SUMIF('PT2(ST)'!$C$4:$C$53,C21,'PT2(ST)'!$F$4:$F$53) +SUMIF('PT2(ST)'!$C$4:$C$53,C21,'PT2(ST)'!$G$4:$G$53)*SampleLOCConvRate)/1000*AvgSTBugKLOC,0))</f>
        <v/>
      </c>
      <c r="P21" s="8">
        <f t="shared" si="2"/>
        <v>0</v>
      </c>
    </row>
    <row r="22" spans="2:16">
      <c r="B22" s="169">
        <f t="shared" si="1"/>
        <v>18</v>
      </c>
      <c r="C22" s="251"/>
      <c r="D22" s="252" t="str">
        <f>IF(C22="","",SUMIF(BD!$C$4:$C$33,C22,BD!$D$4:$D$33))</f>
        <v/>
      </c>
      <c r="E22" s="252"/>
      <c r="F22" s="252" t="str">
        <f>IF(C22="","",SUMIF(DD!$C$4:$C$53,C22,DD!$E$4:$E$53))</f>
        <v/>
      </c>
      <c r="G22" s="252"/>
      <c r="H22" s="252" t="str">
        <f>IF(C22="","",(SUMIF('PG1'!$C$4:$C$53,C22,'PG1'!$L$4:$L$53) + SUMIF('PG2'!$C$4:$C$53,C22,'PG2'!$E$4:$E$53) + SUMIF('PG3'!$C$4:$C$53,C22,'PG3'!$E$4:$E$53)+ (SUMIF('PG2'!$C$4:$C$53,C22,'PG2'!$F$4:$F$53) + SUMIF('PG3'!$C$4:$C$53,C22,'PG3'!$F$4:$F$53))*SampleLOCConvRate)/1000)</f>
        <v/>
      </c>
      <c r="I22" s="252"/>
      <c r="J22" s="252" t="str">
        <f>IF(C22="","",SUMIF('PT1(UT)'!$C$4:$C$53,C22,'PT1(UT)'!$H$4:$H$53))</f>
        <v/>
      </c>
      <c r="K22" s="252" t="str">
        <f>IF(C22="","",ROUND((SUMIF('PT1(UT)'!$C$4:$C$53,C22,'PT1(UT)'!$F$4:$F$53) +SUMIF('PT1(UT)'!$C$4:$C$53,C22,'PT1(UT)'!$G$4:$G$53)*SampleLOCConvRate)/1000*AvgUTBugKLOC,0))</f>
        <v/>
      </c>
      <c r="L22" s="252" t="str">
        <f>IF(C22="","",SUMIF('PT2(CT)'!$C$4:$C$53,C22,'PT2(CT)'!$H$4:$H$53))</f>
        <v/>
      </c>
      <c r="M22" s="252" t="str">
        <f>IF(C22="","",ROUND((SUMIF('PT2(CT)'!$C$4:$C$53,C22,'PT2(CT)'!$F$4:$F$53) +SUMIF('PT2(CT)'!$C$4:$C$53,C22,'PT2(CT)'!$G$4:$G$53)*SampleLOCConvRate)/1000*AvgCTBugKLOC,0))</f>
        <v/>
      </c>
      <c r="N22" s="252" t="str">
        <f>IF(C22="","",SUMIF('PT2(ST)'!$C$4:$C$53,C22,'PT2(ST)'!$H$4:$H$53))</f>
        <v/>
      </c>
      <c r="O22" s="252" t="str">
        <f>IF(C22="","",ROUND((SUMIF('PT2(ST)'!$C$4:$C$53,C22,'PT2(ST)'!$F$4:$F$53) +SUMIF('PT2(ST)'!$C$4:$C$53,C22,'PT2(ST)'!$G$4:$G$53)*SampleLOCConvRate)/1000*AvgSTBugKLOC,0))</f>
        <v/>
      </c>
      <c r="P22" s="8">
        <f t="shared" si="2"/>
        <v>0</v>
      </c>
    </row>
    <row r="23" spans="2:16">
      <c r="B23" s="176">
        <f t="shared" si="1"/>
        <v>19</v>
      </c>
      <c r="C23" s="255"/>
      <c r="D23" s="256" t="str">
        <f>IF(C23="","",SUMIF(BD!$C$4:$C$33,C23,BD!$D$4:$D$33))</f>
        <v/>
      </c>
      <c r="E23" s="256"/>
      <c r="F23" s="256" t="str">
        <f>IF(C23="","",SUMIF(DD!$C$4:$C$53,C23,DD!$E$4:$E$53))</f>
        <v/>
      </c>
      <c r="G23" s="256"/>
      <c r="H23" s="256" t="str">
        <f>IF(C23="","",(SUMIF('PG1'!$C$4:$C$53,C23,'PG1'!$L$4:$L$53) + SUMIF('PG2'!$C$4:$C$53,C23,'PG2'!$E$4:$E$53) + SUMIF('PG3'!$C$4:$C$53,C23,'PG3'!$E$4:$E$53)+ (SUMIF('PG2'!$C$4:$C$53,C23,'PG2'!$F$4:$F$53) + SUMIF('PG3'!$C$4:$C$53,C23,'PG3'!$F$4:$F$53))*SampleLOCConvRate)/1000)</f>
        <v/>
      </c>
      <c r="I23" s="256"/>
      <c r="J23" s="256" t="str">
        <f>IF(C23="","",SUMIF('PT1(UT)'!$C$4:$C$53,C23,'PT1(UT)'!$H$4:$H$53))</f>
        <v/>
      </c>
      <c r="K23" s="256" t="str">
        <f>IF(C23="","",ROUND((SUMIF('PT1(UT)'!$C$4:$C$53,C23,'PT1(UT)'!$F$4:$F$53) +SUMIF('PT1(UT)'!$C$4:$C$53,C23,'PT1(UT)'!$G$4:$G$53)*SampleLOCConvRate)/1000*AvgUTBugKLOC,0))</f>
        <v/>
      </c>
      <c r="L23" s="256" t="str">
        <f>IF(C23="","",SUMIF('PT2(CT)'!$C$4:$C$53,C23,'PT2(CT)'!$H$4:$H$53))</f>
        <v/>
      </c>
      <c r="M23" s="256" t="str">
        <f>IF(C23="","",ROUND((SUMIF('PT2(CT)'!$C$4:$C$53,C23,'PT2(CT)'!$F$4:$F$53) +SUMIF('PT2(CT)'!$C$4:$C$53,C23,'PT2(CT)'!$G$4:$G$53)*SampleLOCConvRate)/1000*AvgCTBugKLOC,0))</f>
        <v/>
      </c>
      <c r="N23" s="256" t="str">
        <f>IF(C23="","",SUMIF('PT2(ST)'!$C$4:$C$53,C23,'PT2(ST)'!$H$4:$H$53))</f>
        <v/>
      </c>
      <c r="O23" s="256" t="str">
        <f>IF(C23="","",ROUND((SUMIF('PT2(ST)'!$C$4:$C$53,C23,'PT2(ST)'!$F$4:$F$53) +SUMIF('PT2(ST)'!$C$4:$C$53,C23,'PT2(ST)'!$G$4:$G$53)*SampleLOCConvRate)/1000*AvgSTBugKLOC,0))</f>
        <v/>
      </c>
      <c r="P23" s="8">
        <f t="shared" si="2"/>
        <v>0</v>
      </c>
    </row>
    <row r="24" spans="2:16">
      <c r="B24" s="169">
        <f t="shared" si="1"/>
        <v>20</v>
      </c>
      <c r="C24" s="251"/>
      <c r="D24" s="252" t="str">
        <f>IF(C24="","",SUMIF(BD!$C$4:$C$33,C24,BD!$D$4:$D$33))</f>
        <v/>
      </c>
      <c r="E24" s="252"/>
      <c r="F24" s="252" t="str">
        <f>IF(C24="","",SUMIF(DD!$C$4:$C$53,C24,DD!$E$4:$E$53))</f>
        <v/>
      </c>
      <c r="G24" s="252"/>
      <c r="H24" s="252" t="str">
        <f>IF(C24="","",(SUMIF('PG1'!$C$4:$C$53,C24,'PG1'!$L$4:$L$53) + SUMIF('PG2'!$C$4:$C$53,C24,'PG2'!$E$4:$E$53) + SUMIF('PG3'!$C$4:$C$53,C24,'PG3'!$E$4:$E$53)+ (SUMIF('PG2'!$C$4:$C$53,C24,'PG2'!$F$4:$F$53) + SUMIF('PG3'!$C$4:$C$53,C24,'PG3'!$F$4:$F$53))*SampleLOCConvRate)/1000)</f>
        <v/>
      </c>
      <c r="I24" s="252"/>
      <c r="J24" s="252" t="str">
        <f>IF(C24="","",SUMIF('PT1(UT)'!$C$4:$C$53,C24,'PT1(UT)'!$H$4:$H$53))</f>
        <v/>
      </c>
      <c r="K24" s="252" t="str">
        <f>IF(C24="","",ROUND((SUMIF('PT1(UT)'!$C$4:$C$53,C24,'PT1(UT)'!$F$4:$F$53) +SUMIF('PT1(UT)'!$C$4:$C$53,C24,'PT1(UT)'!$G$4:$G$53)*SampleLOCConvRate)/1000*AvgUTBugKLOC,0))</f>
        <v/>
      </c>
      <c r="L24" s="252" t="str">
        <f>IF(C24="","",SUMIF('PT2(CT)'!$C$4:$C$53,C24,'PT2(CT)'!$H$4:$H$53))</f>
        <v/>
      </c>
      <c r="M24" s="252" t="str">
        <f>IF(C24="","",ROUND((SUMIF('PT2(CT)'!$C$4:$C$53,C24,'PT2(CT)'!$F$4:$F$53) +SUMIF('PT2(CT)'!$C$4:$C$53,C24,'PT2(CT)'!$G$4:$G$53)*SampleLOCConvRate)/1000*AvgCTBugKLOC,0))</f>
        <v/>
      </c>
      <c r="N24" s="252" t="str">
        <f>IF(C24="","",SUMIF('PT2(ST)'!$C$4:$C$53,C24,'PT2(ST)'!$H$4:$H$53))</f>
        <v/>
      </c>
      <c r="O24" s="252" t="str">
        <f>IF(C24="","",ROUND((SUMIF('PT2(ST)'!$C$4:$C$53,C24,'PT2(ST)'!$F$4:$F$53) +SUMIF('PT2(ST)'!$C$4:$C$53,C24,'PT2(ST)'!$G$4:$G$53)*SampleLOCConvRate)/1000*AvgSTBugKLOC,0))</f>
        <v/>
      </c>
      <c r="P24" s="8">
        <f t="shared" si="2"/>
        <v>0</v>
      </c>
    </row>
    <row r="25" spans="2:16">
      <c r="B25" s="176">
        <f t="shared" si="1"/>
        <v>21</v>
      </c>
      <c r="C25" s="253"/>
      <c r="D25" s="254" t="str">
        <f>IF(C25="","",SUMIF(BD!$C$4:$C$33,C25,BD!$D$4:$D$33))</f>
        <v/>
      </c>
      <c r="E25" s="254"/>
      <c r="F25" s="254" t="str">
        <f>IF(C25="","",SUMIF(DD!$C$4:$C$53,C25,DD!$E$4:$E$53))</f>
        <v/>
      </c>
      <c r="G25" s="254"/>
      <c r="H25" s="254" t="str">
        <f>IF(C25="","",(SUMIF('PG1'!$C$4:$C$53,C25,'PG1'!$L$4:$L$53) + SUMIF('PG2'!$C$4:$C$53,C25,'PG2'!$E$4:$E$53) + SUMIF('PG3'!$C$4:$C$53,C25,'PG3'!$E$4:$E$53)+ (SUMIF('PG2'!$C$4:$C$53,C25,'PG2'!$F$4:$F$53) + SUMIF('PG3'!$C$4:$C$53,C25,'PG3'!$F$4:$F$53))*SampleLOCConvRate)/1000)</f>
        <v/>
      </c>
      <c r="I25" s="254"/>
      <c r="J25" s="254" t="str">
        <f>IF(C25="","",SUMIF('PT1(UT)'!$C$4:$C$53,C25,'PT1(UT)'!$H$4:$H$53))</f>
        <v/>
      </c>
      <c r="K25" s="254" t="str">
        <f>IF(C25="","",ROUND((SUMIF('PT1(UT)'!$C$4:$C$53,C25,'PT1(UT)'!$F$4:$F$53) +SUMIF('PT1(UT)'!$C$4:$C$53,C25,'PT1(UT)'!$G$4:$G$53)*SampleLOCConvRate)/1000*AvgUTBugKLOC,0))</f>
        <v/>
      </c>
      <c r="L25" s="254" t="str">
        <f>IF(C25="","",SUMIF('PT2(CT)'!$C$4:$C$53,C25,'PT2(CT)'!$H$4:$H$53))</f>
        <v/>
      </c>
      <c r="M25" s="254" t="str">
        <f>IF(C25="","",ROUND((SUMIF('PT2(CT)'!$C$4:$C$53,C25,'PT2(CT)'!$F$4:$F$53) +SUMIF('PT2(CT)'!$C$4:$C$53,C25,'PT2(CT)'!$G$4:$G$53)*SampleLOCConvRate)/1000*AvgCTBugKLOC,0))</f>
        <v/>
      </c>
      <c r="N25" s="254" t="str">
        <f>IF(C25="","",SUMIF('PT2(ST)'!$C$4:$C$53,C25,'PT2(ST)'!$H$4:$H$53))</f>
        <v/>
      </c>
      <c r="O25" s="254" t="str">
        <f>IF(C25="","",ROUND((SUMIF('PT2(ST)'!$C$4:$C$53,C25,'PT2(ST)'!$F$4:$F$53) +SUMIF('PT2(ST)'!$C$4:$C$53,C25,'PT2(ST)'!$G$4:$G$53)*SampleLOCConvRate)/1000*AvgSTBugKLOC,0))</f>
        <v/>
      </c>
      <c r="P25" s="8">
        <f t="shared" si="2"/>
        <v>0</v>
      </c>
    </row>
    <row r="26" spans="2:16">
      <c r="B26" s="169">
        <f t="shared" si="1"/>
        <v>22</v>
      </c>
      <c r="C26" s="251"/>
      <c r="D26" s="252" t="str">
        <f>IF(C26="","",SUMIF(BD!$C$4:$C$33,C26,BD!$D$4:$D$33))</f>
        <v/>
      </c>
      <c r="E26" s="252"/>
      <c r="F26" s="252" t="str">
        <f>IF(C26="","",SUMIF(DD!$C$4:$C$53,C26,DD!$E$4:$E$53))</f>
        <v/>
      </c>
      <c r="G26" s="252"/>
      <c r="H26" s="252" t="str">
        <f>IF(C26="","",(SUMIF('PG1'!$C$4:$C$53,C26,'PG1'!$L$4:$L$53) + SUMIF('PG2'!$C$4:$C$53,C26,'PG2'!$E$4:$E$53) + SUMIF('PG3'!$C$4:$C$53,C26,'PG3'!$E$4:$E$53)+ (SUMIF('PG2'!$C$4:$C$53,C26,'PG2'!$F$4:$F$53) + SUMIF('PG3'!$C$4:$C$53,C26,'PG3'!$F$4:$F$53))*SampleLOCConvRate)/1000)</f>
        <v/>
      </c>
      <c r="I26" s="252"/>
      <c r="J26" s="252" t="str">
        <f>IF(C26="","",SUMIF('PT1(UT)'!$C$4:$C$53,C26,'PT1(UT)'!$H$4:$H$53))</f>
        <v/>
      </c>
      <c r="K26" s="252" t="str">
        <f>IF(C26="","",ROUND((SUMIF('PT1(UT)'!$C$4:$C$53,C26,'PT1(UT)'!$F$4:$F$53) +SUMIF('PT1(UT)'!$C$4:$C$53,C26,'PT1(UT)'!$G$4:$G$53)*SampleLOCConvRate)/1000*AvgUTBugKLOC,0))</f>
        <v/>
      </c>
      <c r="L26" s="252" t="str">
        <f>IF(C26="","",SUMIF('PT2(CT)'!$C$4:$C$53,C26,'PT2(CT)'!$H$4:$H$53))</f>
        <v/>
      </c>
      <c r="M26" s="252" t="str">
        <f>IF(C26="","",ROUND((SUMIF('PT2(CT)'!$C$4:$C$53,C26,'PT2(CT)'!$F$4:$F$53) +SUMIF('PT2(CT)'!$C$4:$C$53,C26,'PT2(CT)'!$G$4:$G$53)*SampleLOCConvRate)/1000*AvgCTBugKLOC,0))</f>
        <v/>
      </c>
      <c r="N26" s="252" t="str">
        <f>IF(C26="","",SUMIF('PT2(ST)'!$C$4:$C$53,C26,'PT2(ST)'!$H$4:$H$53))</f>
        <v/>
      </c>
      <c r="O26" s="252" t="str">
        <f>IF(C26="","",ROUND((SUMIF('PT2(ST)'!$C$4:$C$53,C26,'PT2(ST)'!$F$4:$F$53) +SUMIF('PT2(ST)'!$C$4:$C$53,C26,'PT2(ST)'!$G$4:$G$53)*SampleLOCConvRate)/1000*AvgSTBugKLOC,0))</f>
        <v/>
      </c>
      <c r="P26" s="8">
        <f t="shared" si="2"/>
        <v>0</v>
      </c>
    </row>
    <row r="27" spans="2:16">
      <c r="B27" s="176">
        <f t="shared" si="1"/>
        <v>23</v>
      </c>
      <c r="C27" s="255"/>
      <c r="D27" s="256" t="str">
        <f>IF(C27="","",SUMIF(BD!$C$4:$C$33,C27,BD!$D$4:$D$33))</f>
        <v/>
      </c>
      <c r="E27" s="256"/>
      <c r="F27" s="256" t="str">
        <f>IF(C27="","",SUMIF(DD!$C$4:$C$53,C27,DD!$E$4:$E$53))</f>
        <v/>
      </c>
      <c r="G27" s="256"/>
      <c r="H27" s="256" t="str">
        <f>IF(C27="","",(SUMIF('PG1'!$C$4:$C$53,C27,'PG1'!$L$4:$L$53) + SUMIF('PG2'!$C$4:$C$53,C27,'PG2'!$E$4:$E$53) + SUMIF('PG3'!$C$4:$C$53,C27,'PG3'!$E$4:$E$53)+ (SUMIF('PG2'!$C$4:$C$53,C27,'PG2'!$F$4:$F$53) + SUMIF('PG3'!$C$4:$C$53,C27,'PG3'!$F$4:$F$53))*SampleLOCConvRate)/1000)</f>
        <v/>
      </c>
      <c r="I27" s="256"/>
      <c r="J27" s="256" t="str">
        <f>IF(C27="","",SUMIF('PT1(UT)'!$C$4:$C$53,C27,'PT1(UT)'!$H$4:$H$53))</f>
        <v/>
      </c>
      <c r="K27" s="256" t="str">
        <f>IF(C27="","",ROUND((SUMIF('PT1(UT)'!$C$4:$C$53,C27,'PT1(UT)'!$F$4:$F$53) +SUMIF('PT1(UT)'!$C$4:$C$53,C27,'PT1(UT)'!$G$4:$G$53)*SampleLOCConvRate)/1000*AvgUTBugKLOC,0))</f>
        <v/>
      </c>
      <c r="L27" s="256" t="str">
        <f>IF(C27="","",SUMIF('PT2(CT)'!$C$4:$C$53,C27,'PT2(CT)'!$H$4:$H$53))</f>
        <v/>
      </c>
      <c r="M27" s="256" t="str">
        <f>IF(C27="","",ROUND((SUMIF('PT2(CT)'!$C$4:$C$53,C27,'PT2(CT)'!$F$4:$F$53) +SUMIF('PT2(CT)'!$C$4:$C$53,C27,'PT2(CT)'!$G$4:$G$53)*SampleLOCConvRate)/1000*AvgCTBugKLOC,0))</f>
        <v/>
      </c>
      <c r="N27" s="256" t="str">
        <f>IF(C27="","",SUMIF('PT2(ST)'!$C$4:$C$53,C27,'PT2(ST)'!$H$4:$H$53))</f>
        <v/>
      </c>
      <c r="O27" s="256" t="str">
        <f>IF(C27="","",ROUND((SUMIF('PT2(ST)'!$C$4:$C$53,C27,'PT2(ST)'!$F$4:$F$53) +SUMIF('PT2(ST)'!$C$4:$C$53,C27,'PT2(ST)'!$G$4:$G$53)*SampleLOCConvRate)/1000*AvgSTBugKLOC,0))</f>
        <v/>
      </c>
      <c r="P27" s="8">
        <f t="shared" si="2"/>
        <v>0</v>
      </c>
    </row>
    <row r="28" spans="2:16">
      <c r="B28" s="169">
        <f t="shared" si="1"/>
        <v>24</v>
      </c>
      <c r="C28" s="251"/>
      <c r="D28" s="252" t="str">
        <f>IF(C28="","",SUMIF(BD!$C$4:$C$33,C28,BD!$D$4:$D$33))</f>
        <v/>
      </c>
      <c r="E28" s="252"/>
      <c r="F28" s="252" t="str">
        <f>IF(C28="","",SUMIF(DD!$C$4:$C$53,C28,DD!$E$4:$E$53))</f>
        <v/>
      </c>
      <c r="G28" s="252"/>
      <c r="H28" s="252" t="str">
        <f>IF(C28="","",(SUMIF('PG1'!$C$4:$C$53,C28,'PG1'!$L$4:$L$53) + SUMIF('PG2'!$C$4:$C$53,C28,'PG2'!$E$4:$E$53) + SUMIF('PG3'!$C$4:$C$53,C28,'PG3'!$E$4:$E$53)+ (SUMIF('PG2'!$C$4:$C$53,C28,'PG2'!$F$4:$F$53) + SUMIF('PG3'!$C$4:$C$53,C28,'PG3'!$F$4:$F$53))*SampleLOCConvRate)/1000)</f>
        <v/>
      </c>
      <c r="I28" s="252"/>
      <c r="J28" s="252" t="str">
        <f>IF(C28="","",SUMIF('PT1(UT)'!$C$4:$C$53,C28,'PT1(UT)'!$H$4:$H$53))</f>
        <v/>
      </c>
      <c r="K28" s="252" t="str">
        <f>IF(C28="","",ROUND((SUMIF('PT1(UT)'!$C$4:$C$53,C28,'PT1(UT)'!$F$4:$F$53) +SUMIF('PT1(UT)'!$C$4:$C$53,C28,'PT1(UT)'!$G$4:$G$53)*SampleLOCConvRate)/1000*AvgUTBugKLOC,0))</f>
        <v/>
      </c>
      <c r="L28" s="252" t="str">
        <f>IF(C28="","",SUMIF('PT2(CT)'!$C$4:$C$53,C28,'PT2(CT)'!$H$4:$H$53))</f>
        <v/>
      </c>
      <c r="M28" s="252" t="str">
        <f>IF(C28="","",ROUND((SUMIF('PT2(CT)'!$C$4:$C$53,C28,'PT2(CT)'!$F$4:$F$53) +SUMIF('PT2(CT)'!$C$4:$C$53,C28,'PT2(CT)'!$G$4:$G$53)*SampleLOCConvRate)/1000*AvgCTBugKLOC,0))</f>
        <v/>
      </c>
      <c r="N28" s="252" t="str">
        <f>IF(C28="","",SUMIF('PT2(ST)'!$C$4:$C$53,C28,'PT2(ST)'!$H$4:$H$53))</f>
        <v/>
      </c>
      <c r="O28" s="252" t="str">
        <f>IF(C28="","",ROUND((SUMIF('PT2(ST)'!$C$4:$C$53,C28,'PT2(ST)'!$F$4:$F$53) +SUMIF('PT2(ST)'!$C$4:$C$53,C28,'PT2(ST)'!$G$4:$G$53)*SampleLOCConvRate)/1000*AvgSTBugKLOC,0))</f>
        <v/>
      </c>
      <c r="P28" s="8">
        <f t="shared" si="2"/>
        <v>0</v>
      </c>
    </row>
    <row r="29" spans="2:16">
      <c r="B29" s="176">
        <f t="shared" si="1"/>
        <v>25</v>
      </c>
      <c r="C29" s="255"/>
      <c r="D29" s="256" t="str">
        <f>IF(C29="","",SUMIF(BD!$C$4:$C$33,C29,BD!$D$4:$D$33))</f>
        <v/>
      </c>
      <c r="E29" s="256"/>
      <c r="F29" s="256" t="str">
        <f>IF(C29="","",SUMIF(DD!$C$4:$C$53,C29,DD!$E$4:$E$53))</f>
        <v/>
      </c>
      <c r="G29" s="256"/>
      <c r="H29" s="256" t="str">
        <f>IF(C29="","",(SUMIF('PG1'!$C$4:$C$53,C29,'PG1'!$L$4:$L$53) + SUMIF('PG2'!$C$4:$C$53,C29,'PG2'!$E$4:$E$53) + SUMIF('PG3'!$C$4:$C$53,C29,'PG3'!$E$4:$E$53)+ (SUMIF('PG2'!$C$4:$C$53,C29,'PG2'!$F$4:$F$53) + SUMIF('PG3'!$C$4:$C$53,C29,'PG3'!$F$4:$F$53))*SampleLOCConvRate)/1000)</f>
        <v/>
      </c>
      <c r="I29" s="256"/>
      <c r="J29" s="256" t="str">
        <f>IF(C29="","",SUMIF('PT1(UT)'!$C$4:$C$53,C29,'PT1(UT)'!$H$4:$H$53))</f>
        <v/>
      </c>
      <c r="K29" s="256" t="str">
        <f>IF(C29="","",ROUND((SUMIF('PT1(UT)'!$C$4:$C$53,C29,'PT1(UT)'!$F$4:$F$53) +SUMIF('PT1(UT)'!$C$4:$C$53,C29,'PT1(UT)'!$G$4:$G$53)*SampleLOCConvRate)/1000*AvgUTBugKLOC,0))</f>
        <v/>
      </c>
      <c r="L29" s="256" t="str">
        <f>IF(C29="","",SUMIF('PT2(CT)'!$C$4:$C$53,C29,'PT2(CT)'!$H$4:$H$53))</f>
        <v/>
      </c>
      <c r="M29" s="256" t="str">
        <f>IF(C29="","",ROUND((SUMIF('PT2(CT)'!$C$4:$C$53,C29,'PT2(CT)'!$F$4:$F$53) +SUMIF('PT2(CT)'!$C$4:$C$53,C29,'PT2(CT)'!$G$4:$G$53)*SampleLOCConvRate)/1000*AvgCTBugKLOC,0))</f>
        <v/>
      </c>
      <c r="N29" s="256" t="str">
        <f>IF(C29="","",SUMIF('PT2(ST)'!$C$4:$C$53,C29,'PT2(ST)'!$H$4:$H$53))</f>
        <v/>
      </c>
      <c r="O29" s="256" t="str">
        <f>IF(C29="","",ROUND((SUMIF('PT2(ST)'!$C$4:$C$53,C29,'PT2(ST)'!$F$4:$F$53) +SUMIF('PT2(ST)'!$C$4:$C$53,C29,'PT2(ST)'!$G$4:$G$53)*SampleLOCConvRate)/1000*AvgSTBugKLOC,0))</f>
        <v/>
      </c>
      <c r="P29" s="8">
        <f t="shared" si="2"/>
        <v>0</v>
      </c>
    </row>
    <row r="30" spans="2:16">
      <c r="B30" s="169">
        <f t="shared" si="1"/>
        <v>26</v>
      </c>
      <c r="C30" s="251"/>
      <c r="D30" s="252" t="str">
        <f>IF(C30="","",SUMIF(BD!$C$4:$C$33,C30,BD!$D$4:$D$33))</f>
        <v/>
      </c>
      <c r="E30" s="252"/>
      <c r="F30" s="252" t="str">
        <f>IF(C30="","",SUMIF(DD!$C$4:$C$53,C30,DD!$E$4:$E$53))</f>
        <v/>
      </c>
      <c r="G30" s="252"/>
      <c r="H30" s="252" t="str">
        <f>IF(C30="","",(SUMIF('PG1'!$C$4:$C$53,C30,'PG1'!$L$4:$L$53) + SUMIF('PG2'!$C$4:$C$53,C30,'PG2'!$E$4:$E$53) + SUMIF('PG3'!$C$4:$C$53,C30,'PG3'!$E$4:$E$53)+ (SUMIF('PG2'!$C$4:$C$53,C30,'PG2'!$F$4:$F$53) + SUMIF('PG3'!$C$4:$C$53,C30,'PG3'!$F$4:$F$53))*SampleLOCConvRate)/1000)</f>
        <v/>
      </c>
      <c r="I30" s="252"/>
      <c r="J30" s="252" t="str">
        <f>IF(C30="","",SUMIF('PT1(UT)'!$C$4:$C$53,C30,'PT1(UT)'!$H$4:$H$53))</f>
        <v/>
      </c>
      <c r="K30" s="252" t="str">
        <f>IF(C30="","",ROUND((SUMIF('PT1(UT)'!$C$4:$C$53,C30,'PT1(UT)'!$F$4:$F$53) +SUMIF('PT1(UT)'!$C$4:$C$53,C30,'PT1(UT)'!$G$4:$G$53)*SampleLOCConvRate)/1000*AvgUTBugKLOC,0))</f>
        <v/>
      </c>
      <c r="L30" s="252" t="str">
        <f>IF(C30="","",SUMIF('PT2(CT)'!$C$4:$C$53,C30,'PT2(CT)'!$H$4:$H$53))</f>
        <v/>
      </c>
      <c r="M30" s="252" t="str">
        <f>IF(C30="","",ROUND((SUMIF('PT2(CT)'!$C$4:$C$53,C30,'PT2(CT)'!$F$4:$F$53) +SUMIF('PT2(CT)'!$C$4:$C$53,C30,'PT2(CT)'!$G$4:$G$53)*SampleLOCConvRate)/1000*AvgCTBugKLOC,0))</f>
        <v/>
      </c>
      <c r="N30" s="252" t="str">
        <f>IF(C30="","",SUMIF('PT2(ST)'!$C$4:$C$53,C30,'PT2(ST)'!$H$4:$H$53))</f>
        <v/>
      </c>
      <c r="O30" s="252" t="str">
        <f>IF(C30="","",ROUND((SUMIF('PT2(ST)'!$C$4:$C$53,C30,'PT2(ST)'!$F$4:$F$53) +SUMIF('PT2(ST)'!$C$4:$C$53,C30,'PT2(ST)'!$G$4:$G$53)*SampleLOCConvRate)/1000*AvgSTBugKLOC,0))</f>
        <v/>
      </c>
      <c r="P30" s="8">
        <f t="shared" si="2"/>
        <v>0</v>
      </c>
    </row>
    <row r="31" spans="2:16">
      <c r="B31" s="176">
        <f t="shared" si="1"/>
        <v>27</v>
      </c>
      <c r="C31" s="255"/>
      <c r="D31" s="256" t="str">
        <f>IF(C31="","",SUMIF(BD!$C$4:$C$33,C31,BD!$D$4:$D$33))</f>
        <v/>
      </c>
      <c r="E31" s="256"/>
      <c r="F31" s="256" t="str">
        <f>IF(C31="","",SUMIF(DD!$C$4:$C$53,C31,DD!$E$4:$E$53))</f>
        <v/>
      </c>
      <c r="G31" s="256"/>
      <c r="H31" s="256" t="str">
        <f>IF(C31="","",(SUMIF('PG1'!$C$4:$C$53,C31,'PG1'!$L$4:$L$53) + SUMIF('PG2'!$C$4:$C$53,C31,'PG2'!$E$4:$E$53) + SUMIF('PG3'!$C$4:$C$53,C31,'PG3'!$E$4:$E$53)+ (SUMIF('PG2'!$C$4:$C$53,C31,'PG2'!$F$4:$F$53) + SUMIF('PG3'!$C$4:$C$53,C31,'PG3'!$F$4:$F$53))*SampleLOCConvRate)/1000)</f>
        <v/>
      </c>
      <c r="I31" s="256"/>
      <c r="J31" s="256" t="str">
        <f>IF(C31="","",SUMIF('PT1(UT)'!$C$4:$C$53,C31,'PT1(UT)'!$H$4:$H$53))</f>
        <v/>
      </c>
      <c r="K31" s="256" t="str">
        <f>IF(C31="","",ROUND((SUMIF('PT1(UT)'!$C$4:$C$53,C31,'PT1(UT)'!$F$4:$F$53) +SUMIF('PT1(UT)'!$C$4:$C$53,C31,'PT1(UT)'!$G$4:$G$53)*SampleLOCConvRate)/1000*AvgUTBugKLOC,0))</f>
        <v/>
      </c>
      <c r="L31" s="256" t="str">
        <f>IF(C31="","",SUMIF('PT2(CT)'!$C$4:$C$53,C31,'PT2(CT)'!$H$4:$H$53))</f>
        <v/>
      </c>
      <c r="M31" s="256" t="str">
        <f>IF(C31="","",ROUND((SUMIF('PT2(CT)'!$C$4:$C$53,C31,'PT2(CT)'!$F$4:$F$53) +SUMIF('PT2(CT)'!$C$4:$C$53,C31,'PT2(CT)'!$G$4:$G$53)*SampleLOCConvRate)/1000*AvgCTBugKLOC,0))</f>
        <v/>
      </c>
      <c r="N31" s="256" t="str">
        <f>IF(C31="","",SUMIF('PT2(ST)'!$C$4:$C$53,C31,'PT2(ST)'!$H$4:$H$53))</f>
        <v/>
      </c>
      <c r="O31" s="256" t="str">
        <f>IF(C31="","",ROUND((SUMIF('PT2(ST)'!$C$4:$C$53,C31,'PT2(ST)'!$F$4:$F$53) +SUMIF('PT2(ST)'!$C$4:$C$53,C31,'PT2(ST)'!$G$4:$G$53)*SampleLOCConvRate)/1000*AvgSTBugKLOC,0))</f>
        <v/>
      </c>
      <c r="P31" s="8">
        <f t="shared" si="2"/>
        <v>0</v>
      </c>
    </row>
    <row r="32" spans="2:16">
      <c r="B32" s="169">
        <f t="shared" si="1"/>
        <v>28</v>
      </c>
      <c r="C32" s="251"/>
      <c r="D32" s="252" t="str">
        <f>IF(C32="","",SUMIF(BD!$C$4:$C$33,C32,BD!$D$4:$D$33))</f>
        <v/>
      </c>
      <c r="E32" s="252"/>
      <c r="F32" s="252" t="str">
        <f>IF(C32="","",SUMIF(DD!$C$4:$C$53,C32,DD!$E$4:$E$53))</f>
        <v/>
      </c>
      <c r="G32" s="252"/>
      <c r="H32" s="252" t="str">
        <f>IF(C32="","",(SUMIF('PG1'!$C$4:$C$53,C32,'PG1'!$L$4:$L$53) + SUMIF('PG2'!$C$4:$C$53,C32,'PG2'!$E$4:$E$53) + SUMIF('PG3'!$C$4:$C$53,C32,'PG3'!$E$4:$E$53)+ (SUMIF('PG2'!$C$4:$C$53,C32,'PG2'!$F$4:$F$53) + SUMIF('PG3'!$C$4:$C$53,C32,'PG3'!$F$4:$F$53))*SampleLOCConvRate)/1000)</f>
        <v/>
      </c>
      <c r="I32" s="252"/>
      <c r="J32" s="252" t="str">
        <f>IF(C32="","",SUMIF('PT1(UT)'!$C$4:$C$53,C32,'PT1(UT)'!$H$4:$H$53))</f>
        <v/>
      </c>
      <c r="K32" s="252" t="str">
        <f>IF(C32="","",ROUND((SUMIF('PT1(UT)'!$C$4:$C$53,C32,'PT1(UT)'!$F$4:$F$53) +SUMIF('PT1(UT)'!$C$4:$C$53,C32,'PT1(UT)'!$G$4:$G$53)*SampleLOCConvRate)/1000*AvgUTBugKLOC,0))</f>
        <v/>
      </c>
      <c r="L32" s="252" t="str">
        <f>IF(C32="","",SUMIF('PT2(CT)'!$C$4:$C$53,C32,'PT2(CT)'!$H$4:$H$53))</f>
        <v/>
      </c>
      <c r="M32" s="252" t="str">
        <f>IF(C32="","",ROUND((SUMIF('PT2(CT)'!$C$4:$C$53,C32,'PT2(CT)'!$F$4:$F$53) +SUMIF('PT2(CT)'!$C$4:$C$53,C32,'PT2(CT)'!$G$4:$G$53)*SampleLOCConvRate)/1000*AvgCTBugKLOC,0))</f>
        <v/>
      </c>
      <c r="N32" s="252" t="str">
        <f>IF(C32="","",SUMIF('PT2(ST)'!$C$4:$C$53,C32,'PT2(ST)'!$H$4:$H$53))</f>
        <v/>
      </c>
      <c r="O32" s="252" t="str">
        <f>IF(C32="","",ROUND((SUMIF('PT2(ST)'!$C$4:$C$53,C32,'PT2(ST)'!$F$4:$F$53) +SUMIF('PT2(ST)'!$C$4:$C$53,C32,'PT2(ST)'!$G$4:$G$53)*SampleLOCConvRate)/1000*AvgSTBugKLOC,0))</f>
        <v/>
      </c>
      <c r="P32" s="8">
        <f t="shared" si="2"/>
        <v>0</v>
      </c>
    </row>
    <row r="33" spans="2:16">
      <c r="B33" s="176">
        <f t="shared" si="1"/>
        <v>29</v>
      </c>
      <c r="C33" s="255"/>
      <c r="D33" s="256" t="str">
        <f>IF(C33="","",SUMIF(BD!$C$4:$C$33,C33,BD!$D$4:$D$33))</f>
        <v/>
      </c>
      <c r="E33" s="256"/>
      <c r="F33" s="256" t="str">
        <f>IF(C33="","",SUMIF(DD!$C$4:$C$53,C33,DD!$E$4:$E$53))</f>
        <v/>
      </c>
      <c r="G33" s="256"/>
      <c r="H33" s="256" t="str">
        <f>IF(C33="","",(SUMIF('PG1'!$C$4:$C$53,C33,'PG1'!$L$4:$L$53) + SUMIF('PG2'!$C$4:$C$53,C33,'PG2'!$E$4:$E$53) + SUMIF('PG3'!$C$4:$C$53,C33,'PG3'!$E$4:$E$53)+ (SUMIF('PG2'!$C$4:$C$53,C33,'PG2'!$F$4:$F$53) + SUMIF('PG3'!$C$4:$C$53,C33,'PG3'!$F$4:$F$53))*SampleLOCConvRate)/1000)</f>
        <v/>
      </c>
      <c r="I33" s="256"/>
      <c r="J33" s="256" t="str">
        <f>IF(C33="","",SUMIF('PT1(UT)'!$C$4:$C$53,C33,'PT1(UT)'!$H$4:$H$53))</f>
        <v/>
      </c>
      <c r="K33" s="256" t="str">
        <f>IF(C33="","",ROUND((SUMIF('PT1(UT)'!$C$4:$C$53,C33,'PT1(UT)'!$F$4:$F$53) +SUMIF('PT1(UT)'!$C$4:$C$53,C33,'PT1(UT)'!$G$4:$G$53)*SampleLOCConvRate)/1000*AvgUTBugKLOC,0))</f>
        <v/>
      </c>
      <c r="L33" s="256" t="str">
        <f>IF(C33="","",SUMIF('PT2(CT)'!$C$4:$C$53,C33,'PT2(CT)'!$H$4:$H$53))</f>
        <v/>
      </c>
      <c r="M33" s="256" t="str">
        <f>IF(C33="","",ROUND((SUMIF('PT2(CT)'!$C$4:$C$53,C33,'PT2(CT)'!$F$4:$F$53) +SUMIF('PT2(CT)'!$C$4:$C$53,C33,'PT2(CT)'!$G$4:$G$53)*SampleLOCConvRate)/1000*AvgCTBugKLOC,0))</f>
        <v/>
      </c>
      <c r="N33" s="256" t="str">
        <f>IF(C33="","",SUMIF('PT2(ST)'!$C$4:$C$53,C33,'PT2(ST)'!$H$4:$H$53))</f>
        <v/>
      </c>
      <c r="O33" s="256" t="str">
        <f>IF(C33="","",ROUND((SUMIF('PT2(ST)'!$C$4:$C$53,C33,'PT2(ST)'!$F$4:$F$53) +SUMIF('PT2(ST)'!$C$4:$C$53,C33,'PT2(ST)'!$G$4:$G$53)*SampleLOCConvRate)/1000*AvgSTBugKLOC,0))</f>
        <v/>
      </c>
      <c r="P33" s="8">
        <f t="shared" si="2"/>
        <v>0</v>
      </c>
    </row>
    <row r="34" spans="2:16" ht="15.75" thickBot="1">
      <c r="B34" s="177">
        <f t="shared" si="1"/>
        <v>30</v>
      </c>
      <c r="C34" s="257"/>
      <c r="D34" s="258" t="str">
        <f>IF(C34="","",SUMIF(BD!$C$4:$C$33,C34,BD!$D$4:$D$33))</f>
        <v/>
      </c>
      <c r="E34" s="258"/>
      <c r="F34" s="258" t="str">
        <f>IF(C34="","",SUMIF(DD!$C$4:$C$53,C34,DD!$E$4:$E$53))</f>
        <v/>
      </c>
      <c r="G34" s="258"/>
      <c r="H34" s="258" t="str">
        <f>IF(C34="","",(SUMIF('PG1'!$C$4:$C$53,C34,'PG1'!$L$4:$L$53) + SUMIF('PG2'!$C$4:$C$53,C34,'PG2'!$E$4:$E$53) + SUMIF('PG3'!$C$4:$C$53,C34,'PG3'!$E$4:$E$53)+ (SUMIF('PG2'!$C$4:$C$53,C34,'PG2'!$F$4:$F$53) + SUMIF('PG3'!$C$4:$C$53,C34,'PG3'!$F$4:$F$53))*SampleLOCConvRate)/1000)</f>
        <v/>
      </c>
      <c r="I34" s="258"/>
      <c r="J34" s="258" t="str">
        <f>IF(C34="","",SUMIF('PT1(UT)'!$C$4:$C$53,C34,'PT1(UT)'!$H$4:$H$53))</f>
        <v/>
      </c>
      <c r="K34" s="258" t="str">
        <f>IF(C34="","",ROUND((SUMIF('PT1(UT)'!$C$4:$C$53,C34,'PT1(UT)'!$F$4:$F$53) +SUMIF('PT1(UT)'!$C$4:$C$53,C34,'PT1(UT)'!$G$4:$G$53)*SampleLOCConvRate)/1000*AvgUTBugKLOC,0))</f>
        <v/>
      </c>
      <c r="L34" s="258" t="str">
        <f>IF(C34="","",SUMIF('PT2(CT)'!$C$4:$C$53,C34,'PT2(CT)'!$H$4:$H$53))</f>
        <v/>
      </c>
      <c r="M34" s="258" t="str">
        <f>IF(C34="","",ROUND((SUMIF('PT2(CT)'!$C$4:$C$53,C34,'PT2(CT)'!$F$4:$F$53) +SUMIF('PT2(CT)'!$C$4:$C$53,C34,'PT2(CT)'!$G$4:$G$53)*SampleLOCConvRate)/1000*AvgCTBugKLOC,0))</f>
        <v/>
      </c>
      <c r="N34" s="258" t="str">
        <f>IF(C34="","",SUMIF('PT2(ST)'!$C$4:$C$53,C34,'PT2(ST)'!$H$4:$H$53))</f>
        <v/>
      </c>
      <c r="O34" s="258" t="str">
        <f>IF(C34="","",ROUND((SUMIF('PT2(ST)'!$C$4:$C$53,C34,'PT2(ST)'!$F$4:$F$53) +SUMIF('PT2(ST)'!$C$4:$C$53,C34,'PT2(ST)'!$G$4:$G$53)*SampleLOCConvRate)/1000*AvgSTBugKLOC,0))</f>
        <v/>
      </c>
      <c r="P34" s="8">
        <f t="shared" si="2"/>
        <v>0</v>
      </c>
    </row>
    <row r="35" spans="2:16" s="46" customFormat="1">
      <c r="D35" s="47"/>
      <c r="E35" s="47"/>
      <c r="F35" s="47"/>
      <c r="G35" s="47"/>
      <c r="H35" s="47"/>
      <c r="I35" s="47"/>
      <c r="J35" s="47"/>
      <c r="K35" s="47"/>
      <c r="L35" s="47"/>
      <c r="M35" s="47"/>
      <c r="N35" s="47"/>
      <c r="O35" s="47"/>
      <c r="P35" s="8"/>
    </row>
    <row r="36" spans="2:16" s="46" customFormat="1">
      <c r="D36" s="47"/>
      <c r="E36" s="47"/>
      <c r="F36" s="47"/>
      <c r="G36" s="47"/>
      <c r="H36" s="47"/>
      <c r="I36" s="47"/>
      <c r="J36" s="47"/>
      <c r="K36" s="47"/>
      <c r="L36" s="47"/>
      <c r="M36" s="47"/>
      <c r="N36" s="47"/>
      <c r="O36" s="47"/>
      <c r="P36" s="8"/>
    </row>
    <row r="37" spans="2:16" s="46" customFormat="1">
      <c r="D37" s="47"/>
      <c r="E37" s="47"/>
      <c r="F37" s="47"/>
      <c r="G37" s="47"/>
      <c r="H37" s="47"/>
      <c r="I37" s="47"/>
      <c r="J37" s="47"/>
      <c r="K37" s="47"/>
      <c r="L37" s="47"/>
      <c r="M37" s="47"/>
      <c r="N37" s="47"/>
      <c r="O37" s="47"/>
      <c r="P37" s="8"/>
    </row>
  </sheetData>
  <protectedRanges>
    <protectedRange sqref="C5:M34 C3:O3" name="Range1"/>
  </protectedRanges>
  <mergeCells count="1">
    <mergeCell ref="B1:M1"/>
  </mergeCells>
  <phoneticPr fontId="3"/>
  <conditionalFormatting sqref="B5:C34">
    <cfRule type="expression" dxfId="36" priority="3" stopIfTrue="1">
      <formula>$P5&gt;1</formula>
    </cfRule>
    <cfRule type="expression" dxfId="35" priority="4" stopIfTrue="1">
      <formula>MOD(ROW(),2)=0</formula>
    </cfRule>
    <cfRule type="expression" dxfId="34" priority="5" stopIfTrue="1">
      <formula>MOD(ROW(),2)=1</formula>
    </cfRule>
  </conditionalFormatting>
  <conditionalFormatting sqref="D5:M34">
    <cfRule type="expression" dxfId="33" priority="6" stopIfTrue="1">
      <formula>MOD(ROW(),2)=0</formula>
    </cfRule>
    <cfRule type="expression" dxfId="32" priority="7" stopIfTrue="1">
      <formula>MOD(ROW(),2)=1</formula>
    </cfRule>
  </conditionalFormatting>
  <conditionalFormatting sqref="N5:O34">
    <cfRule type="expression" dxfId="31" priority="1" stopIfTrue="1">
      <formula>MOD(ROW(),2)=0</formula>
    </cfRule>
    <cfRule type="expression" dxfId="30" priority="2" stopIfTrue="1">
      <formula>MOD(ROW(),2)=1</formula>
    </cfRule>
  </conditionalFormatting>
  <printOptions horizontalCentered="1"/>
  <pageMargins left="0.59055118110236227" right="0.39370078740157483" top="0.39370078740157483" bottom="0.39370078740157483" header="0.51181102362204722" footer="0.51181102362204722"/>
  <pageSetup paperSize="9" scale="90" orientation="landscape" r:id="rId1"/>
  <headerFooter alignWithMargins="0"/>
</worksheet>
</file>

<file path=xl/worksheets/sheet10.xml><?xml version="1.0" encoding="utf-8"?>
<worksheet xmlns="http://schemas.openxmlformats.org/spreadsheetml/2006/main" xmlns:r="http://schemas.openxmlformats.org/officeDocument/2006/relationships">
  <sheetPr codeName="Sheet5">
    <tabColor theme="0" tint="-0.249977111117893"/>
  </sheetPr>
  <dimension ref="B2:T12"/>
  <sheetViews>
    <sheetView showGridLines="0" view="pageBreakPreview" topLeftCell="C1" zoomScaleNormal="100" workbookViewId="0">
      <selection activeCell="C6" sqref="C6:J6"/>
    </sheetView>
  </sheetViews>
  <sheetFormatPr defaultRowHeight="13.5"/>
  <cols>
    <col min="1" max="1" width="2.75" customWidth="1"/>
    <col min="2" max="2" width="7.875" bestFit="1" customWidth="1"/>
    <col min="19" max="19" width="3.5" customWidth="1"/>
  </cols>
  <sheetData>
    <row r="2" spans="2:20" ht="25.5">
      <c r="B2" s="668" t="s">
        <v>197</v>
      </c>
      <c r="C2" s="668"/>
      <c r="D2" s="668"/>
      <c r="E2" s="668"/>
      <c r="F2" s="668"/>
      <c r="G2" s="668"/>
      <c r="H2" s="668"/>
      <c r="I2" s="668"/>
      <c r="J2" s="668"/>
      <c r="K2" s="669" t="s">
        <v>160</v>
      </c>
      <c r="L2" s="669"/>
      <c r="M2" s="669"/>
      <c r="N2" s="669"/>
      <c r="O2" s="669"/>
      <c r="P2" s="669"/>
      <c r="Q2" s="669"/>
      <c r="R2" s="669"/>
      <c r="S2" s="669"/>
    </row>
    <row r="3" spans="2:20" ht="14.25">
      <c r="B3" s="128" t="s">
        <v>161</v>
      </c>
      <c r="C3" s="674" t="s">
        <v>162</v>
      </c>
      <c r="D3" s="674"/>
      <c r="E3" s="674"/>
      <c r="F3" s="674"/>
      <c r="G3" s="674"/>
      <c r="H3" s="674"/>
      <c r="I3" s="674"/>
      <c r="J3" s="674"/>
      <c r="K3" s="675" t="s">
        <v>163</v>
      </c>
      <c r="L3" s="675"/>
      <c r="M3" s="675"/>
      <c r="N3" s="675"/>
      <c r="O3" s="675"/>
      <c r="P3" s="675"/>
      <c r="Q3" s="675"/>
      <c r="R3" s="675"/>
    </row>
    <row r="4" spans="2:20" ht="63.95" customHeight="1">
      <c r="B4" s="129" t="s">
        <v>164</v>
      </c>
      <c r="C4" s="670" t="s">
        <v>180</v>
      </c>
      <c r="D4" s="671"/>
      <c r="E4" s="671"/>
      <c r="F4" s="671"/>
      <c r="G4" s="671"/>
      <c r="H4" s="671"/>
      <c r="I4" s="671"/>
      <c r="J4" s="671"/>
      <c r="K4" s="672" t="s">
        <v>472</v>
      </c>
      <c r="L4" s="672"/>
      <c r="M4" s="672"/>
      <c r="N4" s="672"/>
      <c r="O4" s="672"/>
      <c r="P4" s="672"/>
      <c r="Q4" s="672"/>
      <c r="R4" s="672"/>
    </row>
    <row r="5" spans="2:20" ht="45.95" customHeight="1">
      <c r="B5" s="129" t="s">
        <v>165</v>
      </c>
      <c r="C5" s="673" t="s">
        <v>166</v>
      </c>
      <c r="D5" s="667"/>
      <c r="E5" s="667"/>
      <c r="F5" s="667"/>
      <c r="G5" s="667"/>
      <c r="H5" s="667"/>
      <c r="I5" s="667"/>
      <c r="J5" s="667"/>
      <c r="K5" s="667" t="s">
        <v>167</v>
      </c>
      <c r="L5" s="667"/>
      <c r="M5" s="667"/>
      <c r="N5" s="667"/>
      <c r="O5" s="667"/>
      <c r="P5" s="667"/>
      <c r="Q5" s="667"/>
      <c r="R5" s="667"/>
    </row>
    <row r="6" spans="2:20" ht="60" customHeight="1">
      <c r="B6" s="129" t="s">
        <v>168</v>
      </c>
      <c r="C6" s="673" t="s">
        <v>169</v>
      </c>
      <c r="D6" s="667"/>
      <c r="E6" s="667"/>
      <c r="F6" s="667"/>
      <c r="G6" s="667"/>
      <c r="H6" s="667"/>
      <c r="I6" s="667"/>
      <c r="J6" s="667"/>
      <c r="K6" s="667" t="s">
        <v>170</v>
      </c>
      <c r="L6" s="667"/>
      <c r="M6" s="667"/>
      <c r="N6" s="667"/>
      <c r="O6" s="667"/>
      <c r="P6" s="667"/>
      <c r="Q6" s="667"/>
      <c r="R6" s="667"/>
    </row>
    <row r="7" spans="2:20" ht="71.45" customHeight="1">
      <c r="B7" s="129" t="s">
        <v>171</v>
      </c>
      <c r="C7" s="676" t="s">
        <v>181</v>
      </c>
      <c r="D7" s="677"/>
      <c r="E7" s="677"/>
      <c r="F7" s="677"/>
      <c r="G7" s="677"/>
      <c r="H7" s="677"/>
      <c r="I7" s="677"/>
      <c r="J7" s="678"/>
      <c r="K7" s="679" t="s">
        <v>186</v>
      </c>
      <c r="L7" s="680"/>
      <c r="M7" s="680"/>
      <c r="N7" s="680"/>
      <c r="O7" s="680"/>
      <c r="P7" s="680"/>
      <c r="Q7" s="680"/>
      <c r="R7" s="681"/>
      <c r="S7" s="130"/>
      <c r="T7" s="130"/>
    </row>
    <row r="8" spans="2:20" ht="59.25" customHeight="1">
      <c r="B8" s="129" t="s">
        <v>172</v>
      </c>
      <c r="C8" s="673" t="s">
        <v>173</v>
      </c>
      <c r="D8" s="667"/>
      <c r="E8" s="667"/>
      <c r="F8" s="667"/>
      <c r="G8" s="667"/>
      <c r="H8" s="667"/>
      <c r="I8" s="667"/>
      <c r="J8" s="667"/>
      <c r="K8" s="667" t="s">
        <v>182</v>
      </c>
      <c r="L8" s="667"/>
      <c r="M8" s="667"/>
      <c r="N8" s="667"/>
      <c r="O8" s="667"/>
      <c r="P8" s="667"/>
      <c r="Q8" s="667"/>
      <c r="R8" s="667"/>
    </row>
    <row r="9" spans="2:20" ht="52.5" customHeight="1">
      <c r="B9" s="129" t="s">
        <v>174</v>
      </c>
      <c r="C9" s="673" t="s">
        <v>175</v>
      </c>
      <c r="D9" s="667"/>
      <c r="E9" s="667"/>
      <c r="F9" s="667"/>
      <c r="G9" s="667"/>
      <c r="H9" s="667"/>
      <c r="I9" s="667"/>
      <c r="J9" s="667"/>
      <c r="K9" s="667" t="s">
        <v>183</v>
      </c>
      <c r="L9" s="667"/>
      <c r="M9" s="667"/>
      <c r="N9" s="667"/>
      <c r="O9" s="667"/>
      <c r="P9" s="667"/>
      <c r="Q9" s="667"/>
      <c r="R9" s="667"/>
    </row>
    <row r="10" spans="2:20" ht="79.5" customHeight="1">
      <c r="B10" s="129" t="s">
        <v>176</v>
      </c>
      <c r="C10" s="673" t="s">
        <v>184</v>
      </c>
      <c r="D10" s="667"/>
      <c r="E10" s="667"/>
      <c r="F10" s="667"/>
      <c r="G10" s="667"/>
      <c r="H10" s="667"/>
      <c r="I10" s="667"/>
      <c r="J10" s="667"/>
      <c r="K10" s="667" t="s">
        <v>187</v>
      </c>
      <c r="L10" s="667"/>
      <c r="M10" s="667"/>
      <c r="N10" s="667"/>
      <c r="O10" s="667"/>
      <c r="P10" s="667"/>
      <c r="Q10" s="667"/>
      <c r="R10" s="667"/>
    </row>
    <row r="11" spans="2:20" ht="162.94999999999999" customHeight="1">
      <c r="B11" s="129" t="s">
        <v>177</v>
      </c>
      <c r="C11" s="673" t="s">
        <v>188</v>
      </c>
      <c r="D11" s="667"/>
      <c r="E11" s="667"/>
      <c r="F11" s="667"/>
      <c r="G11" s="667"/>
      <c r="H11" s="667"/>
      <c r="I11" s="667"/>
      <c r="J11" s="667"/>
      <c r="K11" s="667" t="s">
        <v>189</v>
      </c>
      <c r="L11" s="667"/>
      <c r="M11" s="667"/>
      <c r="N11" s="667"/>
      <c r="O11" s="667"/>
      <c r="P11" s="667"/>
      <c r="Q11" s="667"/>
      <c r="R11" s="667"/>
    </row>
    <row r="12" spans="2:20" ht="102.75" customHeight="1">
      <c r="B12" s="129" t="s">
        <v>178</v>
      </c>
      <c r="C12" s="673" t="s">
        <v>179</v>
      </c>
      <c r="D12" s="667"/>
      <c r="E12" s="667"/>
      <c r="F12" s="667"/>
      <c r="G12" s="667"/>
      <c r="H12" s="667"/>
      <c r="I12" s="667"/>
      <c r="J12" s="667"/>
      <c r="K12" s="667" t="s">
        <v>185</v>
      </c>
      <c r="L12" s="667"/>
      <c r="M12" s="667"/>
      <c r="N12" s="667"/>
      <c r="O12" s="667"/>
      <c r="P12" s="667"/>
      <c r="Q12" s="667"/>
      <c r="R12" s="667"/>
    </row>
  </sheetData>
  <mergeCells count="22">
    <mergeCell ref="C12:J12"/>
    <mergeCell ref="K12:R12"/>
    <mergeCell ref="C3:J3"/>
    <mergeCell ref="K3:R3"/>
    <mergeCell ref="C10:J10"/>
    <mergeCell ref="K10:R10"/>
    <mergeCell ref="C11:J11"/>
    <mergeCell ref="K11:R11"/>
    <mergeCell ref="C8:J8"/>
    <mergeCell ref="C5:J5"/>
    <mergeCell ref="C9:J9"/>
    <mergeCell ref="K9:R9"/>
    <mergeCell ref="C6:J6"/>
    <mergeCell ref="K6:R6"/>
    <mergeCell ref="C7:J7"/>
    <mergeCell ref="K7:R7"/>
    <mergeCell ref="K5:R5"/>
    <mergeCell ref="K8:R8"/>
    <mergeCell ref="B2:J2"/>
    <mergeCell ref="K2:S2"/>
    <mergeCell ref="C4:J4"/>
    <mergeCell ref="K4:R4"/>
  </mergeCells>
  <phoneticPr fontId="42" type="noConversion"/>
  <printOptions horizontalCentered="1"/>
  <pageMargins left="0.59055118110236227" right="0.39370078740157483" top="0.39370078740157483" bottom="0.39370078740157483"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sheetPr codeName="Sheet13">
    <tabColor theme="0" tint="-0.499984740745262"/>
  </sheetPr>
  <dimension ref="B1:Q35"/>
  <sheetViews>
    <sheetView view="pageBreakPreview" zoomScale="85" zoomScaleNormal="100" workbookViewId="0">
      <selection activeCell="J6" sqref="J6"/>
    </sheetView>
  </sheetViews>
  <sheetFormatPr defaultRowHeight="15"/>
  <cols>
    <col min="1" max="1" width="1.625" style="384" customWidth="1"/>
    <col min="2" max="2" width="3.875" style="384" bestFit="1" customWidth="1"/>
    <col min="3" max="3" width="30.625" style="384" customWidth="1"/>
    <col min="4" max="4" width="11.625" style="384" bestFit="1" customWidth="1"/>
    <col min="5" max="5" width="6.75" style="384" bestFit="1" customWidth="1"/>
    <col min="6" max="8" width="7.25" style="441" customWidth="1"/>
    <col min="9" max="9" width="7.25" style="440" customWidth="1"/>
    <col min="10" max="10" width="47.75" style="384" customWidth="1"/>
    <col min="11" max="11" width="6.5" style="384" bestFit="1" customWidth="1"/>
    <col min="12" max="12" width="7" style="384" customWidth="1"/>
    <col min="13" max="13" width="1.625" style="384" customWidth="1"/>
    <col min="14" max="14" width="11.625" style="384" customWidth="1"/>
    <col min="15" max="15" width="4.5" style="384" customWidth="1"/>
    <col min="16" max="16384" width="9" style="384"/>
  </cols>
  <sheetData>
    <row r="1" spans="2:17">
      <c r="B1" s="682" t="s">
        <v>128</v>
      </c>
      <c r="C1" s="682"/>
      <c r="D1" s="682"/>
      <c r="E1" s="682"/>
      <c r="F1" s="682"/>
      <c r="G1" s="682"/>
      <c r="H1" s="682"/>
      <c r="I1" s="682"/>
      <c r="J1" s="682"/>
      <c r="K1" s="682"/>
      <c r="L1" s="682"/>
      <c r="M1" s="682"/>
      <c r="N1" s="682"/>
    </row>
    <row r="2" spans="2:17" ht="15.75" thickBot="1">
      <c r="B2" s="385"/>
      <c r="C2" s="386" t="s">
        <v>130</v>
      </c>
      <c r="F2" s="683" t="s">
        <v>155</v>
      </c>
      <c r="G2" s="683"/>
      <c r="H2" s="683"/>
      <c r="I2" s="442">
        <f>Legend!F20</f>
        <v>1</v>
      </c>
      <c r="K2" s="385"/>
      <c r="L2" s="385"/>
    </row>
    <row r="3" spans="2:17" ht="26.25" thickBot="1">
      <c r="B3" s="387" t="s">
        <v>1</v>
      </c>
      <c r="C3" s="388" t="s">
        <v>2</v>
      </c>
      <c r="D3" s="389" t="s">
        <v>120</v>
      </c>
      <c r="E3" s="390" t="s">
        <v>121</v>
      </c>
      <c r="F3" s="391" t="s">
        <v>105</v>
      </c>
      <c r="G3" s="392" t="s">
        <v>206</v>
      </c>
      <c r="H3" s="393" t="s">
        <v>297</v>
      </c>
      <c r="I3" s="394" t="s">
        <v>97</v>
      </c>
      <c r="J3" s="395" t="s">
        <v>3</v>
      </c>
      <c r="Q3" s="384" t="s">
        <v>349</v>
      </c>
    </row>
    <row r="4" spans="2:17">
      <c r="B4" s="396">
        <f>ROW() -3</f>
        <v>1</v>
      </c>
      <c r="C4" s="397"/>
      <c r="D4" s="398" t="s">
        <v>114</v>
      </c>
      <c r="E4" s="399"/>
      <c r="F4" s="400" t="str">
        <f>IF(TRIM(C4)="","",SUMIF('PG1'!$C$4:$C$53,C4,'PG1'!$G$4:$G$53) + SUMIF('PG2'!$C$4:$C$53,C4,'PG2'!$I$4:$I$53) + SUMIF('PG3'!$C$4:$C$53,C4,'PG3'!$I$4:$I$53))</f>
        <v/>
      </c>
      <c r="G4" s="401" t="str">
        <f t="shared" ref="G4:G33" si="0">IF(TRIM(C4)="","",IF(D4="Partial",E4*F4*RQ_Rate_toPG,SUMIF(RQ_Type,D4,RQ_Type_Value)*F4*RQ_Rate_toPG))</f>
        <v/>
      </c>
      <c r="H4" s="402" t="str">
        <f t="shared" ref="H4:H33" si="1">IF(TRIM(C4)="","",CEILING(G4*UnitPoint_Effort_Rate*10/5,1)*5/10)</f>
        <v/>
      </c>
      <c r="I4" s="403" t="str">
        <f t="shared" ref="I4:I33" si="2">IF(TRIM(H4)="","",IF(G4 &gt;= 1,CEILING(H4*Review_Rate*RQ_Review_Complexity*10/5,1)*5/10,H4*Review_Rate*RQ_Review_Complexity))</f>
        <v/>
      </c>
      <c r="J4" s="404"/>
      <c r="Q4" s="384">
        <f t="shared" ref="Q4:Q33" si="3">COUNTIF($C$4:$C$33,C4)</f>
        <v>0</v>
      </c>
    </row>
    <row r="5" spans="2:17">
      <c r="B5" s="405">
        <f t="shared" ref="B5:B33" si="4">ROW() -3</f>
        <v>2</v>
      </c>
      <c r="C5" s="406"/>
      <c r="D5" s="407" t="s">
        <v>114</v>
      </c>
      <c r="E5" s="408"/>
      <c r="F5" s="409" t="str">
        <f>IF(TRIM(C5)="","",SUMIF('PG1'!$C$4:$C$53,C5,'PG1'!$G$4:$G$53) + SUMIF('PG2'!$C$4:$C$53,C5,'PG2'!$I$4:$I$53) + SUMIF('PG3'!$C$4:$C$53,C5,'PG3'!$I$4:$I$53))</f>
        <v/>
      </c>
      <c r="G5" s="410" t="str">
        <f t="shared" si="0"/>
        <v/>
      </c>
      <c r="H5" s="411" t="str">
        <f t="shared" si="1"/>
        <v/>
      </c>
      <c r="I5" s="412" t="str">
        <f t="shared" si="2"/>
        <v/>
      </c>
      <c r="J5" s="413"/>
      <c r="Q5" s="384">
        <f t="shared" si="3"/>
        <v>0</v>
      </c>
    </row>
    <row r="6" spans="2:17">
      <c r="B6" s="414">
        <f t="shared" si="4"/>
        <v>3</v>
      </c>
      <c r="C6" s="415"/>
      <c r="D6" s="416" t="s">
        <v>110</v>
      </c>
      <c r="E6" s="417"/>
      <c r="F6" s="418" t="str">
        <f>IF(TRIM(C6)="","",SUMIF('PG1'!$C$4:$C$53,C6,'PG1'!$G$4:$G$53) + SUMIF('PG2'!$C$4:$C$53,C6,'PG2'!$I$4:$I$53) + SUMIF('PG3'!$C$4:$C$53,C6,'PG3'!$I$4:$I$53))</f>
        <v/>
      </c>
      <c r="G6" s="419" t="str">
        <f t="shared" si="0"/>
        <v/>
      </c>
      <c r="H6" s="420" t="str">
        <f t="shared" si="1"/>
        <v/>
      </c>
      <c r="I6" s="421" t="str">
        <f t="shared" si="2"/>
        <v/>
      </c>
      <c r="J6" s="422"/>
      <c r="Q6" s="384">
        <f t="shared" si="3"/>
        <v>0</v>
      </c>
    </row>
    <row r="7" spans="2:17">
      <c r="B7" s="405">
        <f t="shared" si="4"/>
        <v>4</v>
      </c>
      <c r="C7" s="406"/>
      <c r="D7" s="407" t="s">
        <v>110</v>
      </c>
      <c r="E7" s="408"/>
      <c r="F7" s="409" t="str">
        <f>IF(TRIM(C7)="","",SUMIF('PG1'!$C$4:$C$53,C7,'PG1'!$G$4:$G$53) + SUMIF('PG2'!$C$4:$C$53,C7,'PG2'!$I$4:$I$53) + SUMIF('PG3'!$C$4:$C$53,C7,'PG3'!$I$4:$I$53))</f>
        <v/>
      </c>
      <c r="G7" s="410" t="str">
        <f t="shared" si="0"/>
        <v/>
      </c>
      <c r="H7" s="411" t="str">
        <f t="shared" si="1"/>
        <v/>
      </c>
      <c r="I7" s="412" t="str">
        <f t="shared" si="2"/>
        <v/>
      </c>
      <c r="J7" s="413"/>
      <c r="Q7" s="384">
        <f t="shared" si="3"/>
        <v>0</v>
      </c>
    </row>
    <row r="8" spans="2:17">
      <c r="B8" s="423">
        <f t="shared" si="4"/>
        <v>5</v>
      </c>
      <c r="C8" s="424"/>
      <c r="D8" s="416" t="s">
        <v>112</v>
      </c>
      <c r="E8" s="417">
        <v>0.6</v>
      </c>
      <c r="F8" s="425" t="str">
        <f>IF(TRIM(C8)="","",SUMIF('PG1'!$C$4:$C$53,C8,'PG1'!$G$4:$G$53) + SUMIF('PG2'!$C$4:$C$53,C8,'PG2'!$I$4:$I$53) + SUMIF('PG3'!$C$4:$C$53,C8,'PG3'!$I$4:$I$53))</f>
        <v/>
      </c>
      <c r="G8" s="426" t="str">
        <f t="shared" si="0"/>
        <v/>
      </c>
      <c r="H8" s="427" t="str">
        <f t="shared" si="1"/>
        <v/>
      </c>
      <c r="I8" s="421" t="str">
        <f t="shared" si="2"/>
        <v/>
      </c>
      <c r="J8" s="422"/>
      <c r="Q8" s="384">
        <f t="shared" si="3"/>
        <v>0</v>
      </c>
    </row>
    <row r="9" spans="2:17">
      <c r="B9" s="405">
        <f t="shared" si="4"/>
        <v>6</v>
      </c>
      <c r="C9" s="406"/>
      <c r="D9" s="407" t="s">
        <v>112</v>
      </c>
      <c r="E9" s="408">
        <v>0.7</v>
      </c>
      <c r="F9" s="409" t="str">
        <f>IF(TRIM(C9)="","",SUMIF('PG1'!$C$4:$C$53,C9,'PG1'!$G$4:$G$53) + SUMIF('PG2'!$C$4:$C$53,C9,'PG2'!$I$4:$I$53) + SUMIF('PG3'!$C$4:$C$53,C9,'PG3'!$I$4:$I$53))</f>
        <v/>
      </c>
      <c r="G9" s="410" t="str">
        <f t="shared" si="0"/>
        <v/>
      </c>
      <c r="H9" s="411" t="str">
        <f t="shared" si="1"/>
        <v/>
      </c>
      <c r="I9" s="412" t="str">
        <f t="shared" si="2"/>
        <v/>
      </c>
      <c r="J9" s="413"/>
      <c r="Q9" s="384">
        <f t="shared" si="3"/>
        <v>0</v>
      </c>
    </row>
    <row r="10" spans="2:17">
      <c r="B10" s="423">
        <f t="shared" si="4"/>
        <v>7</v>
      </c>
      <c r="C10" s="424"/>
      <c r="D10" s="416" t="s">
        <v>114</v>
      </c>
      <c r="E10" s="417"/>
      <c r="F10" s="425" t="str">
        <f>IF(TRIM(C10)="","",SUMIF('PG1'!$C$4:$C$53,C10,'PG1'!$G$4:$G$53) + SUMIF('PG2'!$C$4:$C$53,C10,'PG2'!$I$4:$I$53) + SUMIF('PG3'!$C$4:$C$53,C10,'PG3'!$I$4:$I$53))</f>
        <v/>
      </c>
      <c r="G10" s="426" t="str">
        <f t="shared" si="0"/>
        <v/>
      </c>
      <c r="H10" s="427" t="str">
        <f t="shared" si="1"/>
        <v/>
      </c>
      <c r="I10" s="421" t="str">
        <f t="shared" si="2"/>
        <v/>
      </c>
      <c r="J10" s="422"/>
      <c r="Q10" s="384">
        <f t="shared" si="3"/>
        <v>0</v>
      </c>
    </row>
    <row r="11" spans="2:17">
      <c r="B11" s="405">
        <f t="shared" si="4"/>
        <v>8</v>
      </c>
      <c r="C11" s="406"/>
      <c r="D11" s="407"/>
      <c r="E11" s="408"/>
      <c r="F11" s="409" t="str">
        <f>IF(TRIM(C11)="","",SUMIF('PG1'!$C$4:$C$53,C11,'PG1'!$G$4:$G$53) + SUMIF('PG2'!$C$4:$C$53,C11,'PG2'!$I$4:$I$53) + SUMIF('PG3'!$C$4:$C$53,C11,'PG3'!$I$4:$I$53))</f>
        <v/>
      </c>
      <c r="G11" s="410" t="str">
        <f t="shared" si="0"/>
        <v/>
      </c>
      <c r="H11" s="411" t="str">
        <f t="shared" si="1"/>
        <v/>
      </c>
      <c r="I11" s="412" t="str">
        <f t="shared" si="2"/>
        <v/>
      </c>
      <c r="J11" s="413"/>
      <c r="Q11" s="384">
        <f t="shared" si="3"/>
        <v>0</v>
      </c>
    </row>
    <row r="12" spans="2:17">
      <c r="B12" s="423">
        <f t="shared" si="4"/>
        <v>9</v>
      </c>
      <c r="C12" s="424"/>
      <c r="D12" s="416"/>
      <c r="E12" s="417"/>
      <c r="F12" s="425" t="str">
        <f>IF(TRIM(C12)="","",SUMIF('PG1'!$C$4:$C$53,C12,'PG1'!$G$4:$G$53) + SUMIF('PG2'!$C$4:$C$53,C12,'PG2'!$I$4:$I$53) + SUMIF('PG3'!$C$4:$C$53,C12,'PG3'!$I$4:$I$53))</f>
        <v/>
      </c>
      <c r="G12" s="426" t="str">
        <f t="shared" si="0"/>
        <v/>
      </c>
      <c r="H12" s="427" t="str">
        <f t="shared" si="1"/>
        <v/>
      </c>
      <c r="I12" s="421" t="str">
        <f t="shared" si="2"/>
        <v/>
      </c>
      <c r="J12" s="422"/>
      <c r="Q12" s="384">
        <f t="shared" si="3"/>
        <v>0</v>
      </c>
    </row>
    <row r="13" spans="2:17">
      <c r="B13" s="405">
        <f t="shared" si="4"/>
        <v>10</v>
      </c>
      <c r="C13" s="406"/>
      <c r="D13" s="407"/>
      <c r="E13" s="408"/>
      <c r="F13" s="409" t="str">
        <f>IF(TRIM(C13)="","",SUMIF('PG1'!$C$4:$C$53,C13,'PG1'!$G$4:$G$53) + SUMIF('PG2'!$C$4:$C$53,C13,'PG2'!$I$4:$I$53) + SUMIF('PG3'!$C$4:$C$53,C13,'PG3'!$I$4:$I$53))</f>
        <v/>
      </c>
      <c r="G13" s="410" t="str">
        <f t="shared" si="0"/>
        <v/>
      </c>
      <c r="H13" s="411" t="str">
        <f t="shared" si="1"/>
        <v/>
      </c>
      <c r="I13" s="412" t="str">
        <f t="shared" si="2"/>
        <v/>
      </c>
      <c r="J13" s="413"/>
      <c r="Q13" s="384">
        <f t="shared" si="3"/>
        <v>0</v>
      </c>
    </row>
    <row r="14" spans="2:17">
      <c r="B14" s="423">
        <f t="shared" si="4"/>
        <v>11</v>
      </c>
      <c r="C14" s="415"/>
      <c r="D14" s="416"/>
      <c r="E14" s="417"/>
      <c r="F14" s="418" t="str">
        <f>IF(TRIM(C14)="","",SUMIF('PG1'!$C$4:$C$53,C14,'PG1'!$G$4:$G$53) + SUMIF('PG2'!$C$4:$C$53,C14,'PG2'!$I$4:$I$53) + SUMIF('PG3'!$C$4:$C$53,C14,'PG3'!$I$4:$I$53))</f>
        <v/>
      </c>
      <c r="G14" s="419" t="str">
        <f t="shared" si="0"/>
        <v/>
      </c>
      <c r="H14" s="420" t="str">
        <f t="shared" si="1"/>
        <v/>
      </c>
      <c r="I14" s="421" t="str">
        <f t="shared" si="2"/>
        <v/>
      </c>
      <c r="J14" s="422"/>
      <c r="Q14" s="384">
        <f t="shared" si="3"/>
        <v>0</v>
      </c>
    </row>
    <row r="15" spans="2:17">
      <c r="B15" s="405">
        <f t="shared" si="4"/>
        <v>12</v>
      </c>
      <c r="C15" s="406"/>
      <c r="D15" s="407"/>
      <c r="E15" s="408"/>
      <c r="F15" s="409" t="str">
        <f>IF(TRIM(C15)="","",SUMIF('PG1'!$C$4:$C$53,C15,'PG1'!$G$4:$G$53) + SUMIF('PG2'!$C$4:$C$53,C15,'PG2'!$I$4:$I$53) + SUMIF('PG3'!$C$4:$C$53,C15,'PG3'!$I$4:$I$53))</f>
        <v/>
      </c>
      <c r="G15" s="410" t="str">
        <f t="shared" si="0"/>
        <v/>
      </c>
      <c r="H15" s="411" t="str">
        <f t="shared" si="1"/>
        <v/>
      </c>
      <c r="I15" s="412" t="str">
        <f t="shared" si="2"/>
        <v/>
      </c>
      <c r="J15" s="413"/>
      <c r="Q15" s="384">
        <f t="shared" si="3"/>
        <v>0</v>
      </c>
    </row>
    <row r="16" spans="2:17">
      <c r="B16" s="423">
        <f t="shared" si="4"/>
        <v>13</v>
      </c>
      <c r="C16" s="424"/>
      <c r="D16" s="416"/>
      <c r="E16" s="417"/>
      <c r="F16" s="425" t="str">
        <f>IF(TRIM(C16)="","",SUMIF('PG1'!$C$4:$C$53,C16,'PG1'!$G$4:$G$53) + SUMIF('PG2'!$C$4:$C$53,C16,'PG2'!$I$4:$I$53) + SUMIF('PG3'!$C$4:$C$53,C16,'PG3'!$I$4:$I$53))</f>
        <v/>
      </c>
      <c r="G16" s="426" t="str">
        <f t="shared" si="0"/>
        <v/>
      </c>
      <c r="H16" s="427" t="str">
        <f t="shared" si="1"/>
        <v/>
      </c>
      <c r="I16" s="421" t="str">
        <f t="shared" si="2"/>
        <v/>
      </c>
      <c r="J16" s="422"/>
      <c r="Q16" s="384">
        <f t="shared" si="3"/>
        <v>0</v>
      </c>
    </row>
    <row r="17" spans="2:17">
      <c r="B17" s="405">
        <f t="shared" si="4"/>
        <v>14</v>
      </c>
      <c r="C17" s="406"/>
      <c r="D17" s="407"/>
      <c r="E17" s="408"/>
      <c r="F17" s="409" t="str">
        <f>IF(TRIM(C17)="","",SUMIF('PG1'!$C$4:$C$53,C17,'PG1'!$G$4:$G$53) + SUMIF('PG2'!$C$4:$C$53,C17,'PG2'!$I$4:$I$53) + SUMIF('PG3'!$C$4:$C$53,C17,'PG3'!$I$4:$I$53))</f>
        <v/>
      </c>
      <c r="G17" s="410" t="str">
        <f t="shared" si="0"/>
        <v/>
      </c>
      <c r="H17" s="411" t="str">
        <f t="shared" si="1"/>
        <v/>
      </c>
      <c r="I17" s="412" t="str">
        <f t="shared" si="2"/>
        <v/>
      </c>
      <c r="J17" s="413"/>
      <c r="Q17" s="384">
        <f t="shared" si="3"/>
        <v>0</v>
      </c>
    </row>
    <row r="18" spans="2:17">
      <c r="B18" s="423">
        <f t="shared" si="4"/>
        <v>15</v>
      </c>
      <c r="C18" s="424"/>
      <c r="D18" s="416"/>
      <c r="E18" s="417"/>
      <c r="F18" s="425" t="str">
        <f>IF(TRIM(C18)="","",SUMIF('PG1'!$C$4:$C$53,C18,'PG1'!$G$4:$G$53) + SUMIF('PG2'!$C$4:$C$53,C18,'PG2'!$I$4:$I$53) + SUMIF('PG3'!$C$4:$C$53,C18,'PG3'!$I$4:$I$53))</f>
        <v/>
      </c>
      <c r="G18" s="426" t="str">
        <f t="shared" si="0"/>
        <v/>
      </c>
      <c r="H18" s="427" t="str">
        <f t="shared" si="1"/>
        <v/>
      </c>
      <c r="I18" s="421" t="str">
        <f t="shared" si="2"/>
        <v/>
      </c>
      <c r="J18" s="422"/>
      <c r="Q18" s="384">
        <f t="shared" si="3"/>
        <v>0</v>
      </c>
    </row>
    <row r="19" spans="2:17">
      <c r="B19" s="405">
        <f t="shared" si="4"/>
        <v>16</v>
      </c>
      <c r="C19" s="406"/>
      <c r="D19" s="407"/>
      <c r="E19" s="408"/>
      <c r="F19" s="409" t="str">
        <f>IF(TRIM(C19)="","",SUMIF('PG1'!$C$4:$C$53,C19,'PG1'!$G$4:$G$53) + SUMIF('PG2'!$C$4:$C$53,C19,'PG2'!$I$4:$I$53) + SUMIF('PG3'!$C$4:$C$53,C19,'PG3'!$I$4:$I$53))</f>
        <v/>
      </c>
      <c r="G19" s="410" t="str">
        <f t="shared" si="0"/>
        <v/>
      </c>
      <c r="H19" s="411" t="str">
        <f t="shared" si="1"/>
        <v/>
      </c>
      <c r="I19" s="412" t="str">
        <f t="shared" si="2"/>
        <v/>
      </c>
      <c r="J19" s="413"/>
      <c r="Q19" s="384">
        <f t="shared" si="3"/>
        <v>0</v>
      </c>
    </row>
    <row r="20" spans="2:17">
      <c r="B20" s="423">
        <f t="shared" si="4"/>
        <v>17</v>
      </c>
      <c r="C20" s="424"/>
      <c r="D20" s="416"/>
      <c r="E20" s="417"/>
      <c r="F20" s="425" t="str">
        <f>IF(TRIM(C20)="","",SUMIF('PG1'!$C$4:$C$53,C20,'PG1'!$G$4:$G$53) + SUMIF('PG2'!$C$4:$C$53,C20,'PG2'!$I$4:$I$53) + SUMIF('PG3'!$C$4:$C$53,C20,'PG3'!$I$4:$I$53))</f>
        <v/>
      </c>
      <c r="G20" s="426" t="str">
        <f t="shared" si="0"/>
        <v/>
      </c>
      <c r="H20" s="427" t="str">
        <f t="shared" si="1"/>
        <v/>
      </c>
      <c r="I20" s="421" t="str">
        <f t="shared" si="2"/>
        <v/>
      </c>
      <c r="J20" s="422"/>
      <c r="Q20" s="384">
        <f t="shared" si="3"/>
        <v>0</v>
      </c>
    </row>
    <row r="21" spans="2:17">
      <c r="B21" s="405">
        <f t="shared" si="4"/>
        <v>18</v>
      </c>
      <c r="C21" s="406"/>
      <c r="D21" s="407"/>
      <c r="E21" s="408"/>
      <c r="F21" s="409" t="str">
        <f>IF(TRIM(C21)="","",SUMIF('PG1'!$C$4:$C$53,C21,'PG1'!$G$4:$G$53) + SUMIF('PG2'!$C$4:$C$53,C21,'PG2'!$I$4:$I$53) + SUMIF('PG3'!$C$4:$C$53,C21,'PG3'!$I$4:$I$53))</f>
        <v/>
      </c>
      <c r="G21" s="410" t="str">
        <f t="shared" si="0"/>
        <v/>
      </c>
      <c r="H21" s="411" t="str">
        <f t="shared" si="1"/>
        <v/>
      </c>
      <c r="I21" s="412" t="str">
        <f t="shared" si="2"/>
        <v/>
      </c>
      <c r="J21" s="413"/>
      <c r="Q21" s="384">
        <f t="shared" si="3"/>
        <v>0</v>
      </c>
    </row>
    <row r="22" spans="2:17">
      <c r="B22" s="423">
        <f t="shared" si="4"/>
        <v>19</v>
      </c>
      <c r="C22" s="424"/>
      <c r="D22" s="416"/>
      <c r="E22" s="417"/>
      <c r="F22" s="425" t="str">
        <f>IF(TRIM(C22)="","",SUMIF('PG1'!$C$4:$C$53,C22,'PG1'!$G$4:$G$53) + SUMIF('PG2'!$C$4:$C$53,C22,'PG2'!$I$4:$I$53) + SUMIF('PG3'!$C$4:$C$53,C22,'PG3'!$I$4:$I$53))</f>
        <v/>
      </c>
      <c r="G22" s="426" t="str">
        <f t="shared" si="0"/>
        <v/>
      </c>
      <c r="H22" s="427" t="str">
        <f t="shared" si="1"/>
        <v/>
      </c>
      <c r="I22" s="421" t="str">
        <f t="shared" si="2"/>
        <v/>
      </c>
      <c r="J22" s="422"/>
      <c r="Q22" s="384">
        <f t="shared" si="3"/>
        <v>0</v>
      </c>
    </row>
    <row r="23" spans="2:17">
      <c r="B23" s="405">
        <f t="shared" si="4"/>
        <v>20</v>
      </c>
      <c r="C23" s="406"/>
      <c r="D23" s="407"/>
      <c r="E23" s="408"/>
      <c r="F23" s="409" t="str">
        <f>IF(TRIM(C23)="","",SUMIF('PG1'!$C$4:$C$53,C23,'PG1'!$G$4:$G$53) + SUMIF('PG2'!$C$4:$C$53,C23,'PG2'!$I$4:$I$53) + SUMIF('PG3'!$C$4:$C$53,C23,'PG3'!$I$4:$I$53))</f>
        <v/>
      </c>
      <c r="G23" s="410" t="str">
        <f t="shared" si="0"/>
        <v/>
      </c>
      <c r="H23" s="411" t="str">
        <f t="shared" si="1"/>
        <v/>
      </c>
      <c r="I23" s="412" t="str">
        <f t="shared" si="2"/>
        <v/>
      </c>
      <c r="J23" s="413"/>
      <c r="Q23" s="384">
        <f t="shared" si="3"/>
        <v>0</v>
      </c>
    </row>
    <row r="24" spans="2:17">
      <c r="B24" s="423">
        <f t="shared" si="4"/>
        <v>21</v>
      </c>
      <c r="C24" s="415"/>
      <c r="D24" s="416"/>
      <c r="E24" s="417"/>
      <c r="F24" s="418" t="str">
        <f>IF(TRIM(C24)="","",SUMIF('PG1'!$C$4:$C$53,C24,'PG1'!$G$4:$G$53) + SUMIF('PG2'!$C$4:$C$53,C24,'PG2'!$I$4:$I$53) + SUMIF('PG3'!$C$4:$C$53,C24,'PG3'!$I$4:$I$53))</f>
        <v/>
      </c>
      <c r="G24" s="419" t="str">
        <f t="shared" si="0"/>
        <v/>
      </c>
      <c r="H24" s="420" t="str">
        <f t="shared" si="1"/>
        <v/>
      </c>
      <c r="I24" s="421" t="str">
        <f t="shared" si="2"/>
        <v/>
      </c>
      <c r="J24" s="422"/>
      <c r="Q24" s="384">
        <f t="shared" si="3"/>
        <v>0</v>
      </c>
    </row>
    <row r="25" spans="2:17">
      <c r="B25" s="405">
        <f t="shared" si="4"/>
        <v>22</v>
      </c>
      <c r="C25" s="406"/>
      <c r="D25" s="407"/>
      <c r="E25" s="408"/>
      <c r="F25" s="409" t="str">
        <f>IF(TRIM(C25)="","",SUMIF('PG1'!$C$4:$C$53,C25,'PG1'!$G$4:$G$53) + SUMIF('PG2'!$C$4:$C$53,C25,'PG2'!$I$4:$I$53) + SUMIF('PG3'!$C$4:$C$53,C25,'PG3'!$I$4:$I$53))</f>
        <v/>
      </c>
      <c r="G25" s="410" t="str">
        <f t="shared" si="0"/>
        <v/>
      </c>
      <c r="H25" s="411" t="str">
        <f t="shared" si="1"/>
        <v/>
      </c>
      <c r="I25" s="412" t="str">
        <f t="shared" si="2"/>
        <v/>
      </c>
      <c r="J25" s="413"/>
      <c r="Q25" s="384">
        <f t="shared" si="3"/>
        <v>0</v>
      </c>
    </row>
    <row r="26" spans="2:17">
      <c r="B26" s="423">
        <f t="shared" si="4"/>
        <v>23</v>
      </c>
      <c r="C26" s="424"/>
      <c r="D26" s="416"/>
      <c r="E26" s="417"/>
      <c r="F26" s="425" t="str">
        <f>IF(TRIM(C26)="","",SUMIF('PG1'!$C$4:$C$53,C26,'PG1'!$G$4:$G$53) + SUMIF('PG2'!$C$4:$C$53,C26,'PG2'!$I$4:$I$53) + SUMIF('PG3'!$C$4:$C$53,C26,'PG3'!$I$4:$I$53))</f>
        <v/>
      </c>
      <c r="G26" s="426" t="str">
        <f t="shared" si="0"/>
        <v/>
      </c>
      <c r="H26" s="427" t="str">
        <f t="shared" si="1"/>
        <v/>
      </c>
      <c r="I26" s="421" t="str">
        <f t="shared" si="2"/>
        <v/>
      </c>
      <c r="J26" s="422"/>
      <c r="Q26" s="384">
        <f t="shared" si="3"/>
        <v>0</v>
      </c>
    </row>
    <row r="27" spans="2:17">
      <c r="B27" s="405">
        <f t="shared" si="4"/>
        <v>24</v>
      </c>
      <c r="C27" s="406"/>
      <c r="D27" s="407"/>
      <c r="E27" s="408"/>
      <c r="F27" s="409" t="str">
        <f>IF(TRIM(C27)="","",SUMIF('PG1'!$C$4:$C$53,C27,'PG1'!$G$4:$G$53) + SUMIF('PG2'!$C$4:$C$53,C27,'PG2'!$I$4:$I$53) + SUMIF('PG3'!$C$4:$C$53,C27,'PG3'!$I$4:$I$53))</f>
        <v/>
      </c>
      <c r="G27" s="410" t="str">
        <f t="shared" si="0"/>
        <v/>
      </c>
      <c r="H27" s="411" t="str">
        <f t="shared" si="1"/>
        <v/>
      </c>
      <c r="I27" s="412" t="str">
        <f t="shared" si="2"/>
        <v/>
      </c>
      <c r="J27" s="413"/>
      <c r="Q27" s="384">
        <f t="shared" si="3"/>
        <v>0</v>
      </c>
    </row>
    <row r="28" spans="2:17">
      <c r="B28" s="423">
        <f t="shared" si="4"/>
        <v>25</v>
      </c>
      <c r="C28" s="424"/>
      <c r="D28" s="416"/>
      <c r="E28" s="417"/>
      <c r="F28" s="425" t="str">
        <f>IF(TRIM(C28)="","",SUMIF('PG1'!$C$4:$C$53,C28,'PG1'!$G$4:$G$53) + SUMIF('PG2'!$C$4:$C$53,C28,'PG2'!$I$4:$I$53) + SUMIF('PG3'!$C$4:$C$53,C28,'PG3'!$I$4:$I$53))</f>
        <v/>
      </c>
      <c r="G28" s="426" t="str">
        <f t="shared" si="0"/>
        <v/>
      </c>
      <c r="H28" s="427" t="str">
        <f t="shared" si="1"/>
        <v/>
      </c>
      <c r="I28" s="421" t="str">
        <f t="shared" si="2"/>
        <v/>
      </c>
      <c r="J28" s="422"/>
      <c r="Q28" s="384">
        <f t="shared" si="3"/>
        <v>0</v>
      </c>
    </row>
    <row r="29" spans="2:17">
      <c r="B29" s="405">
        <f t="shared" si="4"/>
        <v>26</v>
      </c>
      <c r="C29" s="406"/>
      <c r="D29" s="407"/>
      <c r="E29" s="408"/>
      <c r="F29" s="409" t="str">
        <f>IF(TRIM(C29)="","",SUMIF('PG1'!$C$4:$C$53,C29,'PG1'!$G$4:$G$53) + SUMIF('PG2'!$C$4:$C$53,C29,'PG2'!$I$4:$I$53) + SUMIF('PG3'!$C$4:$C$53,C29,'PG3'!$I$4:$I$53))</f>
        <v/>
      </c>
      <c r="G29" s="410" t="str">
        <f t="shared" si="0"/>
        <v/>
      </c>
      <c r="H29" s="411" t="str">
        <f t="shared" si="1"/>
        <v/>
      </c>
      <c r="I29" s="412" t="str">
        <f t="shared" si="2"/>
        <v/>
      </c>
      <c r="J29" s="413"/>
      <c r="Q29" s="384">
        <f t="shared" si="3"/>
        <v>0</v>
      </c>
    </row>
    <row r="30" spans="2:17">
      <c r="B30" s="423">
        <f t="shared" si="4"/>
        <v>27</v>
      </c>
      <c r="C30" s="424"/>
      <c r="D30" s="416"/>
      <c r="E30" s="417"/>
      <c r="F30" s="425" t="str">
        <f>IF(TRIM(C30)="","",SUMIF('PG1'!$C$4:$C$53,C30,'PG1'!$G$4:$G$53) + SUMIF('PG2'!$C$4:$C$53,C30,'PG2'!$I$4:$I$53) + SUMIF('PG3'!$C$4:$C$53,C30,'PG3'!$I$4:$I$53))</f>
        <v/>
      </c>
      <c r="G30" s="426" t="str">
        <f t="shared" si="0"/>
        <v/>
      </c>
      <c r="H30" s="427" t="str">
        <f t="shared" si="1"/>
        <v/>
      </c>
      <c r="I30" s="421" t="str">
        <f t="shared" si="2"/>
        <v/>
      </c>
      <c r="J30" s="422"/>
      <c r="Q30" s="384">
        <f t="shared" si="3"/>
        <v>0</v>
      </c>
    </row>
    <row r="31" spans="2:17">
      <c r="B31" s="405">
        <f t="shared" si="4"/>
        <v>28</v>
      </c>
      <c r="C31" s="406"/>
      <c r="D31" s="407"/>
      <c r="E31" s="408"/>
      <c r="F31" s="409" t="str">
        <f>IF(TRIM(C31)="","",SUMIF('PG1'!$C$4:$C$53,C31,'PG1'!$G$4:$G$53) + SUMIF('PG2'!$C$4:$C$53,C31,'PG2'!$I$4:$I$53) + SUMIF('PG3'!$C$4:$C$53,C31,'PG3'!$I$4:$I$53))</f>
        <v/>
      </c>
      <c r="G31" s="410" t="str">
        <f t="shared" si="0"/>
        <v/>
      </c>
      <c r="H31" s="411" t="str">
        <f t="shared" si="1"/>
        <v/>
      </c>
      <c r="I31" s="412" t="str">
        <f t="shared" si="2"/>
        <v/>
      </c>
      <c r="J31" s="413"/>
      <c r="Q31" s="384">
        <f t="shared" si="3"/>
        <v>0</v>
      </c>
    </row>
    <row r="32" spans="2:17">
      <c r="B32" s="423">
        <f t="shared" si="4"/>
        <v>29</v>
      </c>
      <c r="C32" s="424"/>
      <c r="D32" s="416"/>
      <c r="E32" s="417"/>
      <c r="F32" s="425" t="str">
        <f>IF(TRIM(C32)="","",SUMIF('PG1'!$C$4:$C$53,C32,'PG1'!$G$4:$G$53) + SUMIF('PG2'!$C$4:$C$53,C32,'PG2'!$I$4:$I$53) + SUMIF('PG3'!$C$4:$C$53,C32,'PG3'!$I$4:$I$53))</f>
        <v/>
      </c>
      <c r="G32" s="426" t="str">
        <f t="shared" si="0"/>
        <v/>
      </c>
      <c r="H32" s="427" t="str">
        <f t="shared" si="1"/>
        <v/>
      </c>
      <c r="I32" s="421" t="str">
        <f t="shared" si="2"/>
        <v/>
      </c>
      <c r="J32" s="422"/>
      <c r="Q32" s="384">
        <f t="shared" si="3"/>
        <v>0</v>
      </c>
    </row>
    <row r="33" spans="2:17" ht="15.75" thickBot="1">
      <c r="B33" s="428">
        <f t="shared" si="4"/>
        <v>30</v>
      </c>
      <c r="C33" s="429"/>
      <c r="D33" s="430"/>
      <c r="E33" s="431"/>
      <c r="F33" s="432" t="str">
        <f>IF(TRIM(C33)="","",SUMIF('PG1'!$C$4:$C$53,C33,'PG1'!$G$4:$G$53) + SUMIF('PG2'!$C$4:$C$53,C33,'PG2'!$I$4:$I$53) + SUMIF('PG3'!$C$4:$C$53,C33,'PG3'!$I$4:$I$53))</f>
        <v/>
      </c>
      <c r="G33" s="433" t="str">
        <f t="shared" si="0"/>
        <v/>
      </c>
      <c r="H33" s="434" t="str">
        <f t="shared" si="1"/>
        <v/>
      </c>
      <c r="I33" s="435" t="str">
        <f t="shared" si="2"/>
        <v/>
      </c>
      <c r="J33" s="436"/>
      <c r="Q33" s="384">
        <f t="shared" si="3"/>
        <v>0</v>
      </c>
    </row>
    <row r="34" spans="2:17">
      <c r="B34" s="437"/>
      <c r="C34" s="438"/>
      <c r="F34" s="439"/>
      <c r="G34" s="439"/>
      <c r="H34" s="439"/>
    </row>
    <row r="35" spans="2:17">
      <c r="B35" s="437"/>
      <c r="C35" s="438"/>
      <c r="F35" s="439"/>
      <c r="G35" s="439"/>
      <c r="H35" s="439"/>
    </row>
  </sheetData>
  <sheetProtection sheet="1" formatCells="0" formatColumns="0" formatRows="0" insertColumns="0" insertRows="0" insertHyperlinks="0" deleteColumns="0" deleteRows="0" sort="0" autoFilter="0" pivotTables="0"/>
  <protectedRanges>
    <protectedRange sqref="C4:C35 F4:H35" name="Range1"/>
    <protectedRange sqref="D4:D33" name="Range1_1"/>
    <protectedRange sqref="E4:E33" name="Range1_1_1"/>
    <protectedRange sqref="J4:J33" name="Range2_1"/>
  </protectedRanges>
  <mergeCells count="2">
    <mergeCell ref="B1:N1"/>
    <mergeCell ref="F2:H2"/>
  </mergeCells>
  <phoneticPr fontId="3"/>
  <conditionalFormatting sqref="B4:E33 J4:J33">
    <cfRule type="expression" dxfId="29" priority="1" stopIfTrue="1">
      <formula>$Q4&gt;1</formula>
    </cfRule>
    <cfRule type="expression" dxfId="28" priority="2" stopIfTrue="1">
      <formula>MOD(ROW(),2)=0</formula>
    </cfRule>
    <cfRule type="expression" dxfId="27" priority="3" stopIfTrue="1">
      <formula>MOD(ROW(),2)=1</formula>
    </cfRule>
  </conditionalFormatting>
  <conditionalFormatting sqref="F4:I33">
    <cfRule type="expression" dxfId="26" priority="4" stopIfTrue="1">
      <formula>MOD(ROW(),2)=0</formula>
    </cfRule>
    <cfRule type="expression" dxfId="25" priority="5" stopIfTrue="1">
      <formula>MOD(ROW(),2)=1</formula>
    </cfRule>
  </conditionalFormatting>
  <dataValidations disablePrompts="1" count="2">
    <dataValidation showInputMessage="1" showErrorMessage="1" sqref="E4:E33"/>
    <dataValidation type="list" showInputMessage="1" showErrorMessage="1" sqref="D4:D33">
      <formula1>RQ_Type</formula1>
    </dataValidation>
  </dataValidations>
  <printOptions horizontalCentered="1"/>
  <pageMargins left="0.59055118110236227" right="0.39370078740157483" top="0.39370078740157483" bottom="0.39370078740157483" header="0.51181102362204722" footer="0.51181102362204722"/>
  <pageSetup paperSize="9" orientation="landscape" r:id="rId1"/>
  <headerFooter alignWithMargins="0"/>
  <legacyDrawing r:id="rId2"/>
</worksheet>
</file>

<file path=xl/worksheets/sheet12.xml><?xml version="1.0" encoding="utf-8"?>
<worksheet xmlns="http://schemas.openxmlformats.org/spreadsheetml/2006/main" xmlns:r="http://schemas.openxmlformats.org/officeDocument/2006/relationships">
  <sheetPr codeName="Sheet2">
    <tabColor theme="0" tint="-0.499984740745262"/>
  </sheetPr>
  <dimension ref="B1:Q33"/>
  <sheetViews>
    <sheetView view="pageBreakPreview" zoomScale="85" zoomScaleNormal="100" workbookViewId="0">
      <pane xSplit="3" ySplit="3" topLeftCell="D4" activePane="bottomRight" state="frozen"/>
      <selection activeCell="J6" sqref="J6"/>
      <selection pane="topRight" activeCell="J6" sqref="J6"/>
      <selection pane="bottomLeft" activeCell="J6" sqref="J6"/>
      <selection pane="bottomRight" activeCell="J6" sqref="J6"/>
    </sheetView>
  </sheetViews>
  <sheetFormatPr defaultRowHeight="15"/>
  <cols>
    <col min="1" max="1" width="1.625" style="8" customWidth="1"/>
    <col min="2" max="2" width="3.875" style="8" bestFit="1" customWidth="1"/>
    <col min="3" max="3" width="30.625" style="8" customWidth="1"/>
    <col min="4" max="4" width="11.625" style="8" bestFit="1" customWidth="1"/>
    <col min="5" max="5" width="10.125" style="8" customWidth="1"/>
    <col min="6" max="6" width="7.25" style="26" hidden="1" customWidth="1"/>
    <col min="7" max="8" width="7.25" style="27" customWidth="1"/>
    <col min="9" max="9" width="61.75" style="8" customWidth="1"/>
    <col min="10" max="10" width="1.625" style="8" customWidth="1"/>
    <col min="11" max="16384" width="9" style="8"/>
  </cols>
  <sheetData>
    <row r="1" spans="2:17">
      <c r="B1" s="619" t="s">
        <v>0</v>
      </c>
      <c r="C1" s="619"/>
      <c r="D1" s="619"/>
      <c r="E1" s="619"/>
      <c r="F1" s="619"/>
      <c r="G1" s="619"/>
      <c r="H1" s="619"/>
      <c r="I1" s="619"/>
    </row>
    <row r="2" spans="2:17" ht="15.75" thickBot="1">
      <c r="C2" s="65" t="s">
        <v>130</v>
      </c>
      <c r="E2" s="620" t="s">
        <v>155</v>
      </c>
      <c r="F2" s="620"/>
      <c r="G2" s="620"/>
      <c r="H2" s="383">
        <f>Legend!F21</f>
        <v>1</v>
      </c>
    </row>
    <row r="3" spans="2:17" ht="26.25" thickBot="1">
      <c r="B3" s="10" t="s">
        <v>1</v>
      </c>
      <c r="C3" s="11" t="s">
        <v>2</v>
      </c>
      <c r="D3" s="17" t="s">
        <v>205</v>
      </c>
      <c r="E3" s="17" t="s">
        <v>208</v>
      </c>
      <c r="F3" s="146" t="s">
        <v>206</v>
      </c>
      <c r="G3" s="28" t="s">
        <v>96</v>
      </c>
      <c r="H3" s="29" t="s">
        <v>97</v>
      </c>
      <c r="I3" s="13" t="s">
        <v>3</v>
      </c>
      <c r="Q3" s="8" t="s">
        <v>349</v>
      </c>
    </row>
    <row r="4" spans="2:17">
      <c r="B4" s="157">
        <f>ROW() - 3</f>
        <v>1</v>
      </c>
      <c r="C4" s="181" t="s">
        <v>57</v>
      </c>
      <c r="D4" s="182">
        <v>5</v>
      </c>
      <c r="E4" s="183"/>
      <c r="F4" s="184">
        <f t="shared" ref="F4:F33" si="0">IF(TRIM(C4)="","",IF(E4&lt;&gt;"",E4*(D4/BD_Base)*BD_Unit,1*(D4/BD_Base)*BD_Unit))</f>
        <v>10</v>
      </c>
      <c r="G4" s="184">
        <f t="shared" ref="G4:G33" si="1">IF(TRIM(C4)="","",CEILING(F4*UnitPoint_Effort_Rate*10/5,1)*5/10)</f>
        <v>20</v>
      </c>
      <c r="H4" s="167">
        <f t="shared" ref="H4:H33" si="2">IF(TRIM(G4)="","",IF(F4 &gt;= 1,CEILING(G4*Review_Rate*BD_Review_Complexity*10/5,1)*5/10,G4*Review_Rate*BD_Review_Complexity))</f>
        <v>4</v>
      </c>
      <c r="I4" s="168"/>
      <c r="Q4" s="8">
        <f>COUNTIF($C$4:$C$33,C4)</f>
        <v>1</v>
      </c>
    </row>
    <row r="5" spans="2:17">
      <c r="B5" s="160">
        <f t="shared" ref="B5:B33" si="3">ROW() - 3</f>
        <v>2</v>
      </c>
      <c r="C5" s="161" t="s">
        <v>59</v>
      </c>
      <c r="D5" s="185"/>
      <c r="E5" s="185"/>
      <c r="F5" s="186">
        <f t="shared" si="0"/>
        <v>0</v>
      </c>
      <c r="G5" s="186">
        <f t="shared" si="1"/>
        <v>0</v>
      </c>
      <c r="H5" s="171">
        <f t="shared" si="2"/>
        <v>0</v>
      </c>
      <c r="I5" s="172"/>
      <c r="Q5" s="8">
        <f t="shared" ref="Q5:Q33" si="4">COUNTIF($C$4:$C$33,C5)</f>
        <v>1</v>
      </c>
    </row>
    <row r="6" spans="2:17">
      <c r="B6" s="162">
        <f t="shared" si="3"/>
        <v>3</v>
      </c>
      <c r="C6" s="163" t="s">
        <v>61</v>
      </c>
      <c r="D6" s="187"/>
      <c r="E6" s="187"/>
      <c r="F6" s="188">
        <f t="shared" si="0"/>
        <v>0</v>
      </c>
      <c r="G6" s="188">
        <f t="shared" si="1"/>
        <v>0</v>
      </c>
      <c r="H6" s="174">
        <f t="shared" si="2"/>
        <v>0</v>
      </c>
      <c r="I6" s="175"/>
      <c r="Q6" s="8">
        <f t="shared" si="4"/>
        <v>1</v>
      </c>
    </row>
    <row r="7" spans="2:17">
      <c r="B7" s="160">
        <f t="shared" si="3"/>
        <v>4</v>
      </c>
      <c r="C7" s="161" t="s">
        <v>63</v>
      </c>
      <c r="D7" s="185"/>
      <c r="E7" s="185"/>
      <c r="F7" s="186">
        <f t="shared" si="0"/>
        <v>0</v>
      </c>
      <c r="G7" s="186">
        <f t="shared" si="1"/>
        <v>0</v>
      </c>
      <c r="H7" s="171">
        <f t="shared" si="2"/>
        <v>0</v>
      </c>
      <c r="I7" s="172"/>
      <c r="Q7" s="8">
        <f t="shared" si="4"/>
        <v>1</v>
      </c>
    </row>
    <row r="8" spans="2:17">
      <c r="B8" s="162">
        <f t="shared" si="3"/>
        <v>5</v>
      </c>
      <c r="C8" s="189" t="s">
        <v>65</v>
      </c>
      <c r="D8" s="187"/>
      <c r="E8" s="187"/>
      <c r="F8" s="188">
        <f t="shared" si="0"/>
        <v>0</v>
      </c>
      <c r="G8" s="188">
        <f t="shared" si="1"/>
        <v>0</v>
      </c>
      <c r="H8" s="174">
        <f t="shared" si="2"/>
        <v>0</v>
      </c>
      <c r="I8" s="175"/>
      <c r="Q8" s="8">
        <f t="shared" si="4"/>
        <v>1</v>
      </c>
    </row>
    <row r="9" spans="2:17">
      <c r="B9" s="160">
        <f t="shared" si="3"/>
        <v>6</v>
      </c>
      <c r="C9" s="190" t="s">
        <v>67</v>
      </c>
      <c r="D9" s="185"/>
      <c r="E9" s="185"/>
      <c r="F9" s="186">
        <f t="shared" si="0"/>
        <v>0</v>
      </c>
      <c r="G9" s="186">
        <f t="shared" si="1"/>
        <v>0</v>
      </c>
      <c r="H9" s="171">
        <f t="shared" si="2"/>
        <v>0</v>
      </c>
      <c r="I9" s="172"/>
      <c r="Q9" s="8">
        <f t="shared" si="4"/>
        <v>1</v>
      </c>
    </row>
    <row r="10" spans="2:17">
      <c r="B10" s="162">
        <f t="shared" si="3"/>
        <v>7</v>
      </c>
      <c r="C10" s="189" t="s">
        <v>69</v>
      </c>
      <c r="D10" s="187"/>
      <c r="E10" s="187"/>
      <c r="F10" s="188">
        <f t="shared" si="0"/>
        <v>0</v>
      </c>
      <c r="G10" s="188">
        <f t="shared" si="1"/>
        <v>0</v>
      </c>
      <c r="H10" s="174">
        <f t="shared" si="2"/>
        <v>0</v>
      </c>
      <c r="I10" s="175"/>
      <c r="Q10" s="8">
        <f t="shared" si="4"/>
        <v>1</v>
      </c>
    </row>
    <row r="11" spans="2:17">
      <c r="B11" s="160">
        <f t="shared" si="3"/>
        <v>8</v>
      </c>
      <c r="C11" s="190"/>
      <c r="D11" s="185"/>
      <c r="E11" s="185"/>
      <c r="F11" s="186" t="str">
        <f t="shared" si="0"/>
        <v/>
      </c>
      <c r="G11" s="186" t="str">
        <f t="shared" si="1"/>
        <v/>
      </c>
      <c r="H11" s="171" t="str">
        <f t="shared" si="2"/>
        <v/>
      </c>
      <c r="I11" s="172"/>
      <c r="Q11" s="8">
        <f t="shared" si="4"/>
        <v>0</v>
      </c>
    </row>
    <row r="12" spans="2:17">
      <c r="B12" s="162">
        <f t="shared" si="3"/>
        <v>9</v>
      </c>
      <c r="C12" s="191"/>
      <c r="D12" s="187"/>
      <c r="E12" s="187"/>
      <c r="F12" s="188" t="str">
        <f t="shared" si="0"/>
        <v/>
      </c>
      <c r="G12" s="188" t="str">
        <f t="shared" si="1"/>
        <v/>
      </c>
      <c r="H12" s="174" t="str">
        <f t="shared" si="2"/>
        <v/>
      </c>
      <c r="I12" s="175"/>
      <c r="Q12" s="8">
        <f t="shared" si="4"/>
        <v>0</v>
      </c>
    </row>
    <row r="13" spans="2:17">
      <c r="B13" s="160">
        <f t="shared" si="3"/>
        <v>10</v>
      </c>
      <c r="C13" s="190"/>
      <c r="D13" s="185"/>
      <c r="E13" s="185"/>
      <c r="F13" s="186" t="str">
        <f t="shared" si="0"/>
        <v/>
      </c>
      <c r="G13" s="186" t="str">
        <f t="shared" si="1"/>
        <v/>
      </c>
      <c r="H13" s="171" t="str">
        <f t="shared" si="2"/>
        <v/>
      </c>
      <c r="I13" s="172"/>
      <c r="Q13" s="8">
        <f t="shared" si="4"/>
        <v>0</v>
      </c>
    </row>
    <row r="14" spans="2:17">
      <c r="B14" s="162">
        <f t="shared" si="3"/>
        <v>11</v>
      </c>
      <c r="C14" s="189"/>
      <c r="D14" s="187"/>
      <c r="E14" s="187"/>
      <c r="F14" s="188" t="str">
        <f t="shared" si="0"/>
        <v/>
      </c>
      <c r="G14" s="188" t="str">
        <f t="shared" si="1"/>
        <v/>
      </c>
      <c r="H14" s="174" t="str">
        <f t="shared" si="2"/>
        <v/>
      </c>
      <c r="I14" s="175"/>
      <c r="Q14" s="8">
        <f t="shared" si="4"/>
        <v>0</v>
      </c>
    </row>
    <row r="15" spans="2:17">
      <c r="B15" s="160">
        <f t="shared" si="3"/>
        <v>12</v>
      </c>
      <c r="C15" s="190"/>
      <c r="D15" s="185"/>
      <c r="E15" s="185"/>
      <c r="F15" s="186" t="str">
        <f t="shared" si="0"/>
        <v/>
      </c>
      <c r="G15" s="186" t="str">
        <f t="shared" si="1"/>
        <v/>
      </c>
      <c r="H15" s="171" t="str">
        <f t="shared" si="2"/>
        <v/>
      </c>
      <c r="I15" s="172"/>
      <c r="Q15" s="8">
        <f t="shared" si="4"/>
        <v>0</v>
      </c>
    </row>
    <row r="16" spans="2:17">
      <c r="B16" s="162">
        <f t="shared" si="3"/>
        <v>13</v>
      </c>
      <c r="C16" s="189"/>
      <c r="D16" s="187"/>
      <c r="E16" s="187"/>
      <c r="F16" s="188" t="str">
        <f t="shared" si="0"/>
        <v/>
      </c>
      <c r="G16" s="188" t="str">
        <f t="shared" si="1"/>
        <v/>
      </c>
      <c r="H16" s="174" t="str">
        <f t="shared" si="2"/>
        <v/>
      </c>
      <c r="I16" s="175"/>
      <c r="Q16" s="8">
        <f t="shared" si="4"/>
        <v>0</v>
      </c>
    </row>
    <row r="17" spans="2:17">
      <c r="B17" s="160">
        <f t="shared" si="3"/>
        <v>14</v>
      </c>
      <c r="C17" s="190"/>
      <c r="D17" s="185"/>
      <c r="E17" s="185"/>
      <c r="F17" s="186" t="str">
        <f t="shared" si="0"/>
        <v/>
      </c>
      <c r="G17" s="186" t="str">
        <f t="shared" si="1"/>
        <v/>
      </c>
      <c r="H17" s="171" t="str">
        <f t="shared" si="2"/>
        <v/>
      </c>
      <c r="I17" s="172"/>
      <c r="Q17" s="8">
        <f t="shared" si="4"/>
        <v>0</v>
      </c>
    </row>
    <row r="18" spans="2:17">
      <c r="B18" s="162">
        <f t="shared" si="3"/>
        <v>15</v>
      </c>
      <c r="C18" s="189"/>
      <c r="D18" s="187"/>
      <c r="E18" s="187"/>
      <c r="F18" s="188" t="str">
        <f t="shared" si="0"/>
        <v/>
      </c>
      <c r="G18" s="188" t="str">
        <f t="shared" si="1"/>
        <v/>
      </c>
      <c r="H18" s="174" t="str">
        <f t="shared" si="2"/>
        <v/>
      </c>
      <c r="I18" s="175"/>
      <c r="Q18" s="8">
        <f t="shared" si="4"/>
        <v>0</v>
      </c>
    </row>
    <row r="19" spans="2:17">
      <c r="B19" s="160">
        <f t="shared" si="3"/>
        <v>16</v>
      </c>
      <c r="C19" s="190"/>
      <c r="D19" s="185"/>
      <c r="E19" s="185"/>
      <c r="F19" s="186" t="str">
        <f t="shared" si="0"/>
        <v/>
      </c>
      <c r="G19" s="186" t="str">
        <f t="shared" si="1"/>
        <v/>
      </c>
      <c r="H19" s="171" t="str">
        <f t="shared" si="2"/>
        <v/>
      </c>
      <c r="I19" s="172"/>
      <c r="Q19" s="8">
        <f t="shared" si="4"/>
        <v>0</v>
      </c>
    </row>
    <row r="20" spans="2:17">
      <c r="B20" s="162">
        <f t="shared" si="3"/>
        <v>17</v>
      </c>
      <c r="C20" s="189"/>
      <c r="D20" s="187"/>
      <c r="E20" s="187"/>
      <c r="F20" s="188" t="str">
        <f t="shared" si="0"/>
        <v/>
      </c>
      <c r="G20" s="188" t="str">
        <f t="shared" si="1"/>
        <v/>
      </c>
      <c r="H20" s="174" t="str">
        <f t="shared" si="2"/>
        <v/>
      </c>
      <c r="I20" s="175"/>
      <c r="Q20" s="8">
        <f t="shared" si="4"/>
        <v>0</v>
      </c>
    </row>
    <row r="21" spans="2:17">
      <c r="B21" s="160">
        <f t="shared" si="3"/>
        <v>18</v>
      </c>
      <c r="C21" s="190"/>
      <c r="D21" s="185"/>
      <c r="E21" s="185"/>
      <c r="F21" s="186" t="str">
        <f t="shared" si="0"/>
        <v/>
      </c>
      <c r="G21" s="186" t="str">
        <f t="shared" si="1"/>
        <v/>
      </c>
      <c r="H21" s="171" t="str">
        <f t="shared" si="2"/>
        <v/>
      </c>
      <c r="I21" s="172"/>
      <c r="Q21" s="8">
        <f t="shared" si="4"/>
        <v>0</v>
      </c>
    </row>
    <row r="22" spans="2:17">
      <c r="B22" s="162">
        <f t="shared" si="3"/>
        <v>19</v>
      </c>
      <c r="C22" s="191"/>
      <c r="D22" s="187"/>
      <c r="E22" s="187"/>
      <c r="F22" s="188" t="str">
        <f t="shared" si="0"/>
        <v/>
      </c>
      <c r="G22" s="188" t="str">
        <f t="shared" si="1"/>
        <v/>
      </c>
      <c r="H22" s="174" t="str">
        <f t="shared" si="2"/>
        <v/>
      </c>
      <c r="I22" s="175"/>
      <c r="Q22" s="8">
        <f t="shared" si="4"/>
        <v>0</v>
      </c>
    </row>
    <row r="23" spans="2:17">
      <c r="B23" s="160">
        <f t="shared" si="3"/>
        <v>20</v>
      </c>
      <c r="C23" s="190"/>
      <c r="D23" s="185"/>
      <c r="E23" s="185"/>
      <c r="F23" s="186" t="str">
        <f t="shared" si="0"/>
        <v/>
      </c>
      <c r="G23" s="186" t="str">
        <f t="shared" si="1"/>
        <v/>
      </c>
      <c r="H23" s="171" t="str">
        <f t="shared" si="2"/>
        <v/>
      </c>
      <c r="I23" s="172"/>
      <c r="Q23" s="8">
        <f t="shared" si="4"/>
        <v>0</v>
      </c>
    </row>
    <row r="24" spans="2:17">
      <c r="B24" s="162">
        <f t="shared" si="3"/>
        <v>21</v>
      </c>
      <c r="C24" s="189"/>
      <c r="D24" s="187"/>
      <c r="E24" s="187"/>
      <c r="F24" s="188" t="str">
        <f t="shared" si="0"/>
        <v/>
      </c>
      <c r="G24" s="188" t="str">
        <f t="shared" si="1"/>
        <v/>
      </c>
      <c r="H24" s="174" t="str">
        <f t="shared" si="2"/>
        <v/>
      </c>
      <c r="I24" s="175"/>
      <c r="Q24" s="8">
        <f t="shared" si="4"/>
        <v>0</v>
      </c>
    </row>
    <row r="25" spans="2:17">
      <c r="B25" s="160">
        <f t="shared" si="3"/>
        <v>22</v>
      </c>
      <c r="C25" s="190"/>
      <c r="D25" s="185"/>
      <c r="E25" s="185"/>
      <c r="F25" s="186" t="str">
        <f t="shared" si="0"/>
        <v/>
      </c>
      <c r="G25" s="186" t="str">
        <f t="shared" si="1"/>
        <v/>
      </c>
      <c r="H25" s="171" t="str">
        <f t="shared" si="2"/>
        <v/>
      </c>
      <c r="I25" s="172"/>
      <c r="Q25" s="8">
        <f t="shared" si="4"/>
        <v>0</v>
      </c>
    </row>
    <row r="26" spans="2:17">
      <c r="B26" s="162">
        <f t="shared" si="3"/>
        <v>23</v>
      </c>
      <c r="C26" s="189"/>
      <c r="D26" s="187"/>
      <c r="E26" s="187"/>
      <c r="F26" s="188" t="str">
        <f t="shared" si="0"/>
        <v/>
      </c>
      <c r="G26" s="188" t="str">
        <f t="shared" si="1"/>
        <v/>
      </c>
      <c r="H26" s="174" t="str">
        <f t="shared" si="2"/>
        <v/>
      </c>
      <c r="I26" s="175"/>
      <c r="Q26" s="8">
        <f t="shared" si="4"/>
        <v>0</v>
      </c>
    </row>
    <row r="27" spans="2:17">
      <c r="B27" s="160">
        <f t="shared" si="3"/>
        <v>24</v>
      </c>
      <c r="C27" s="190"/>
      <c r="D27" s="185"/>
      <c r="E27" s="185"/>
      <c r="F27" s="186" t="str">
        <f t="shared" si="0"/>
        <v/>
      </c>
      <c r="G27" s="186" t="str">
        <f t="shared" si="1"/>
        <v/>
      </c>
      <c r="H27" s="171" t="str">
        <f t="shared" si="2"/>
        <v/>
      </c>
      <c r="I27" s="172"/>
      <c r="Q27" s="8">
        <f t="shared" si="4"/>
        <v>0</v>
      </c>
    </row>
    <row r="28" spans="2:17">
      <c r="B28" s="162">
        <f t="shared" si="3"/>
        <v>25</v>
      </c>
      <c r="C28" s="189"/>
      <c r="D28" s="187"/>
      <c r="E28" s="187"/>
      <c r="F28" s="188" t="str">
        <f t="shared" si="0"/>
        <v/>
      </c>
      <c r="G28" s="188" t="str">
        <f t="shared" si="1"/>
        <v/>
      </c>
      <c r="H28" s="174" t="str">
        <f t="shared" si="2"/>
        <v/>
      </c>
      <c r="I28" s="175"/>
      <c r="Q28" s="8">
        <f t="shared" si="4"/>
        <v>0</v>
      </c>
    </row>
    <row r="29" spans="2:17">
      <c r="B29" s="160">
        <f t="shared" si="3"/>
        <v>26</v>
      </c>
      <c r="C29" s="190"/>
      <c r="D29" s="185"/>
      <c r="E29" s="185"/>
      <c r="F29" s="186" t="str">
        <f t="shared" si="0"/>
        <v/>
      </c>
      <c r="G29" s="186" t="str">
        <f t="shared" si="1"/>
        <v/>
      </c>
      <c r="H29" s="171" t="str">
        <f t="shared" si="2"/>
        <v/>
      </c>
      <c r="I29" s="172"/>
      <c r="Q29" s="8">
        <f t="shared" si="4"/>
        <v>0</v>
      </c>
    </row>
    <row r="30" spans="2:17">
      <c r="B30" s="162">
        <f t="shared" si="3"/>
        <v>27</v>
      </c>
      <c r="C30" s="189"/>
      <c r="D30" s="187"/>
      <c r="E30" s="187"/>
      <c r="F30" s="188" t="str">
        <f t="shared" si="0"/>
        <v/>
      </c>
      <c r="G30" s="188" t="str">
        <f t="shared" si="1"/>
        <v/>
      </c>
      <c r="H30" s="174" t="str">
        <f t="shared" si="2"/>
        <v/>
      </c>
      <c r="I30" s="175"/>
      <c r="Q30" s="8">
        <f t="shared" si="4"/>
        <v>0</v>
      </c>
    </row>
    <row r="31" spans="2:17">
      <c r="B31" s="160">
        <f t="shared" si="3"/>
        <v>28</v>
      </c>
      <c r="C31" s="190"/>
      <c r="D31" s="185"/>
      <c r="E31" s="185"/>
      <c r="F31" s="186" t="str">
        <f t="shared" si="0"/>
        <v/>
      </c>
      <c r="G31" s="186" t="str">
        <f t="shared" si="1"/>
        <v/>
      </c>
      <c r="H31" s="171" t="str">
        <f t="shared" si="2"/>
        <v/>
      </c>
      <c r="I31" s="172"/>
      <c r="Q31" s="8">
        <f t="shared" si="4"/>
        <v>0</v>
      </c>
    </row>
    <row r="32" spans="2:17">
      <c r="B32" s="162">
        <f t="shared" si="3"/>
        <v>29</v>
      </c>
      <c r="C32" s="191"/>
      <c r="D32" s="187"/>
      <c r="E32" s="187"/>
      <c r="F32" s="188" t="str">
        <f t="shared" si="0"/>
        <v/>
      </c>
      <c r="G32" s="188" t="str">
        <f t="shared" si="1"/>
        <v/>
      </c>
      <c r="H32" s="174" t="str">
        <f t="shared" si="2"/>
        <v/>
      </c>
      <c r="I32" s="175"/>
      <c r="Q32" s="8">
        <f t="shared" si="4"/>
        <v>0</v>
      </c>
    </row>
    <row r="33" spans="2:17" ht="15.75" thickBot="1">
      <c r="B33" s="192">
        <f t="shared" si="3"/>
        <v>30</v>
      </c>
      <c r="C33" s="193"/>
      <c r="D33" s="194"/>
      <c r="E33" s="194"/>
      <c r="F33" s="195" t="str">
        <f t="shared" si="0"/>
        <v/>
      </c>
      <c r="G33" s="195" t="str">
        <f t="shared" si="1"/>
        <v/>
      </c>
      <c r="H33" s="179" t="str">
        <f t="shared" si="2"/>
        <v/>
      </c>
      <c r="I33" s="180"/>
      <c r="Q33" s="8">
        <f t="shared" si="4"/>
        <v>0</v>
      </c>
    </row>
  </sheetData>
  <protectedRanges>
    <protectedRange sqref="I4:I33" name="Range2"/>
    <protectedRange sqref="C4:D33" name="Range1"/>
    <protectedRange sqref="E4:E33" name="Range1_1_1"/>
  </protectedRanges>
  <mergeCells count="2">
    <mergeCell ref="B1:I1"/>
    <mergeCell ref="E2:G2"/>
  </mergeCells>
  <phoneticPr fontId="3"/>
  <conditionalFormatting sqref="B4:E33 I4:I33">
    <cfRule type="expression" dxfId="24" priority="1" stopIfTrue="1">
      <formula>$Q4&gt;1</formula>
    </cfRule>
    <cfRule type="expression" dxfId="23" priority="2" stopIfTrue="1">
      <formula>MOD(ROW(),2)=0</formula>
    </cfRule>
    <cfRule type="expression" dxfId="22" priority="3" stopIfTrue="1">
      <formula>MOD(ROW(),2)=1</formula>
    </cfRule>
  </conditionalFormatting>
  <conditionalFormatting sqref="F4:H33">
    <cfRule type="expression" dxfId="21" priority="4" stopIfTrue="1">
      <formula>MOD(ROW(),2)=0</formula>
    </cfRule>
    <cfRule type="expression" dxfId="20" priority="5" stopIfTrue="1">
      <formula>MOD(ROW(),2)=1</formula>
    </cfRule>
  </conditionalFormatting>
  <dataValidations count="2">
    <dataValidation showInputMessage="1" showErrorMessage="1" sqref="D4:D33"/>
    <dataValidation showInputMessage="1" showErrorMessage="1" sqref="E4:E33"/>
  </dataValidations>
  <printOptions horizontalCentered="1"/>
  <pageMargins left="0.59055118110236227" right="0.39370078740157483" top="0.39370078740157483" bottom="0.39370078740157483" header="0.51181102362204722" footer="0.51181102362204722"/>
  <pageSetup paperSize="9" scale="98" orientation="landscape" r:id="rId1"/>
  <headerFooter alignWithMargins="0"/>
  <legacyDrawing r:id="rId2"/>
</worksheet>
</file>

<file path=xl/worksheets/sheet13.xml><?xml version="1.0" encoding="utf-8"?>
<worksheet xmlns="http://schemas.openxmlformats.org/spreadsheetml/2006/main" xmlns:r="http://schemas.openxmlformats.org/officeDocument/2006/relationships">
  <sheetPr codeName="Sheet3">
    <tabColor theme="0" tint="-0.499984740745262"/>
  </sheetPr>
  <dimension ref="A1:Q53"/>
  <sheetViews>
    <sheetView view="pageBreakPreview" zoomScale="85" zoomScaleNormal="100" workbookViewId="0">
      <pane xSplit="4" ySplit="3" topLeftCell="E4" activePane="bottomRight" state="frozen"/>
      <selection activeCell="J6" sqref="J6"/>
      <selection pane="topRight" activeCell="J6" sqref="J6"/>
      <selection pane="bottomLeft" activeCell="J6" sqref="J6"/>
      <selection pane="bottomRight" activeCell="J6" sqref="J6"/>
    </sheetView>
  </sheetViews>
  <sheetFormatPr defaultRowHeight="15"/>
  <cols>
    <col min="1" max="1" width="1.625" style="8" customWidth="1"/>
    <col min="2" max="2" width="3.875" style="8" bestFit="1" customWidth="1"/>
    <col min="3" max="4" width="30.625" style="8" customWidth="1"/>
    <col min="5" max="5" width="7.75" style="8" bestFit="1" customWidth="1"/>
    <col min="6" max="6" width="10" style="8" bestFit="1" customWidth="1"/>
    <col min="7" max="7" width="7.25" style="26" hidden="1" customWidth="1"/>
    <col min="8" max="9" width="7.25" style="27" customWidth="1"/>
    <col min="10" max="10" width="37.125" style="8" customWidth="1"/>
    <col min="11" max="11" width="1.625" style="8" customWidth="1"/>
    <col min="12" max="16384" width="9" style="8"/>
  </cols>
  <sheetData>
    <row r="1" spans="1:17">
      <c r="B1" s="619" t="s">
        <v>8</v>
      </c>
      <c r="C1" s="619"/>
      <c r="D1" s="619"/>
      <c r="E1" s="619"/>
      <c r="F1" s="619"/>
      <c r="G1" s="619"/>
      <c r="H1" s="619"/>
      <c r="I1" s="619"/>
      <c r="J1" s="619"/>
    </row>
    <row r="2" spans="1:17" ht="15.75" thickBot="1">
      <c r="C2" s="65" t="s">
        <v>130</v>
      </c>
      <c r="E2" s="620" t="s">
        <v>155</v>
      </c>
      <c r="F2" s="620"/>
      <c r="G2" s="620"/>
      <c r="H2" s="620"/>
      <c r="I2" s="383">
        <f>Legend!F22</f>
        <v>1</v>
      </c>
    </row>
    <row r="3" spans="1:17" ht="26.25" thickBot="1">
      <c r="B3" s="10" t="s">
        <v>6</v>
      </c>
      <c r="C3" s="11" t="s">
        <v>2</v>
      </c>
      <c r="D3" s="11" t="s">
        <v>16</v>
      </c>
      <c r="E3" s="17" t="s">
        <v>205</v>
      </c>
      <c r="F3" s="17" t="s">
        <v>208</v>
      </c>
      <c r="G3" s="146" t="s">
        <v>206</v>
      </c>
      <c r="H3" s="28" t="s">
        <v>98</v>
      </c>
      <c r="I3" s="29" t="s">
        <v>99</v>
      </c>
      <c r="J3" s="13" t="s">
        <v>7</v>
      </c>
      <c r="Q3" s="8" t="s">
        <v>349</v>
      </c>
    </row>
    <row r="4" spans="1:17">
      <c r="A4" s="140"/>
      <c r="B4" s="157">
        <f>ROW() - 3</f>
        <v>1</v>
      </c>
      <c r="C4" s="196" t="s">
        <v>57</v>
      </c>
      <c r="D4" s="197" t="s">
        <v>71</v>
      </c>
      <c r="E4" s="198">
        <v>10</v>
      </c>
      <c r="F4" s="198"/>
      <c r="G4" s="184">
        <f t="shared" ref="G4:G35" si="0">IF(TRIM(C4)="","",IF(F4&lt;&gt;"",F4*(E4/DD_Base)*DD_Unit,1*(E4/DD_Base)*DD_Unit))</f>
        <v>10</v>
      </c>
      <c r="H4" s="184">
        <f t="shared" ref="H4:H35" si="1">IF(TRIM(C4)="","",CEILING(G4*UnitPoint_Effort_Rate*10/5,1)*5/10)</f>
        <v>20</v>
      </c>
      <c r="I4" s="167">
        <f t="shared" ref="I4:I35" si="2">IF(TRIM(H4)="","",IF(G4 &gt;= 1,CEILING(H4*Review_Rate*DD_Review_Complexity*10/5,1)*5/10,H4*Review_Rate*DD_Review_Complexity))</f>
        <v>4</v>
      </c>
      <c r="J4" s="168"/>
      <c r="Q4" s="8">
        <f>COUNTIF($D$4:$D$53,D4)</f>
        <v>1</v>
      </c>
    </row>
    <row r="5" spans="1:17">
      <c r="A5" s="140"/>
      <c r="B5" s="160">
        <f t="shared" ref="B5:B53" si="3">ROW() - 3</f>
        <v>2</v>
      </c>
      <c r="C5" s="190" t="s">
        <v>57</v>
      </c>
      <c r="D5" s="199" t="s">
        <v>73</v>
      </c>
      <c r="E5" s="200"/>
      <c r="F5" s="200"/>
      <c r="G5" s="186">
        <f t="shared" si="0"/>
        <v>0</v>
      </c>
      <c r="H5" s="186">
        <f t="shared" si="1"/>
        <v>0</v>
      </c>
      <c r="I5" s="171">
        <f t="shared" si="2"/>
        <v>0</v>
      </c>
      <c r="J5" s="172"/>
      <c r="Q5" s="8">
        <f t="shared" ref="Q5:Q53" si="4">COUNTIF($D$4:$D$53,D5)</f>
        <v>1</v>
      </c>
    </row>
    <row r="6" spans="1:17">
      <c r="A6" s="140"/>
      <c r="B6" s="162">
        <f t="shared" si="3"/>
        <v>3</v>
      </c>
      <c r="C6" s="189" t="s">
        <v>59</v>
      </c>
      <c r="D6" s="201" t="s">
        <v>75</v>
      </c>
      <c r="E6" s="202"/>
      <c r="F6" s="202"/>
      <c r="G6" s="188">
        <f t="shared" si="0"/>
        <v>0</v>
      </c>
      <c r="H6" s="188">
        <f t="shared" si="1"/>
        <v>0</v>
      </c>
      <c r="I6" s="174">
        <f t="shared" si="2"/>
        <v>0</v>
      </c>
      <c r="J6" s="175"/>
      <c r="Q6" s="8">
        <f t="shared" si="4"/>
        <v>1</v>
      </c>
    </row>
    <row r="7" spans="1:17">
      <c r="A7" s="140"/>
      <c r="B7" s="160">
        <f t="shared" si="3"/>
        <v>4</v>
      </c>
      <c r="C7" s="190" t="s">
        <v>59</v>
      </c>
      <c r="D7" s="199" t="s">
        <v>77</v>
      </c>
      <c r="E7" s="200"/>
      <c r="F7" s="200"/>
      <c r="G7" s="186">
        <f t="shared" si="0"/>
        <v>0</v>
      </c>
      <c r="H7" s="186">
        <f t="shared" si="1"/>
        <v>0</v>
      </c>
      <c r="I7" s="171">
        <f t="shared" si="2"/>
        <v>0</v>
      </c>
      <c r="J7" s="172"/>
      <c r="Q7" s="8">
        <f t="shared" si="4"/>
        <v>1</v>
      </c>
    </row>
    <row r="8" spans="1:17">
      <c r="B8" s="162">
        <f t="shared" si="3"/>
        <v>5</v>
      </c>
      <c r="C8" s="163" t="s">
        <v>61</v>
      </c>
      <c r="D8" s="201" t="s">
        <v>79</v>
      </c>
      <c r="E8" s="202"/>
      <c r="F8" s="202"/>
      <c r="G8" s="188">
        <f t="shared" si="0"/>
        <v>0</v>
      </c>
      <c r="H8" s="188">
        <f t="shared" si="1"/>
        <v>0</v>
      </c>
      <c r="I8" s="174">
        <f t="shared" si="2"/>
        <v>0</v>
      </c>
      <c r="J8" s="175"/>
      <c r="Q8" s="8">
        <f t="shared" si="4"/>
        <v>1</v>
      </c>
    </row>
    <row r="9" spans="1:17">
      <c r="B9" s="160">
        <f t="shared" si="3"/>
        <v>6</v>
      </c>
      <c r="C9" s="190" t="s">
        <v>61</v>
      </c>
      <c r="D9" s="203" t="s">
        <v>81</v>
      </c>
      <c r="E9" s="200"/>
      <c r="F9" s="200"/>
      <c r="G9" s="186">
        <f t="shared" si="0"/>
        <v>0</v>
      </c>
      <c r="H9" s="186">
        <f t="shared" si="1"/>
        <v>0</v>
      </c>
      <c r="I9" s="171">
        <f t="shared" si="2"/>
        <v>0</v>
      </c>
      <c r="J9" s="172"/>
      <c r="Q9" s="8">
        <f t="shared" si="4"/>
        <v>1</v>
      </c>
    </row>
    <row r="10" spans="1:17">
      <c r="B10" s="162">
        <f t="shared" si="3"/>
        <v>7</v>
      </c>
      <c r="C10" s="189" t="s">
        <v>63</v>
      </c>
      <c r="D10" s="201" t="s">
        <v>83</v>
      </c>
      <c r="E10" s="202"/>
      <c r="F10" s="202"/>
      <c r="G10" s="188">
        <f t="shared" si="0"/>
        <v>0</v>
      </c>
      <c r="H10" s="188">
        <f t="shared" si="1"/>
        <v>0</v>
      </c>
      <c r="I10" s="174">
        <f t="shared" si="2"/>
        <v>0</v>
      </c>
      <c r="J10" s="175"/>
      <c r="Q10" s="8">
        <f t="shared" si="4"/>
        <v>1</v>
      </c>
    </row>
    <row r="11" spans="1:17">
      <c r="B11" s="160">
        <f t="shared" si="3"/>
        <v>8</v>
      </c>
      <c r="C11" s="190" t="s">
        <v>63</v>
      </c>
      <c r="D11" s="199" t="s">
        <v>85</v>
      </c>
      <c r="E11" s="200"/>
      <c r="F11" s="200"/>
      <c r="G11" s="186">
        <f t="shared" si="0"/>
        <v>0</v>
      </c>
      <c r="H11" s="186">
        <f t="shared" si="1"/>
        <v>0</v>
      </c>
      <c r="I11" s="171">
        <f t="shared" si="2"/>
        <v>0</v>
      </c>
      <c r="J11" s="172"/>
      <c r="Q11" s="8">
        <f t="shared" si="4"/>
        <v>1</v>
      </c>
    </row>
    <row r="12" spans="1:17">
      <c r="B12" s="162">
        <f t="shared" si="3"/>
        <v>9</v>
      </c>
      <c r="C12" s="191" t="s">
        <v>65</v>
      </c>
      <c r="D12" s="204" t="s">
        <v>87</v>
      </c>
      <c r="E12" s="202"/>
      <c r="F12" s="202"/>
      <c r="G12" s="188">
        <f t="shared" si="0"/>
        <v>0</v>
      </c>
      <c r="H12" s="188">
        <f t="shared" si="1"/>
        <v>0</v>
      </c>
      <c r="I12" s="174">
        <f t="shared" si="2"/>
        <v>0</v>
      </c>
      <c r="J12" s="175"/>
      <c r="Q12" s="8">
        <f t="shared" si="4"/>
        <v>1</v>
      </c>
    </row>
    <row r="13" spans="1:17">
      <c r="B13" s="160">
        <f t="shared" si="3"/>
        <v>10</v>
      </c>
      <c r="C13" s="190" t="s">
        <v>65</v>
      </c>
      <c r="D13" s="199" t="s">
        <v>89</v>
      </c>
      <c r="E13" s="200"/>
      <c r="F13" s="200"/>
      <c r="G13" s="186">
        <f t="shared" si="0"/>
        <v>0</v>
      </c>
      <c r="H13" s="186">
        <f t="shared" si="1"/>
        <v>0</v>
      </c>
      <c r="I13" s="171">
        <f t="shared" si="2"/>
        <v>0</v>
      </c>
      <c r="J13" s="172"/>
      <c r="Q13" s="8">
        <f t="shared" si="4"/>
        <v>1</v>
      </c>
    </row>
    <row r="14" spans="1:17">
      <c r="B14" s="162">
        <f t="shared" si="3"/>
        <v>11</v>
      </c>
      <c r="C14" s="189" t="s">
        <v>67</v>
      </c>
      <c r="D14" s="201" t="s">
        <v>91</v>
      </c>
      <c r="E14" s="202"/>
      <c r="F14" s="202"/>
      <c r="G14" s="188">
        <f t="shared" si="0"/>
        <v>0</v>
      </c>
      <c r="H14" s="188">
        <f t="shared" si="1"/>
        <v>0</v>
      </c>
      <c r="I14" s="174">
        <f t="shared" si="2"/>
        <v>0</v>
      </c>
      <c r="J14" s="175"/>
      <c r="Q14" s="8">
        <f t="shared" si="4"/>
        <v>1</v>
      </c>
    </row>
    <row r="15" spans="1:17">
      <c r="B15" s="160">
        <f t="shared" si="3"/>
        <v>12</v>
      </c>
      <c r="C15" s="190" t="s">
        <v>67</v>
      </c>
      <c r="D15" s="199" t="s">
        <v>93</v>
      </c>
      <c r="E15" s="200"/>
      <c r="F15" s="200"/>
      <c r="G15" s="186">
        <f t="shared" si="0"/>
        <v>0</v>
      </c>
      <c r="H15" s="186">
        <f t="shared" si="1"/>
        <v>0</v>
      </c>
      <c r="I15" s="171">
        <f t="shared" si="2"/>
        <v>0</v>
      </c>
      <c r="J15" s="172"/>
      <c r="Q15" s="8">
        <f t="shared" si="4"/>
        <v>1</v>
      </c>
    </row>
    <row r="16" spans="1:17">
      <c r="B16" s="162">
        <f t="shared" si="3"/>
        <v>13</v>
      </c>
      <c r="C16" s="189" t="s">
        <v>69</v>
      </c>
      <c r="D16" s="201" t="s">
        <v>107</v>
      </c>
      <c r="E16" s="202"/>
      <c r="F16" s="202"/>
      <c r="G16" s="188">
        <f t="shared" si="0"/>
        <v>0</v>
      </c>
      <c r="H16" s="188">
        <f t="shared" si="1"/>
        <v>0</v>
      </c>
      <c r="I16" s="174">
        <f t="shared" si="2"/>
        <v>0</v>
      </c>
      <c r="J16" s="175"/>
      <c r="Q16" s="8">
        <f t="shared" si="4"/>
        <v>1</v>
      </c>
    </row>
    <row r="17" spans="2:17">
      <c r="B17" s="160">
        <f t="shared" si="3"/>
        <v>14</v>
      </c>
      <c r="C17" s="190" t="s">
        <v>69</v>
      </c>
      <c r="D17" s="199" t="s">
        <v>109</v>
      </c>
      <c r="E17" s="200"/>
      <c r="F17" s="200"/>
      <c r="G17" s="186">
        <f t="shared" si="0"/>
        <v>0</v>
      </c>
      <c r="H17" s="186">
        <f t="shared" si="1"/>
        <v>0</v>
      </c>
      <c r="I17" s="171">
        <f t="shared" si="2"/>
        <v>0</v>
      </c>
      <c r="J17" s="172"/>
      <c r="Q17" s="8">
        <f t="shared" si="4"/>
        <v>1</v>
      </c>
    </row>
    <row r="18" spans="2:17">
      <c r="B18" s="162">
        <f t="shared" si="3"/>
        <v>15</v>
      </c>
      <c r="C18" s="189"/>
      <c r="D18" s="201"/>
      <c r="E18" s="202"/>
      <c r="F18" s="202"/>
      <c r="G18" s="188" t="str">
        <f t="shared" si="0"/>
        <v/>
      </c>
      <c r="H18" s="188" t="str">
        <f t="shared" si="1"/>
        <v/>
      </c>
      <c r="I18" s="174" t="str">
        <f t="shared" si="2"/>
        <v/>
      </c>
      <c r="J18" s="175"/>
      <c r="Q18" s="8">
        <f t="shared" si="4"/>
        <v>0</v>
      </c>
    </row>
    <row r="19" spans="2:17">
      <c r="B19" s="160">
        <f t="shared" si="3"/>
        <v>16</v>
      </c>
      <c r="C19" s="190"/>
      <c r="D19" s="199"/>
      <c r="E19" s="200"/>
      <c r="F19" s="200"/>
      <c r="G19" s="186" t="str">
        <f t="shared" si="0"/>
        <v/>
      </c>
      <c r="H19" s="186" t="str">
        <f t="shared" si="1"/>
        <v/>
      </c>
      <c r="I19" s="171" t="str">
        <f t="shared" si="2"/>
        <v/>
      </c>
      <c r="J19" s="172"/>
      <c r="Q19" s="8">
        <f t="shared" si="4"/>
        <v>0</v>
      </c>
    </row>
    <row r="20" spans="2:17">
      <c r="B20" s="162">
        <f t="shared" si="3"/>
        <v>17</v>
      </c>
      <c r="C20" s="189"/>
      <c r="D20" s="201"/>
      <c r="E20" s="202"/>
      <c r="F20" s="202"/>
      <c r="G20" s="188" t="str">
        <f t="shared" si="0"/>
        <v/>
      </c>
      <c r="H20" s="188" t="str">
        <f t="shared" si="1"/>
        <v/>
      </c>
      <c r="I20" s="174" t="str">
        <f t="shared" si="2"/>
        <v/>
      </c>
      <c r="J20" s="175"/>
      <c r="Q20" s="8">
        <f t="shared" si="4"/>
        <v>0</v>
      </c>
    </row>
    <row r="21" spans="2:17">
      <c r="B21" s="160">
        <f t="shared" si="3"/>
        <v>18</v>
      </c>
      <c r="C21" s="190"/>
      <c r="D21" s="199"/>
      <c r="E21" s="200"/>
      <c r="F21" s="200"/>
      <c r="G21" s="186" t="str">
        <f t="shared" si="0"/>
        <v/>
      </c>
      <c r="H21" s="186" t="str">
        <f t="shared" si="1"/>
        <v/>
      </c>
      <c r="I21" s="171" t="str">
        <f t="shared" si="2"/>
        <v/>
      </c>
      <c r="J21" s="172"/>
      <c r="Q21" s="8">
        <f t="shared" si="4"/>
        <v>0</v>
      </c>
    </row>
    <row r="22" spans="2:17">
      <c r="B22" s="162">
        <f t="shared" si="3"/>
        <v>19</v>
      </c>
      <c r="C22" s="191"/>
      <c r="D22" s="204"/>
      <c r="E22" s="202"/>
      <c r="F22" s="202"/>
      <c r="G22" s="188" t="str">
        <f t="shared" si="0"/>
        <v/>
      </c>
      <c r="H22" s="188" t="str">
        <f t="shared" si="1"/>
        <v/>
      </c>
      <c r="I22" s="174" t="str">
        <f t="shared" si="2"/>
        <v/>
      </c>
      <c r="J22" s="175"/>
      <c r="Q22" s="8">
        <f t="shared" si="4"/>
        <v>0</v>
      </c>
    </row>
    <row r="23" spans="2:17">
      <c r="B23" s="160">
        <f t="shared" si="3"/>
        <v>20</v>
      </c>
      <c r="C23" s="190"/>
      <c r="D23" s="199"/>
      <c r="E23" s="200"/>
      <c r="F23" s="200"/>
      <c r="G23" s="186" t="str">
        <f t="shared" si="0"/>
        <v/>
      </c>
      <c r="H23" s="186" t="str">
        <f t="shared" si="1"/>
        <v/>
      </c>
      <c r="I23" s="171" t="str">
        <f t="shared" si="2"/>
        <v/>
      </c>
      <c r="J23" s="172"/>
      <c r="Q23" s="8">
        <f t="shared" si="4"/>
        <v>0</v>
      </c>
    </row>
    <row r="24" spans="2:17">
      <c r="B24" s="162">
        <f t="shared" si="3"/>
        <v>21</v>
      </c>
      <c r="C24" s="189"/>
      <c r="D24" s="201"/>
      <c r="E24" s="202"/>
      <c r="F24" s="202"/>
      <c r="G24" s="188" t="str">
        <f t="shared" si="0"/>
        <v/>
      </c>
      <c r="H24" s="188" t="str">
        <f t="shared" si="1"/>
        <v/>
      </c>
      <c r="I24" s="174" t="str">
        <f t="shared" si="2"/>
        <v/>
      </c>
      <c r="J24" s="175"/>
      <c r="Q24" s="8">
        <f t="shared" si="4"/>
        <v>0</v>
      </c>
    </row>
    <row r="25" spans="2:17">
      <c r="B25" s="160">
        <f t="shared" si="3"/>
        <v>22</v>
      </c>
      <c r="C25" s="190"/>
      <c r="D25" s="199"/>
      <c r="E25" s="200"/>
      <c r="F25" s="200"/>
      <c r="G25" s="186" t="str">
        <f t="shared" si="0"/>
        <v/>
      </c>
      <c r="H25" s="186" t="str">
        <f t="shared" si="1"/>
        <v/>
      </c>
      <c r="I25" s="171" t="str">
        <f t="shared" si="2"/>
        <v/>
      </c>
      <c r="J25" s="172"/>
      <c r="Q25" s="8">
        <f t="shared" si="4"/>
        <v>0</v>
      </c>
    </row>
    <row r="26" spans="2:17">
      <c r="B26" s="162">
        <f t="shared" si="3"/>
        <v>23</v>
      </c>
      <c r="C26" s="189"/>
      <c r="D26" s="201"/>
      <c r="E26" s="202"/>
      <c r="F26" s="202"/>
      <c r="G26" s="188" t="str">
        <f t="shared" si="0"/>
        <v/>
      </c>
      <c r="H26" s="188" t="str">
        <f t="shared" si="1"/>
        <v/>
      </c>
      <c r="I26" s="174" t="str">
        <f t="shared" si="2"/>
        <v/>
      </c>
      <c r="J26" s="175"/>
      <c r="Q26" s="8">
        <f t="shared" si="4"/>
        <v>0</v>
      </c>
    </row>
    <row r="27" spans="2:17">
      <c r="B27" s="160">
        <f t="shared" si="3"/>
        <v>24</v>
      </c>
      <c r="C27" s="190"/>
      <c r="D27" s="199"/>
      <c r="E27" s="200"/>
      <c r="F27" s="200"/>
      <c r="G27" s="186" t="str">
        <f t="shared" si="0"/>
        <v/>
      </c>
      <c r="H27" s="186" t="str">
        <f t="shared" si="1"/>
        <v/>
      </c>
      <c r="I27" s="171" t="str">
        <f t="shared" si="2"/>
        <v/>
      </c>
      <c r="J27" s="172"/>
      <c r="Q27" s="8">
        <f t="shared" si="4"/>
        <v>0</v>
      </c>
    </row>
    <row r="28" spans="2:17">
      <c r="B28" s="162">
        <f t="shared" si="3"/>
        <v>25</v>
      </c>
      <c r="C28" s="189"/>
      <c r="D28" s="201"/>
      <c r="E28" s="202"/>
      <c r="F28" s="202"/>
      <c r="G28" s="188" t="str">
        <f t="shared" si="0"/>
        <v/>
      </c>
      <c r="H28" s="188" t="str">
        <f t="shared" si="1"/>
        <v/>
      </c>
      <c r="I28" s="174" t="str">
        <f t="shared" si="2"/>
        <v/>
      </c>
      <c r="J28" s="175"/>
      <c r="Q28" s="8">
        <f t="shared" si="4"/>
        <v>0</v>
      </c>
    </row>
    <row r="29" spans="2:17">
      <c r="B29" s="160">
        <f t="shared" si="3"/>
        <v>26</v>
      </c>
      <c r="C29" s="190"/>
      <c r="D29" s="199"/>
      <c r="E29" s="200"/>
      <c r="F29" s="200"/>
      <c r="G29" s="186" t="str">
        <f t="shared" si="0"/>
        <v/>
      </c>
      <c r="H29" s="186" t="str">
        <f t="shared" si="1"/>
        <v/>
      </c>
      <c r="I29" s="171" t="str">
        <f t="shared" si="2"/>
        <v/>
      </c>
      <c r="J29" s="172"/>
      <c r="Q29" s="8">
        <f t="shared" si="4"/>
        <v>0</v>
      </c>
    </row>
    <row r="30" spans="2:17">
      <c r="B30" s="162">
        <f t="shared" si="3"/>
        <v>27</v>
      </c>
      <c r="C30" s="189"/>
      <c r="D30" s="201"/>
      <c r="E30" s="202"/>
      <c r="F30" s="202"/>
      <c r="G30" s="188" t="str">
        <f t="shared" si="0"/>
        <v/>
      </c>
      <c r="H30" s="188" t="str">
        <f t="shared" si="1"/>
        <v/>
      </c>
      <c r="I30" s="174" t="str">
        <f t="shared" si="2"/>
        <v/>
      </c>
      <c r="J30" s="175"/>
      <c r="Q30" s="8">
        <f t="shared" si="4"/>
        <v>0</v>
      </c>
    </row>
    <row r="31" spans="2:17">
      <c r="B31" s="160">
        <f t="shared" si="3"/>
        <v>28</v>
      </c>
      <c r="C31" s="190"/>
      <c r="D31" s="199"/>
      <c r="E31" s="200"/>
      <c r="F31" s="200"/>
      <c r="G31" s="186" t="str">
        <f t="shared" si="0"/>
        <v/>
      </c>
      <c r="H31" s="186" t="str">
        <f t="shared" si="1"/>
        <v/>
      </c>
      <c r="I31" s="171" t="str">
        <f t="shared" si="2"/>
        <v/>
      </c>
      <c r="J31" s="172"/>
      <c r="Q31" s="8">
        <f t="shared" si="4"/>
        <v>0</v>
      </c>
    </row>
    <row r="32" spans="2:17">
      <c r="B32" s="162">
        <f t="shared" si="3"/>
        <v>29</v>
      </c>
      <c r="C32" s="191"/>
      <c r="D32" s="204"/>
      <c r="E32" s="202"/>
      <c r="F32" s="202"/>
      <c r="G32" s="188" t="str">
        <f t="shared" si="0"/>
        <v/>
      </c>
      <c r="H32" s="188" t="str">
        <f t="shared" si="1"/>
        <v/>
      </c>
      <c r="I32" s="174" t="str">
        <f t="shared" si="2"/>
        <v/>
      </c>
      <c r="J32" s="175"/>
      <c r="Q32" s="8">
        <f t="shared" si="4"/>
        <v>0</v>
      </c>
    </row>
    <row r="33" spans="2:17">
      <c r="B33" s="160">
        <f t="shared" si="3"/>
        <v>30</v>
      </c>
      <c r="C33" s="190"/>
      <c r="D33" s="199"/>
      <c r="E33" s="200"/>
      <c r="F33" s="200"/>
      <c r="G33" s="186" t="str">
        <f t="shared" si="0"/>
        <v/>
      </c>
      <c r="H33" s="186" t="str">
        <f t="shared" si="1"/>
        <v/>
      </c>
      <c r="I33" s="171" t="str">
        <f t="shared" si="2"/>
        <v/>
      </c>
      <c r="J33" s="172"/>
      <c r="Q33" s="8">
        <f t="shared" si="4"/>
        <v>0</v>
      </c>
    </row>
    <row r="34" spans="2:17">
      <c r="B34" s="162">
        <f t="shared" si="3"/>
        <v>31</v>
      </c>
      <c r="C34" s="189"/>
      <c r="D34" s="201"/>
      <c r="E34" s="202"/>
      <c r="F34" s="202"/>
      <c r="G34" s="188" t="str">
        <f t="shared" si="0"/>
        <v/>
      </c>
      <c r="H34" s="188" t="str">
        <f t="shared" si="1"/>
        <v/>
      </c>
      <c r="I34" s="174" t="str">
        <f t="shared" si="2"/>
        <v/>
      </c>
      <c r="J34" s="175"/>
      <c r="Q34" s="8">
        <f t="shared" si="4"/>
        <v>0</v>
      </c>
    </row>
    <row r="35" spans="2:17">
      <c r="B35" s="160">
        <f t="shared" si="3"/>
        <v>32</v>
      </c>
      <c r="C35" s="190"/>
      <c r="D35" s="199"/>
      <c r="E35" s="200"/>
      <c r="F35" s="200"/>
      <c r="G35" s="186" t="str">
        <f t="shared" si="0"/>
        <v/>
      </c>
      <c r="H35" s="186" t="str">
        <f t="shared" si="1"/>
        <v/>
      </c>
      <c r="I35" s="171" t="str">
        <f t="shared" si="2"/>
        <v/>
      </c>
      <c r="J35" s="172"/>
      <c r="Q35" s="8">
        <f t="shared" si="4"/>
        <v>0</v>
      </c>
    </row>
    <row r="36" spans="2:17">
      <c r="B36" s="162">
        <f t="shared" si="3"/>
        <v>33</v>
      </c>
      <c r="C36" s="189"/>
      <c r="D36" s="201"/>
      <c r="E36" s="202"/>
      <c r="F36" s="202"/>
      <c r="G36" s="188" t="str">
        <f t="shared" ref="G36:G53" si="5">IF(TRIM(C36)="","",IF(F36&lt;&gt;"",F36*(E36/DD_Base)*DD_Unit,1*(E36/DD_Base)*DD_Unit))</f>
        <v/>
      </c>
      <c r="H36" s="188" t="str">
        <f t="shared" ref="H36:H53" si="6">IF(TRIM(C36)="","",CEILING(G36*UnitPoint_Effort_Rate*10/5,1)*5/10)</f>
        <v/>
      </c>
      <c r="I36" s="174" t="str">
        <f t="shared" ref="I36:I53" si="7">IF(TRIM(H36)="","",IF(G36 &gt;= 1,CEILING(H36*Review_Rate*DD_Review_Complexity*10/5,1)*5/10,H36*Review_Rate*DD_Review_Complexity))</f>
        <v/>
      </c>
      <c r="J36" s="175"/>
      <c r="Q36" s="8">
        <f t="shared" si="4"/>
        <v>0</v>
      </c>
    </row>
    <row r="37" spans="2:17">
      <c r="B37" s="160">
        <f t="shared" si="3"/>
        <v>34</v>
      </c>
      <c r="C37" s="190"/>
      <c r="D37" s="199"/>
      <c r="E37" s="200"/>
      <c r="F37" s="200"/>
      <c r="G37" s="186" t="str">
        <f t="shared" si="5"/>
        <v/>
      </c>
      <c r="H37" s="186" t="str">
        <f t="shared" si="6"/>
        <v/>
      </c>
      <c r="I37" s="171" t="str">
        <f t="shared" si="7"/>
        <v/>
      </c>
      <c r="J37" s="172"/>
      <c r="Q37" s="8">
        <f t="shared" si="4"/>
        <v>0</v>
      </c>
    </row>
    <row r="38" spans="2:17">
      <c r="B38" s="162">
        <f t="shared" si="3"/>
        <v>35</v>
      </c>
      <c r="C38" s="189"/>
      <c r="D38" s="201"/>
      <c r="E38" s="202"/>
      <c r="F38" s="202"/>
      <c r="G38" s="188" t="str">
        <f t="shared" si="5"/>
        <v/>
      </c>
      <c r="H38" s="188" t="str">
        <f t="shared" si="6"/>
        <v/>
      </c>
      <c r="I38" s="174" t="str">
        <f t="shared" si="7"/>
        <v/>
      </c>
      <c r="J38" s="175"/>
      <c r="Q38" s="8">
        <f t="shared" si="4"/>
        <v>0</v>
      </c>
    </row>
    <row r="39" spans="2:17">
      <c r="B39" s="160">
        <f t="shared" si="3"/>
        <v>36</v>
      </c>
      <c r="C39" s="190"/>
      <c r="D39" s="199"/>
      <c r="E39" s="200"/>
      <c r="F39" s="200"/>
      <c r="G39" s="186" t="str">
        <f t="shared" si="5"/>
        <v/>
      </c>
      <c r="H39" s="186" t="str">
        <f t="shared" si="6"/>
        <v/>
      </c>
      <c r="I39" s="171" t="str">
        <f t="shared" si="7"/>
        <v/>
      </c>
      <c r="J39" s="172"/>
      <c r="Q39" s="8">
        <f t="shared" si="4"/>
        <v>0</v>
      </c>
    </row>
    <row r="40" spans="2:17">
      <c r="B40" s="162">
        <f t="shared" si="3"/>
        <v>37</v>
      </c>
      <c r="C40" s="189"/>
      <c r="D40" s="201"/>
      <c r="E40" s="202"/>
      <c r="F40" s="202"/>
      <c r="G40" s="188" t="str">
        <f t="shared" si="5"/>
        <v/>
      </c>
      <c r="H40" s="188" t="str">
        <f t="shared" si="6"/>
        <v/>
      </c>
      <c r="I40" s="174" t="str">
        <f t="shared" si="7"/>
        <v/>
      </c>
      <c r="J40" s="175"/>
      <c r="Q40" s="8">
        <f t="shared" si="4"/>
        <v>0</v>
      </c>
    </row>
    <row r="41" spans="2:17">
      <c r="B41" s="160">
        <f t="shared" si="3"/>
        <v>38</v>
      </c>
      <c r="C41" s="190"/>
      <c r="D41" s="199"/>
      <c r="E41" s="200"/>
      <c r="F41" s="200"/>
      <c r="G41" s="186" t="str">
        <f t="shared" si="5"/>
        <v/>
      </c>
      <c r="H41" s="186" t="str">
        <f t="shared" si="6"/>
        <v/>
      </c>
      <c r="I41" s="171" t="str">
        <f t="shared" si="7"/>
        <v/>
      </c>
      <c r="J41" s="172"/>
      <c r="Q41" s="8">
        <f t="shared" si="4"/>
        <v>0</v>
      </c>
    </row>
    <row r="42" spans="2:17">
      <c r="B42" s="162">
        <f t="shared" si="3"/>
        <v>39</v>
      </c>
      <c r="C42" s="191"/>
      <c r="D42" s="204"/>
      <c r="E42" s="202"/>
      <c r="F42" s="202"/>
      <c r="G42" s="188" t="str">
        <f t="shared" si="5"/>
        <v/>
      </c>
      <c r="H42" s="188" t="str">
        <f t="shared" si="6"/>
        <v/>
      </c>
      <c r="I42" s="174" t="str">
        <f t="shared" si="7"/>
        <v/>
      </c>
      <c r="J42" s="175"/>
      <c r="Q42" s="8">
        <f t="shared" si="4"/>
        <v>0</v>
      </c>
    </row>
    <row r="43" spans="2:17">
      <c r="B43" s="160">
        <f t="shared" si="3"/>
        <v>40</v>
      </c>
      <c r="C43" s="190"/>
      <c r="D43" s="199"/>
      <c r="E43" s="200"/>
      <c r="F43" s="200"/>
      <c r="G43" s="186" t="str">
        <f t="shared" si="5"/>
        <v/>
      </c>
      <c r="H43" s="186" t="str">
        <f t="shared" si="6"/>
        <v/>
      </c>
      <c r="I43" s="171" t="str">
        <f t="shared" si="7"/>
        <v/>
      </c>
      <c r="J43" s="172"/>
      <c r="Q43" s="8">
        <f t="shared" si="4"/>
        <v>0</v>
      </c>
    </row>
    <row r="44" spans="2:17">
      <c r="B44" s="162">
        <f t="shared" si="3"/>
        <v>41</v>
      </c>
      <c r="C44" s="189"/>
      <c r="D44" s="201"/>
      <c r="E44" s="202"/>
      <c r="F44" s="202"/>
      <c r="G44" s="188" t="str">
        <f t="shared" si="5"/>
        <v/>
      </c>
      <c r="H44" s="188" t="str">
        <f t="shared" si="6"/>
        <v/>
      </c>
      <c r="I44" s="174" t="str">
        <f t="shared" si="7"/>
        <v/>
      </c>
      <c r="J44" s="175"/>
      <c r="Q44" s="8">
        <f t="shared" si="4"/>
        <v>0</v>
      </c>
    </row>
    <row r="45" spans="2:17">
      <c r="B45" s="160">
        <f t="shared" si="3"/>
        <v>42</v>
      </c>
      <c r="C45" s="190"/>
      <c r="D45" s="199"/>
      <c r="E45" s="200"/>
      <c r="F45" s="200"/>
      <c r="G45" s="186" t="str">
        <f t="shared" si="5"/>
        <v/>
      </c>
      <c r="H45" s="186" t="str">
        <f t="shared" si="6"/>
        <v/>
      </c>
      <c r="I45" s="171" t="str">
        <f t="shared" si="7"/>
        <v/>
      </c>
      <c r="J45" s="172"/>
      <c r="Q45" s="8">
        <f t="shared" si="4"/>
        <v>0</v>
      </c>
    </row>
    <row r="46" spans="2:17">
      <c r="B46" s="162">
        <f t="shared" si="3"/>
        <v>43</v>
      </c>
      <c r="C46" s="189"/>
      <c r="D46" s="201"/>
      <c r="E46" s="202"/>
      <c r="F46" s="202"/>
      <c r="G46" s="188" t="str">
        <f t="shared" si="5"/>
        <v/>
      </c>
      <c r="H46" s="188" t="str">
        <f t="shared" si="6"/>
        <v/>
      </c>
      <c r="I46" s="174" t="str">
        <f t="shared" si="7"/>
        <v/>
      </c>
      <c r="J46" s="175"/>
      <c r="Q46" s="8">
        <f t="shared" si="4"/>
        <v>0</v>
      </c>
    </row>
    <row r="47" spans="2:17">
      <c r="B47" s="160">
        <f t="shared" si="3"/>
        <v>44</v>
      </c>
      <c r="C47" s="190"/>
      <c r="D47" s="199"/>
      <c r="E47" s="200"/>
      <c r="F47" s="200"/>
      <c r="G47" s="186" t="str">
        <f t="shared" si="5"/>
        <v/>
      </c>
      <c r="H47" s="186" t="str">
        <f t="shared" si="6"/>
        <v/>
      </c>
      <c r="I47" s="171" t="str">
        <f t="shared" si="7"/>
        <v/>
      </c>
      <c r="J47" s="172"/>
      <c r="Q47" s="8">
        <f t="shared" si="4"/>
        <v>0</v>
      </c>
    </row>
    <row r="48" spans="2:17">
      <c r="B48" s="162">
        <f t="shared" si="3"/>
        <v>45</v>
      </c>
      <c r="C48" s="189"/>
      <c r="D48" s="201"/>
      <c r="E48" s="202"/>
      <c r="F48" s="202"/>
      <c r="G48" s="188" t="str">
        <f t="shared" si="5"/>
        <v/>
      </c>
      <c r="H48" s="188" t="str">
        <f t="shared" si="6"/>
        <v/>
      </c>
      <c r="I48" s="174" t="str">
        <f t="shared" si="7"/>
        <v/>
      </c>
      <c r="J48" s="175"/>
      <c r="Q48" s="8">
        <f t="shared" si="4"/>
        <v>0</v>
      </c>
    </row>
    <row r="49" spans="2:17">
      <c r="B49" s="160">
        <f t="shared" si="3"/>
        <v>46</v>
      </c>
      <c r="C49" s="190"/>
      <c r="D49" s="199"/>
      <c r="E49" s="200"/>
      <c r="F49" s="200"/>
      <c r="G49" s="186" t="str">
        <f t="shared" si="5"/>
        <v/>
      </c>
      <c r="H49" s="186" t="str">
        <f t="shared" si="6"/>
        <v/>
      </c>
      <c r="I49" s="171" t="str">
        <f t="shared" si="7"/>
        <v/>
      </c>
      <c r="J49" s="172"/>
      <c r="Q49" s="8">
        <f t="shared" si="4"/>
        <v>0</v>
      </c>
    </row>
    <row r="50" spans="2:17">
      <c r="B50" s="162">
        <f t="shared" si="3"/>
        <v>47</v>
      </c>
      <c r="C50" s="189"/>
      <c r="D50" s="201"/>
      <c r="E50" s="202"/>
      <c r="F50" s="202"/>
      <c r="G50" s="188" t="str">
        <f t="shared" si="5"/>
        <v/>
      </c>
      <c r="H50" s="188" t="str">
        <f t="shared" si="6"/>
        <v/>
      </c>
      <c r="I50" s="174" t="str">
        <f t="shared" si="7"/>
        <v/>
      </c>
      <c r="J50" s="175"/>
      <c r="Q50" s="8">
        <f t="shared" si="4"/>
        <v>0</v>
      </c>
    </row>
    <row r="51" spans="2:17">
      <c r="B51" s="160">
        <f t="shared" si="3"/>
        <v>48</v>
      </c>
      <c r="C51" s="190"/>
      <c r="D51" s="199"/>
      <c r="E51" s="200"/>
      <c r="F51" s="200"/>
      <c r="G51" s="186" t="str">
        <f t="shared" si="5"/>
        <v/>
      </c>
      <c r="H51" s="186" t="str">
        <f t="shared" si="6"/>
        <v/>
      </c>
      <c r="I51" s="171" t="str">
        <f t="shared" si="7"/>
        <v/>
      </c>
      <c r="J51" s="172"/>
      <c r="Q51" s="8">
        <f t="shared" si="4"/>
        <v>0</v>
      </c>
    </row>
    <row r="52" spans="2:17">
      <c r="B52" s="162">
        <f t="shared" si="3"/>
        <v>49</v>
      </c>
      <c r="C52" s="191"/>
      <c r="D52" s="204"/>
      <c r="E52" s="202"/>
      <c r="F52" s="202"/>
      <c r="G52" s="188" t="str">
        <f t="shared" si="5"/>
        <v/>
      </c>
      <c r="H52" s="188" t="str">
        <f t="shared" si="6"/>
        <v/>
      </c>
      <c r="I52" s="174" t="str">
        <f t="shared" si="7"/>
        <v/>
      </c>
      <c r="J52" s="175"/>
      <c r="Q52" s="8">
        <f t="shared" si="4"/>
        <v>0</v>
      </c>
    </row>
    <row r="53" spans="2:17" ht="15.75" thickBot="1">
      <c r="B53" s="192">
        <f t="shared" si="3"/>
        <v>50</v>
      </c>
      <c r="C53" s="193"/>
      <c r="D53" s="205"/>
      <c r="E53" s="206"/>
      <c r="F53" s="206"/>
      <c r="G53" s="195" t="str">
        <f t="shared" si="5"/>
        <v/>
      </c>
      <c r="H53" s="195" t="str">
        <f t="shared" si="6"/>
        <v/>
      </c>
      <c r="I53" s="179" t="str">
        <f t="shared" si="7"/>
        <v/>
      </c>
      <c r="J53" s="180"/>
      <c r="Q53" s="8">
        <f t="shared" si="4"/>
        <v>0</v>
      </c>
    </row>
  </sheetData>
  <protectedRanges>
    <protectedRange sqref="J4:J53" name="Range2"/>
    <protectedRange sqref="C4:D53" name="Range1"/>
    <protectedRange sqref="E4:F53" name="Range1_1_1"/>
  </protectedRanges>
  <mergeCells count="2">
    <mergeCell ref="B1:J1"/>
    <mergeCell ref="E2:H2"/>
  </mergeCells>
  <phoneticPr fontId="3"/>
  <conditionalFormatting sqref="J4:J53 B4:F53">
    <cfRule type="expression" dxfId="19" priority="1" stopIfTrue="1">
      <formula>$Q4&gt;1</formula>
    </cfRule>
    <cfRule type="expression" dxfId="18" priority="2" stopIfTrue="1">
      <formula>MOD(ROW(),2)=0</formula>
    </cfRule>
    <cfRule type="expression" dxfId="17" priority="3" stopIfTrue="1">
      <formula>MOD(ROW(),2)=1</formula>
    </cfRule>
  </conditionalFormatting>
  <conditionalFormatting sqref="G4:I53">
    <cfRule type="expression" dxfId="16" priority="4" stopIfTrue="1">
      <formula>MOD(ROW(),2)=0</formula>
    </cfRule>
    <cfRule type="expression" dxfId="15" priority="5" stopIfTrue="1">
      <formula>MOD(ROW(),2)=1</formula>
    </cfRule>
  </conditionalFormatting>
  <dataValidations count="1">
    <dataValidation showInputMessage="1" showErrorMessage="1" sqref="E4:F53"/>
  </dataValidations>
  <printOptions horizontalCentered="1"/>
  <pageMargins left="0.59055118110236227" right="0.39370078740157483" top="0.39370078740157483" bottom="0.39370078740157483" header="0.51181102362204722" footer="0.51181102362204722"/>
  <pageSetup paperSize="9" scale="96" orientation="landscape" r:id="rId1"/>
  <headerFooter alignWithMargins="0"/>
  <legacyDrawing r:id="rId2"/>
</worksheet>
</file>

<file path=xl/worksheets/sheet14.xml><?xml version="1.0" encoding="utf-8"?>
<worksheet xmlns="http://schemas.openxmlformats.org/spreadsheetml/2006/main" xmlns:r="http://schemas.openxmlformats.org/officeDocument/2006/relationships">
  <sheetPr codeName="Sheet4">
    <tabColor theme="0" tint="-0.499984740745262"/>
  </sheetPr>
  <dimension ref="A1:Q53"/>
  <sheetViews>
    <sheetView view="pageBreakPreview" zoomScale="85" zoomScaleNormal="100" workbookViewId="0">
      <pane xSplit="4" ySplit="3" topLeftCell="E4" activePane="bottomRight" state="frozen"/>
      <selection activeCell="J6" sqref="J6"/>
      <selection pane="topRight" activeCell="J6" sqref="J6"/>
      <selection pane="bottomLeft" activeCell="J6" sqref="J6"/>
      <selection pane="bottomRight" activeCell="J6" sqref="J6"/>
    </sheetView>
  </sheetViews>
  <sheetFormatPr defaultRowHeight="15"/>
  <cols>
    <col min="1" max="1" width="1.625" style="8" customWidth="1"/>
    <col min="2" max="2" width="3.875" style="8" bestFit="1" customWidth="1"/>
    <col min="3" max="4" width="30.625" style="8" customWidth="1"/>
    <col min="5" max="5" width="11.625" style="8" bestFit="1" customWidth="1"/>
    <col min="6" max="6" width="9.875" style="8" customWidth="1"/>
    <col min="7" max="7" width="7.25" style="26" hidden="1" customWidth="1"/>
    <col min="8" max="9" width="7.25" style="27" customWidth="1"/>
    <col min="10" max="10" width="27.625" style="8" customWidth="1"/>
    <col min="11" max="11" width="1.625" style="8" customWidth="1"/>
    <col min="12" max="16384" width="9" style="8"/>
  </cols>
  <sheetData>
    <row r="1" spans="1:17">
      <c r="B1" s="619" t="s">
        <v>14</v>
      </c>
      <c r="C1" s="619"/>
      <c r="D1" s="619"/>
      <c r="E1" s="619"/>
      <c r="F1" s="619"/>
      <c r="G1" s="619"/>
      <c r="H1" s="619"/>
      <c r="I1" s="619"/>
      <c r="J1" s="619"/>
    </row>
    <row r="2" spans="1:17" ht="15.75" thickBot="1">
      <c r="C2" s="65" t="s">
        <v>130</v>
      </c>
      <c r="E2" s="147"/>
      <c r="F2" s="620" t="s">
        <v>209</v>
      </c>
      <c r="G2" s="620"/>
      <c r="H2" s="620"/>
      <c r="I2" s="383">
        <f>Legend!F23</f>
        <v>1</v>
      </c>
    </row>
    <row r="3" spans="1:17" ht="26.25" thickBot="1">
      <c r="B3" s="10" t="s">
        <v>9</v>
      </c>
      <c r="C3" s="11" t="s">
        <v>2</v>
      </c>
      <c r="D3" s="11" t="s">
        <v>16</v>
      </c>
      <c r="E3" s="12" t="s">
        <v>210</v>
      </c>
      <c r="F3" s="17" t="s">
        <v>208</v>
      </c>
      <c r="G3" s="146" t="s">
        <v>206</v>
      </c>
      <c r="H3" s="28" t="s">
        <v>96</v>
      </c>
      <c r="I3" s="29" t="s">
        <v>97</v>
      </c>
      <c r="J3" s="13" t="s">
        <v>11</v>
      </c>
      <c r="L3" s="8" t="s">
        <v>387</v>
      </c>
      <c r="Q3" s="8" t="s">
        <v>349</v>
      </c>
    </row>
    <row r="4" spans="1:17">
      <c r="A4" s="140"/>
      <c r="B4" s="157">
        <f t="shared" ref="B4:B35" si="0">ROW() - 3</f>
        <v>1</v>
      </c>
      <c r="C4" s="196" t="s">
        <v>56</v>
      </c>
      <c r="D4" s="197" t="s">
        <v>70</v>
      </c>
      <c r="E4" s="207">
        <v>800</v>
      </c>
      <c r="F4" s="198"/>
      <c r="G4" s="184">
        <f t="shared" ref="G4:G35" si="1">IF(TRIM(D4)="","",IF(F4&lt;&gt;"",F4*E4/PG1_Base*PG1_Unit,1*E4/PG1_Base*PG1_Unit))</f>
        <v>40</v>
      </c>
      <c r="H4" s="184">
        <f t="shared" ref="H4:H35" si="2">IF(TRIM(C4)="","",CEILING(G4*UnitPoint_Effort_Rate*10/5,1)*5/10)</f>
        <v>80</v>
      </c>
      <c r="I4" s="167">
        <f t="shared" ref="I4:I35" si="3">IF(TRIM(H4)="","",IF(G4 &gt;= 1,CEILING(H4*Source_Review_Rate*PG1_Review_Complexity*10/5,1)*5/10,H4*Source_Review_Rate*PG1_Review_Complexity))</f>
        <v>16</v>
      </c>
      <c r="J4" s="168"/>
      <c r="L4" s="8">
        <f>IF(E4="","",ROUND(H4*SUM('PG2'!$E$4:$E$53,'PG3'!$E$4:$E$53)/SUM('PG2'!$J$4:$J$53,'PG3'!$J$4:$J$53),0))</f>
        <v>1940</v>
      </c>
      <c r="Q4" s="8">
        <f>COUNTIF($D$4:$D$53,D4)</f>
        <v>1</v>
      </c>
    </row>
    <row r="5" spans="1:17">
      <c r="A5" s="140"/>
      <c r="B5" s="160">
        <f t="shared" si="0"/>
        <v>2</v>
      </c>
      <c r="C5" s="190" t="s">
        <v>56</v>
      </c>
      <c r="D5" s="199" t="s">
        <v>72</v>
      </c>
      <c r="E5" s="208">
        <v>30</v>
      </c>
      <c r="F5" s="200">
        <v>2.5</v>
      </c>
      <c r="G5" s="186">
        <f t="shared" si="1"/>
        <v>3.75</v>
      </c>
      <c r="H5" s="186">
        <f t="shared" si="2"/>
        <v>7.5</v>
      </c>
      <c r="I5" s="171">
        <f t="shared" si="3"/>
        <v>1.5</v>
      </c>
      <c r="J5" s="172"/>
      <c r="L5" s="8">
        <f>IF(E5="","",ROUND(H5*SUM('PG2'!$E$4:$E$53,'PG3'!$E$4:$E$53)/SUM('PG2'!$J$4:$J$53,'PG3'!$J$4:$J$53),0))</f>
        <v>182</v>
      </c>
      <c r="Q5" s="8">
        <f t="shared" ref="Q5:Q53" si="4">COUNTIF($D$4:$D$53,D5)</f>
        <v>1</v>
      </c>
    </row>
    <row r="6" spans="1:17">
      <c r="A6" s="140"/>
      <c r="B6" s="162">
        <f t="shared" si="0"/>
        <v>3</v>
      </c>
      <c r="C6" s="189" t="s">
        <v>58</v>
      </c>
      <c r="D6" s="201" t="s">
        <v>74</v>
      </c>
      <c r="E6" s="209"/>
      <c r="F6" s="202"/>
      <c r="G6" s="188">
        <f t="shared" si="1"/>
        <v>0</v>
      </c>
      <c r="H6" s="188">
        <f t="shared" si="2"/>
        <v>0</v>
      </c>
      <c r="I6" s="174">
        <f t="shared" si="3"/>
        <v>0</v>
      </c>
      <c r="J6" s="175"/>
      <c r="L6" s="8" t="str">
        <f>IF(E6="","",ROUND(H6*SUM('PG2'!$E$4:$E$53,'PG3'!$E$4:$E$53)/SUM('PG2'!$J$4:$J$53,'PG3'!$J$4:$J$53),0))</f>
        <v/>
      </c>
      <c r="Q6" s="8">
        <f t="shared" si="4"/>
        <v>1</v>
      </c>
    </row>
    <row r="7" spans="1:17">
      <c r="A7" s="140"/>
      <c r="B7" s="160">
        <f t="shared" si="0"/>
        <v>4</v>
      </c>
      <c r="C7" s="190" t="s">
        <v>58</v>
      </c>
      <c r="D7" s="199" t="s">
        <v>76</v>
      </c>
      <c r="E7" s="208"/>
      <c r="F7" s="200"/>
      <c r="G7" s="186">
        <f t="shared" si="1"/>
        <v>0</v>
      </c>
      <c r="H7" s="186">
        <f t="shared" si="2"/>
        <v>0</v>
      </c>
      <c r="I7" s="171">
        <f t="shared" si="3"/>
        <v>0</v>
      </c>
      <c r="J7" s="172"/>
      <c r="L7" s="8" t="str">
        <f>IF(E7="","",ROUND(H7*SUM('PG2'!$E$4:$E$53,'PG3'!$E$4:$E$53)/SUM('PG2'!$J$4:$J$53,'PG3'!$J$4:$J$53),0))</f>
        <v/>
      </c>
      <c r="Q7" s="8">
        <f t="shared" si="4"/>
        <v>1</v>
      </c>
    </row>
    <row r="8" spans="1:17">
      <c r="B8" s="162">
        <f t="shared" si="0"/>
        <v>5</v>
      </c>
      <c r="C8" s="163" t="s">
        <v>60</v>
      </c>
      <c r="D8" s="201" t="s">
        <v>78</v>
      </c>
      <c r="E8" s="209"/>
      <c r="F8" s="202"/>
      <c r="G8" s="188">
        <f t="shared" si="1"/>
        <v>0</v>
      </c>
      <c r="H8" s="188">
        <f t="shared" si="2"/>
        <v>0</v>
      </c>
      <c r="I8" s="174">
        <f t="shared" si="3"/>
        <v>0</v>
      </c>
      <c r="J8" s="175"/>
      <c r="L8" s="8" t="str">
        <f>IF(E8="","",ROUND(H8*SUM('PG2'!$E$4:$E$53,'PG3'!$E$4:$E$53)/SUM('PG2'!$J$4:$J$53,'PG3'!$J$4:$J$53),0))</f>
        <v/>
      </c>
      <c r="Q8" s="8">
        <f t="shared" si="4"/>
        <v>1</v>
      </c>
    </row>
    <row r="9" spans="1:17">
      <c r="B9" s="160">
        <f t="shared" si="0"/>
        <v>6</v>
      </c>
      <c r="C9" s="190" t="s">
        <v>60</v>
      </c>
      <c r="D9" s="203" t="s">
        <v>80</v>
      </c>
      <c r="E9" s="208"/>
      <c r="F9" s="200"/>
      <c r="G9" s="186">
        <f t="shared" si="1"/>
        <v>0</v>
      </c>
      <c r="H9" s="186">
        <f t="shared" si="2"/>
        <v>0</v>
      </c>
      <c r="I9" s="171">
        <f t="shared" si="3"/>
        <v>0</v>
      </c>
      <c r="J9" s="172"/>
      <c r="L9" s="8" t="str">
        <f>IF(E9="","",ROUND(H9*SUM('PG2'!$E$4:$E$53,'PG3'!$E$4:$E$53)/SUM('PG2'!$J$4:$J$53,'PG3'!$J$4:$J$53),0))</f>
        <v/>
      </c>
      <c r="Q9" s="8">
        <f t="shared" si="4"/>
        <v>1</v>
      </c>
    </row>
    <row r="10" spans="1:17">
      <c r="B10" s="162">
        <f t="shared" si="0"/>
        <v>7</v>
      </c>
      <c r="C10" s="189" t="s">
        <v>62</v>
      </c>
      <c r="D10" s="201" t="s">
        <v>82</v>
      </c>
      <c r="E10" s="209"/>
      <c r="F10" s="202"/>
      <c r="G10" s="188">
        <f t="shared" si="1"/>
        <v>0</v>
      </c>
      <c r="H10" s="188">
        <f t="shared" si="2"/>
        <v>0</v>
      </c>
      <c r="I10" s="174">
        <f t="shared" si="3"/>
        <v>0</v>
      </c>
      <c r="J10" s="175"/>
      <c r="L10" s="8" t="str">
        <f>IF(E10="","",ROUND(H10*SUM('PG2'!$E$4:$E$53,'PG3'!$E$4:$E$53)/SUM('PG2'!$J$4:$J$53,'PG3'!$J$4:$J$53),0))</f>
        <v/>
      </c>
      <c r="Q10" s="8">
        <f t="shared" si="4"/>
        <v>1</v>
      </c>
    </row>
    <row r="11" spans="1:17">
      <c r="B11" s="160">
        <f t="shared" si="0"/>
        <v>8</v>
      </c>
      <c r="C11" s="190" t="s">
        <v>62</v>
      </c>
      <c r="D11" s="199" t="s">
        <v>84</v>
      </c>
      <c r="E11" s="208"/>
      <c r="F11" s="200"/>
      <c r="G11" s="186">
        <f t="shared" si="1"/>
        <v>0</v>
      </c>
      <c r="H11" s="186">
        <f t="shared" si="2"/>
        <v>0</v>
      </c>
      <c r="I11" s="171">
        <f t="shared" si="3"/>
        <v>0</v>
      </c>
      <c r="J11" s="172"/>
      <c r="L11" s="8" t="str">
        <f>IF(E11="","",ROUND(H11*SUM('PG2'!$E$4:$E$53,'PG3'!$E$4:$E$53)/SUM('PG2'!$J$4:$J$53,'PG3'!$J$4:$J$53),0))</f>
        <v/>
      </c>
      <c r="Q11" s="8">
        <f t="shared" si="4"/>
        <v>1</v>
      </c>
    </row>
    <row r="12" spans="1:17">
      <c r="B12" s="162">
        <f t="shared" si="0"/>
        <v>9</v>
      </c>
      <c r="C12" s="191" t="s">
        <v>64</v>
      </c>
      <c r="D12" s="204" t="s">
        <v>86</v>
      </c>
      <c r="E12" s="209"/>
      <c r="F12" s="202"/>
      <c r="G12" s="188">
        <f t="shared" si="1"/>
        <v>0</v>
      </c>
      <c r="H12" s="188">
        <f t="shared" si="2"/>
        <v>0</v>
      </c>
      <c r="I12" s="174">
        <f t="shared" si="3"/>
        <v>0</v>
      </c>
      <c r="J12" s="175"/>
      <c r="L12" s="8" t="str">
        <f>IF(E12="","",ROUND(H12*SUM('PG2'!$E$4:$E$53,'PG3'!$E$4:$E$53)/SUM('PG2'!$J$4:$J$53,'PG3'!$J$4:$J$53),0))</f>
        <v/>
      </c>
      <c r="Q12" s="8">
        <f t="shared" si="4"/>
        <v>1</v>
      </c>
    </row>
    <row r="13" spans="1:17">
      <c r="B13" s="160">
        <f t="shared" si="0"/>
        <v>10</v>
      </c>
      <c r="C13" s="190" t="s">
        <v>64</v>
      </c>
      <c r="D13" s="199" t="s">
        <v>88</v>
      </c>
      <c r="E13" s="208"/>
      <c r="F13" s="200"/>
      <c r="G13" s="186">
        <f t="shared" si="1"/>
        <v>0</v>
      </c>
      <c r="H13" s="186">
        <f t="shared" si="2"/>
        <v>0</v>
      </c>
      <c r="I13" s="171">
        <f t="shared" si="3"/>
        <v>0</v>
      </c>
      <c r="J13" s="172"/>
      <c r="L13" s="8" t="str">
        <f>IF(E13="","",ROUND(H13*SUM('PG2'!$E$4:$E$53,'PG3'!$E$4:$E$53)/SUM('PG2'!$J$4:$J$53,'PG3'!$J$4:$J$53),0))</f>
        <v/>
      </c>
      <c r="Q13" s="8">
        <f t="shared" si="4"/>
        <v>1</v>
      </c>
    </row>
    <row r="14" spans="1:17">
      <c r="B14" s="162">
        <f t="shared" si="0"/>
        <v>11</v>
      </c>
      <c r="C14" s="189" t="s">
        <v>66</v>
      </c>
      <c r="D14" s="201" t="s">
        <v>90</v>
      </c>
      <c r="E14" s="209"/>
      <c r="F14" s="202"/>
      <c r="G14" s="188">
        <f t="shared" si="1"/>
        <v>0</v>
      </c>
      <c r="H14" s="188">
        <f t="shared" si="2"/>
        <v>0</v>
      </c>
      <c r="I14" s="174">
        <f t="shared" si="3"/>
        <v>0</v>
      </c>
      <c r="J14" s="175"/>
      <c r="L14" s="8" t="str">
        <f>IF(E14="","",ROUND(H14*SUM('PG2'!$E$4:$E$53,'PG3'!$E$4:$E$53)/SUM('PG2'!$J$4:$J$53,'PG3'!$J$4:$J$53),0))</f>
        <v/>
      </c>
      <c r="Q14" s="8">
        <f t="shared" si="4"/>
        <v>1</v>
      </c>
    </row>
    <row r="15" spans="1:17">
      <c r="B15" s="160">
        <f t="shared" si="0"/>
        <v>12</v>
      </c>
      <c r="C15" s="190" t="s">
        <v>66</v>
      </c>
      <c r="D15" s="199" t="s">
        <v>92</v>
      </c>
      <c r="E15" s="208"/>
      <c r="F15" s="200"/>
      <c r="G15" s="186">
        <f t="shared" si="1"/>
        <v>0</v>
      </c>
      <c r="H15" s="186">
        <f t="shared" si="2"/>
        <v>0</v>
      </c>
      <c r="I15" s="171">
        <f t="shared" si="3"/>
        <v>0</v>
      </c>
      <c r="J15" s="172"/>
      <c r="L15" s="8" t="str">
        <f>IF(E15="","",ROUND(H15*SUM('PG2'!$E$4:$E$53,'PG3'!$E$4:$E$53)/SUM('PG2'!$J$4:$J$53,'PG3'!$J$4:$J$53),0))</f>
        <v/>
      </c>
      <c r="Q15" s="8">
        <f t="shared" si="4"/>
        <v>1</v>
      </c>
    </row>
    <row r="16" spans="1:17">
      <c r="B16" s="162">
        <f t="shared" si="0"/>
        <v>13</v>
      </c>
      <c r="C16" s="189" t="s">
        <v>68</v>
      </c>
      <c r="D16" s="189" t="s">
        <v>106</v>
      </c>
      <c r="E16" s="209"/>
      <c r="F16" s="202"/>
      <c r="G16" s="188">
        <f t="shared" si="1"/>
        <v>0</v>
      </c>
      <c r="H16" s="188">
        <f t="shared" si="2"/>
        <v>0</v>
      </c>
      <c r="I16" s="174">
        <f t="shared" si="3"/>
        <v>0</v>
      </c>
      <c r="J16" s="175"/>
      <c r="L16" s="8" t="str">
        <f>IF(E16="","",ROUND(H16*SUM('PG2'!$E$4:$E$53,'PG3'!$E$4:$E$53)/SUM('PG2'!$J$4:$J$53,'PG3'!$J$4:$J$53),0))</f>
        <v/>
      </c>
      <c r="Q16" s="8">
        <f t="shared" si="4"/>
        <v>1</v>
      </c>
    </row>
    <row r="17" spans="2:17">
      <c r="B17" s="160">
        <f t="shared" si="0"/>
        <v>14</v>
      </c>
      <c r="C17" s="190" t="s">
        <v>68</v>
      </c>
      <c r="D17" s="190" t="s">
        <v>108</v>
      </c>
      <c r="E17" s="208"/>
      <c r="F17" s="200"/>
      <c r="G17" s="186">
        <f t="shared" si="1"/>
        <v>0</v>
      </c>
      <c r="H17" s="186">
        <f t="shared" si="2"/>
        <v>0</v>
      </c>
      <c r="I17" s="171">
        <f t="shared" si="3"/>
        <v>0</v>
      </c>
      <c r="J17" s="172"/>
      <c r="L17" s="8" t="str">
        <f>IF(E17="","",ROUND(H17*SUM('PG2'!$E$4:$E$53,'PG3'!$E$4:$E$53)/SUM('PG2'!$J$4:$J$53,'PG3'!$J$4:$J$53),0))</f>
        <v/>
      </c>
      <c r="Q17" s="8">
        <f t="shared" si="4"/>
        <v>1</v>
      </c>
    </row>
    <row r="18" spans="2:17">
      <c r="B18" s="162">
        <f t="shared" si="0"/>
        <v>15</v>
      </c>
      <c r="C18" s="189"/>
      <c r="D18" s="189"/>
      <c r="E18" s="209"/>
      <c r="F18" s="202"/>
      <c r="G18" s="188" t="str">
        <f t="shared" si="1"/>
        <v/>
      </c>
      <c r="H18" s="188" t="str">
        <f t="shared" si="2"/>
        <v/>
      </c>
      <c r="I18" s="174" t="str">
        <f t="shared" si="3"/>
        <v/>
      </c>
      <c r="J18" s="175"/>
      <c r="L18" s="8" t="str">
        <f>IF(E18="","",ROUND(H18*SUM('PG2'!$E$4:$E$53,'PG3'!$E$4:$E$53)/SUM('PG2'!$J$4:$J$53,'PG3'!$J$4:$J$53),0))</f>
        <v/>
      </c>
      <c r="Q18" s="8">
        <f t="shared" si="4"/>
        <v>0</v>
      </c>
    </row>
    <row r="19" spans="2:17">
      <c r="B19" s="160">
        <f t="shared" si="0"/>
        <v>16</v>
      </c>
      <c r="C19" s="190"/>
      <c r="D19" s="190"/>
      <c r="E19" s="208"/>
      <c r="F19" s="200"/>
      <c r="G19" s="186" t="str">
        <f t="shared" si="1"/>
        <v/>
      </c>
      <c r="H19" s="186" t="str">
        <f t="shared" si="2"/>
        <v/>
      </c>
      <c r="I19" s="171" t="str">
        <f t="shared" si="3"/>
        <v/>
      </c>
      <c r="J19" s="172"/>
      <c r="L19" s="8" t="str">
        <f>IF(E19="","",ROUND(H19*SUM('PG2'!$E$4:$E$53,'PG3'!$E$4:$E$53)/SUM('PG2'!$J$4:$J$53,'PG3'!$J$4:$J$53),0))</f>
        <v/>
      </c>
      <c r="Q19" s="8">
        <f t="shared" si="4"/>
        <v>0</v>
      </c>
    </row>
    <row r="20" spans="2:17">
      <c r="B20" s="162">
        <f t="shared" si="0"/>
        <v>17</v>
      </c>
      <c r="C20" s="189"/>
      <c r="D20" s="189"/>
      <c r="E20" s="209"/>
      <c r="F20" s="202"/>
      <c r="G20" s="188" t="str">
        <f t="shared" si="1"/>
        <v/>
      </c>
      <c r="H20" s="188" t="str">
        <f t="shared" si="2"/>
        <v/>
      </c>
      <c r="I20" s="174" t="str">
        <f t="shared" si="3"/>
        <v/>
      </c>
      <c r="J20" s="175"/>
      <c r="L20" s="8" t="str">
        <f>IF(E20="","",ROUND(H20*SUM('PG2'!$E$4:$E$53,'PG3'!$E$4:$E$53)/SUM('PG2'!$J$4:$J$53,'PG3'!$J$4:$J$53),0))</f>
        <v/>
      </c>
      <c r="Q20" s="8">
        <f t="shared" si="4"/>
        <v>0</v>
      </c>
    </row>
    <row r="21" spans="2:17">
      <c r="B21" s="160">
        <f t="shared" si="0"/>
        <v>18</v>
      </c>
      <c r="C21" s="190"/>
      <c r="D21" s="190"/>
      <c r="E21" s="208"/>
      <c r="F21" s="200"/>
      <c r="G21" s="186" t="str">
        <f t="shared" si="1"/>
        <v/>
      </c>
      <c r="H21" s="186" t="str">
        <f t="shared" si="2"/>
        <v/>
      </c>
      <c r="I21" s="171" t="str">
        <f t="shared" si="3"/>
        <v/>
      </c>
      <c r="J21" s="172"/>
      <c r="L21" s="8" t="str">
        <f>IF(E21="","",ROUND(H21*SUM('PG2'!$E$4:$E$53,'PG3'!$E$4:$E$53)/SUM('PG2'!$J$4:$J$53,'PG3'!$J$4:$J$53),0))</f>
        <v/>
      </c>
      <c r="Q21" s="8">
        <f t="shared" si="4"/>
        <v>0</v>
      </c>
    </row>
    <row r="22" spans="2:17">
      <c r="B22" s="162">
        <f t="shared" si="0"/>
        <v>19</v>
      </c>
      <c r="C22" s="191"/>
      <c r="D22" s="191"/>
      <c r="E22" s="209"/>
      <c r="F22" s="202"/>
      <c r="G22" s="188" t="str">
        <f t="shared" si="1"/>
        <v/>
      </c>
      <c r="H22" s="188" t="str">
        <f t="shared" si="2"/>
        <v/>
      </c>
      <c r="I22" s="174" t="str">
        <f t="shared" si="3"/>
        <v/>
      </c>
      <c r="J22" s="175"/>
      <c r="L22" s="8" t="str">
        <f>IF(E22="","",ROUND(H22*SUM('PG2'!$E$4:$E$53,'PG3'!$E$4:$E$53)/SUM('PG2'!$J$4:$J$53,'PG3'!$J$4:$J$53),0))</f>
        <v/>
      </c>
      <c r="Q22" s="8">
        <f t="shared" si="4"/>
        <v>0</v>
      </c>
    </row>
    <row r="23" spans="2:17">
      <c r="B23" s="160">
        <f t="shared" si="0"/>
        <v>20</v>
      </c>
      <c r="C23" s="190"/>
      <c r="D23" s="190"/>
      <c r="E23" s="208"/>
      <c r="F23" s="200"/>
      <c r="G23" s="186" t="str">
        <f t="shared" si="1"/>
        <v/>
      </c>
      <c r="H23" s="186" t="str">
        <f t="shared" si="2"/>
        <v/>
      </c>
      <c r="I23" s="171" t="str">
        <f t="shared" si="3"/>
        <v/>
      </c>
      <c r="J23" s="172"/>
      <c r="L23" s="8" t="str">
        <f>IF(E23="","",ROUND(H23*SUM('PG2'!$E$4:$E$53,'PG3'!$E$4:$E$53)/SUM('PG2'!$J$4:$J$53,'PG3'!$J$4:$J$53),0))</f>
        <v/>
      </c>
      <c r="Q23" s="8">
        <f t="shared" si="4"/>
        <v>0</v>
      </c>
    </row>
    <row r="24" spans="2:17">
      <c r="B24" s="162">
        <f t="shared" si="0"/>
        <v>21</v>
      </c>
      <c r="C24" s="189"/>
      <c r="D24" s="189"/>
      <c r="E24" s="209"/>
      <c r="F24" s="202"/>
      <c r="G24" s="188" t="str">
        <f t="shared" si="1"/>
        <v/>
      </c>
      <c r="H24" s="188" t="str">
        <f t="shared" si="2"/>
        <v/>
      </c>
      <c r="I24" s="174" t="str">
        <f t="shared" si="3"/>
        <v/>
      </c>
      <c r="J24" s="175"/>
      <c r="L24" s="8" t="str">
        <f>IF(E24="","",ROUND(H24*SUM('PG2'!$E$4:$E$53,'PG3'!$E$4:$E$53)/SUM('PG2'!$J$4:$J$53,'PG3'!$J$4:$J$53),0))</f>
        <v/>
      </c>
      <c r="Q24" s="8">
        <f t="shared" si="4"/>
        <v>0</v>
      </c>
    </row>
    <row r="25" spans="2:17">
      <c r="B25" s="160">
        <f t="shared" si="0"/>
        <v>22</v>
      </c>
      <c r="C25" s="190"/>
      <c r="D25" s="190"/>
      <c r="E25" s="208"/>
      <c r="F25" s="200"/>
      <c r="G25" s="186" t="str">
        <f t="shared" si="1"/>
        <v/>
      </c>
      <c r="H25" s="186" t="str">
        <f t="shared" si="2"/>
        <v/>
      </c>
      <c r="I25" s="171" t="str">
        <f t="shared" si="3"/>
        <v/>
      </c>
      <c r="J25" s="172"/>
      <c r="L25" s="8" t="str">
        <f>IF(E25="","",ROUND(H25*SUM('PG2'!$E$4:$E$53,'PG3'!$E$4:$E$53)/SUM('PG2'!$J$4:$J$53,'PG3'!$J$4:$J$53),0))</f>
        <v/>
      </c>
      <c r="Q25" s="8">
        <f t="shared" si="4"/>
        <v>0</v>
      </c>
    </row>
    <row r="26" spans="2:17">
      <c r="B26" s="162">
        <f t="shared" si="0"/>
        <v>23</v>
      </c>
      <c r="C26" s="189"/>
      <c r="D26" s="189"/>
      <c r="E26" s="209"/>
      <c r="F26" s="202"/>
      <c r="G26" s="188" t="str">
        <f t="shared" si="1"/>
        <v/>
      </c>
      <c r="H26" s="188" t="str">
        <f t="shared" si="2"/>
        <v/>
      </c>
      <c r="I26" s="174" t="str">
        <f t="shared" si="3"/>
        <v/>
      </c>
      <c r="J26" s="175"/>
      <c r="L26" s="8" t="str">
        <f>IF(E26="","",ROUND(H26*SUM('PG2'!$E$4:$E$53,'PG3'!$E$4:$E$53)/SUM('PG2'!$J$4:$J$53,'PG3'!$J$4:$J$53),0))</f>
        <v/>
      </c>
      <c r="Q26" s="8">
        <f t="shared" si="4"/>
        <v>0</v>
      </c>
    </row>
    <row r="27" spans="2:17">
      <c r="B27" s="160">
        <f t="shared" si="0"/>
        <v>24</v>
      </c>
      <c r="C27" s="190"/>
      <c r="D27" s="190"/>
      <c r="E27" s="208"/>
      <c r="F27" s="200"/>
      <c r="G27" s="186" t="str">
        <f t="shared" si="1"/>
        <v/>
      </c>
      <c r="H27" s="186" t="str">
        <f t="shared" si="2"/>
        <v/>
      </c>
      <c r="I27" s="171" t="str">
        <f t="shared" si="3"/>
        <v/>
      </c>
      <c r="J27" s="172"/>
      <c r="L27" s="8" t="str">
        <f>IF(E27="","",ROUND(H27*SUM('PG2'!$E$4:$E$53,'PG3'!$E$4:$E$53)/SUM('PG2'!$J$4:$J$53,'PG3'!$J$4:$J$53),0))</f>
        <v/>
      </c>
      <c r="Q27" s="8">
        <f t="shared" si="4"/>
        <v>0</v>
      </c>
    </row>
    <row r="28" spans="2:17">
      <c r="B28" s="162">
        <f t="shared" si="0"/>
        <v>25</v>
      </c>
      <c r="C28" s="189"/>
      <c r="D28" s="189"/>
      <c r="E28" s="209"/>
      <c r="F28" s="202"/>
      <c r="G28" s="188" t="str">
        <f t="shared" si="1"/>
        <v/>
      </c>
      <c r="H28" s="188" t="str">
        <f t="shared" si="2"/>
        <v/>
      </c>
      <c r="I28" s="174" t="str">
        <f t="shared" si="3"/>
        <v/>
      </c>
      <c r="J28" s="175"/>
      <c r="L28" s="8" t="str">
        <f>IF(E28="","",ROUND(H28*SUM('PG2'!$E$4:$E$53,'PG3'!$E$4:$E$53)/SUM('PG2'!$J$4:$J$53,'PG3'!$J$4:$J$53),0))</f>
        <v/>
      </c>
      <c r="Q28" s="8">
        <f t="shared" si="4"/>
        <v>0</v>
      </c>
    </row>
    <row r="29" spans="2:17">
      <c r="B29" s="160">
        <f t="shared" si="0"/>
        <v>26</v>
      </c>
      <c r="C29" s="190"/>
      <c r="D29" s="190"/>
      <c r="E29" s="208"/>
      <c r="F29" s="200"/>
      <c r="G29" s="186" t="str">
        <f t="shared" si="1"/>
        <v/>
      </c>
      <c r="H29" s="186" t="str">
        <f t="shared" si="2"/>
        <v/>
      </c>
      <c r="I29" s="171" t="str">
        <f t="shared" si="3"/>
        <v/>
      </c>
      <c r="J29" s="172"/>
      <c r="L29" s="8" t="str">
        <f>IF(E29="","",ROUND(H29*SUM('PG2'!$E$4:$E$53,'PG3'!$E$4:$E$53)/SUM('PG2'!$J$4:$J$53,'PG3'!$J$4:$J$53),0))</f>
        <v/>
      </c>
      <c r="Q29" s="8">
        <f t="shared" si="4"/>
        <v>0</v>
      </c>
    </row>
    <row r="30" spans="2:17">
      <c r="B30" s="162">
        <f t="shared" si="0"/>
        <v>27</v>
      </c>
      <c r="C30" s="189"/>
      <c r="D30" s="189"/>
      <c r="E30" s="209"/>
      <c r="F30" s="202"/>
      <c r="G30" s="188" t="str">
        <f t="shared" si="1"/>
        <v/>
      </c>
      <c r="H30" s="188" t="str">
        <f t="shared" si="2"/>
        <v/>
      </c>
      <c r="I30" s="174" t="str">
        <f t="shared" si="3"/>
        <v/>
      </c>
      <c r="J30" s="175"/>
      <c r="L30" s="8" t="str">
        <f>IF(E30="","",ROUND(H30*SUM('PG2'!$E$4:$E$53,'PG3'!$E$4:$E$53)/SUM('PG2'!$J$4:$J$53,'PG3'!$J$4:$J$53),0))</f>
        <v/>
      </c>
      <c r="Q30" s="8">
        <f t="shared" si="4"/>
        <v>0</v>
      </c>
    </row>
    <row r="31" spans="2:17">
      <c r="B31" s="160">
        <f t="shared" si="0"/>
        <v>28</v>
      </c>
      <c r="C31" s="190"/>
      <c r="D31" s="190"/>
      <c r="E31" s="208"/>
      <c r="F31" s="200"/>
      <c r="G31" s="186" t="str">
        <f t="shared" si="1"/>
        <v/>
      </c>
      <c r="H31" s="186" t="str">
        <f t="shared" si="2"/>
        <v/>
      </c>
      <c r="I31" s="171" t="str">
        <f t="shared" si="3"/>
        <v/>
      </c>
      <c r="J31" s="172"/>
      <c r="L31" s="8" t="str">
        <f>IF(E31="","",ROUND(H31*SUM('PG2'!$E$4:$E$53,'PG3'!$E$4:$E$53)/SUM('PG2'!$J$4:$J$53,'PG3'!$J$4:$J$53),0))</f>
        <v/>
      </c>
      <c r="Q31" s="8">
        <f t="shared" si="4"/>
        <v>0</v>
      </c>
    </row>
    <row r="32" spans="2:17">
      <c r="B32" s="162">
        <f t="shared" si="0"/>
        <v>29</v>
      </c>
      <c r="C32" s="191"/>
      <c r="D32" s="191"/>
      <c r="E32" s="209"/>
      <c r="F32" s="202"/>
      <c r="G32" s="188" t="str">
        <f t="shared" si="1"/>
        <v/>
      </c>
      <c r="H32" s="188" t="str">
        <f t="shared" si="2"/>
        <v/>
      </c>
      <c r="I32" s="174" t="str">
        <f t="shared" si="3"/>
        <v/>
      </c>
      <c r="J32" s="175"/>
      <c r="L32" s="8" t="str">
        <f>IF(E32="","",ROUND(H32*SUM('PG2'!$E$4:$E$53,'PG3'!$E$4:$E$53)/SUM('PG2'!$J$4:$J$53,'PG3'!$J$4:$J$53),0))</f>
        <v/>
      </c>
      <c r="Q32" s="8">
        <f t="shared" si="4"/>
        <v>0</v>
      </c>
    </row>
    <row r="33" spans="2:17">
      <c r="B33" s="160">
        <f t="shared" si="0"/>
        <v>30</v>
      </c>
      <c r="C33" s="190"/>
      <c r="D33" s="190"/>
      <c r="E33" s="208"/>
      <c r="F33" s="200"/>
      <c r="G33" s="186" t="str">
        <f t="shared" si="1"/>
        <v/>
      </c>
      <c r="H33" s="186" t="str">
        <f t="shared" si="2"/>
        <v/>
      </c>
      <c r="I33" s="171" t="str">
        <f t="shared" si="3"/>
        <v/>
      </c>
      <c r="J33" s="172"/>
      <c r="L33" s="8" t="str">
        <f>IF(E33="","",ROUND(H33*SUM('PG2'!$E$4:$E$53,'PG3'!$E$4:$E$53)/SUM('PG2'!$J$4:$J$53,'PG3'!$J$4:$J$53),0))</f>
        <v/>
      </c>
      <c r="Q33" s="8">
        <f t="shared" si="4"/>
        <v>0</v>
      </c>
    </row>
    <row r="34" spans="2:17">
      <c r="B34" s="162">
        <f t="shared" si="0"/>
        <v>31</v>
      </c>
      <c r="C34" s="189"/>
      <c r="D34" s="189"/>
      <c r="E34" s="209"/>
      <c r="F34" s="202"/>
      <c r="G34" s="188" t="str">
        <f t="shared" si="1"/>
        <v/>
      </c>
      <c r="H34" s="188" t="str">
        <f t="shared" si="2"/>
        <v/>
      </c>
      <c r="I34" s="174" t="str">
        <f t="shared" si="3"/>
        <v/>
      </c>
      <c r="J34" s="175"/>
      <c r="L34" s="8" t="str">
        <f>IF(E34="","",ROUND(H34*SUM('PG2'!$E$4:$E$53,'PG3'!$E$4:$E$53)/SUM('PG2'!$J$4:$J$53,'PG3'!$J$4:$J$53),0))</f>
        <v/>
      </c>
      <c r="Q34" s="8">
        <f t="shared" si="4"/>
        <v>0</v>
      </c>
    </row>
    <row r="35" spans="2:17">
      <c r="B35" s="160">
        <f t="shared" si="0"/>
        <v>32</v>
      </c>
      <c r="C35" s="190"/>
      <c r="D35" s="190"/>
      <c r="E35" s="208"/>
      <c r="F35" s="200"/>
      <c r="G35" s="186" t="str">
        <f t="shared" si="1"/>
        <v/>
      </c>
      <c r="H35" s="186" t="str">
        <f t="shared" si="2"/>
        <v/>
      </c>
      <c r="I35" s="171" t="str">
        <f t="shared" si="3"/>
        <v/>
      </c>
      <c r="J35" s="172"/>
      <c r="L35" s="8" t="str">
        <f>IF(E35="","",ROUND(H35*SUM('PG2'!$E$4:$E$53,'PG3'!$E$4:$E$53)/SUM('PG2'!$J$4:$J$53,'PG3'!$J$4:$J$53),0))</f>
        <v/>
      </c>
      <c r="Q35" s="8">
        <f t="shared" si="4"/>
        <v>0</v>
      </c>
    </row>
    <row r="36" spans="2:17">
      <c r="B36" s="162">
        <f t="shared" ref="B36:B53" si="5">ROW() - 3</f>
        <v>33</v>
      </c>
      <c r="C36" s="189"/>
      <c r="D36" s="189"/>
      <c r="E36" s="209"/>
      <c r="F36" s="202"/>
      <c r="G36" s="188" t="str">
        <f t="shared" ref="G36:G53" si="6">IF(TRIM(D36)="","",IF(F36&lt;&gt;"",F36*E36/PG1_Base*PG1_Unit,1*E36/PG1_Base*PG1_Unit))</f>
        <v/>
      </c>
      <c r="H36" s="188" t="str">
        <f t="shared" ref="H36:H53" si="7">IF(TRIM(C36)="","",CEILING(G36*UnitPoint_Effort_Rate*10/5,1)*5/10)</f>
        <v/>
      </c>
      <c r="I36" s="174" t="str">
        <f t="shared" ref="I36:I53" si="8">IF(TRIM(H36)="","",IF(G36 &gt;= 1,CEILING(H36*Source_Review_Rate*PG1_Review_Complexity*10/5,1)*5/10,H36*Source_Review_Rate*PG1_Review_Complexity))</f>
        <v/>
      </c>
      <c r="J36" s="175"/>
      <c r="L36" s="8" t="str">
        <f>IF(E36="","",ROUND(H36*SUM('PG2'!$E$4:$E$53,'PG3'!$E$4:$E$53)/SUM('PG2'!$J$4:$J$53,'PG3'!$J$4:$J$53),0))</f>
        <v/>
      </c>
      <c r="Q36" s="8">
        <f t="shared" si="4"/>
        <v>0</v>
      </c>
    </row>
    <row r="37" spans="2:17">
      <c r="B37" s="160">
        <f t="shared" si="5"/>
        <v>34</v>
      </c>
      <c r="C37" s="190"/>
      <c r="D37" s="190"/>
      <c r="E37" s="208"/>
      <c r="F37" s="200"/>
      <c r="G37" s="186" t="str">
        <f t="shared" si="6"/>
        <v/>
      </c>
      <c r="H37" s="186" t="str">
        <f t="shared" si="7"/>
        <v/>
      </c>
      <c r="I37" s="171" t="str">
        <f t="shared" si="8"/>
        <v/>
      </c>
      <c r="J37" s="172"/>
      <c r="L37" s="8" t="str">
        <f>IF(E37="","",ROUND(H37*SUM('PG2'!$E$4:$E$53,'PG3'!$E$4:$E$53)/SUM('PG2'!$J$4:$J$53,'PG3'!$J$4:$J$53),0))</f>
        <v/>
      </c>
      <c r="Q37" s="8">
        <f t="shared" si="4"/>
        <v>0</v>
      </c>
    </row>
    <row r="38" spans="2:17">
      <c r="B38" s="162">
        <f t="shared" si="5"/>
        <v>35</v>
      </c>
      <c r="C38" s="189"/>
      <c r="D38" s="189"/>
      <c r="E38" s="209"/>
      <c r="F38" s="202"/>
      <c r="G38" s="188" t="str">
        <f t="shared" si="6"/>
        <v/>
      </c>
      <c r="H38" s="188" t="str">
        <f t="shared" si="7"/>
        <v/>
      </c>
      <c r="I38" s="174" t="str">
        <f t="shared" si="8"/>
        <v/>
      </c>
      <c r="J38" s="175"/>
      <c r="L38" s="8" t="str">
        <f>IF(E38="","",ROUND(H38*SUM('PG2'!$E$4:$E$53,'PG3'!$E$4:$E$53)/SUM('PG2'!$J$4:$J$53,'PG3'!$J$4:$J$53),0))</f>
        <v/>
      </c>
      <c r="Q38" s="8">
        <f t="shared" si="4"/>
        <v>0</v>
      </c>
    </row>
    <row r="39" spans="2:17">
      <c r="B39" s="160">
        <f t="shared" si="5"/>
        <v>36</v>
      </c>
      <c r="C39" s="190"/>
      <c r="D39" s="190"/>
      <c r="E39" s="208"/>
      <c r="F39" s="200"/>
      <c r="G39" s="186" t="str">
        <f t="shared" si="6"/>
        <v/>
      </c>
      <c r="H39" s="186" t="str">
        <f t="shared" si="7"/>
        <v/>
      </c>
      <c r="I39" s="171" t="str">
        <f t="shared" si="8"/>
        <v/>
      </c>
      <c r="J39" s="172"/>
      <c r="L39" s="8" t="str">
        <f>IF(E39="","",ROUND(H39*SUM('PG2'!$E$4:$E$53,'PG3'!$E$4:$E$53)/SUM('PG2'!$J$4:$J$53,'PG3'!$J$4:$J$53),0))</f>
        <v/>
      </c>
      <c r="Q39" s="8">
        <f t="shared" si="4"/>
        <v>0</v>
      </c>
    </row>
    <row r="40" spans="2:17">
      <c r="B40" s="162">
        <f t="shared" si="5"/>
        <v>37</v>
      </c>
      <c r="C40" s="189"/>
      <c r="D40" s="189"/>
      <c r="E40" s="209"/>
      <c r="F40" s="202"/>
      <c r="G40" s="188" t="str">
        <f t="shared" si="6"/>
        <v/>
      </c>
      <c r="H40" s="188" t="str">
        <f t="shared" si="7"/>
        <v/>
      </c>
      <c r="I40" s="174" t="str">
        <f t="shared" si="8"/>
        <v/>
      </c>
      <c r="J40" s="175"/>
      <c r="L40" s="8" t="str">
        <f>IF(E40="","",ROUND(H40*SUM('PG2'!$E$4:$E$53,'PG3'!$E$4:$E$53)/SUM('PG2'!$J$4:$J$53,'PG3'!$J$4:$J$53),0))</f>
        <v/>
      </c>
      <c r="Q40" s="8">
        <f t="shared" si="4"/>
        <v>0</v>
      </c>
    </row>
    <row r="41" spans="2:17">
      <c r="B41" s="160">
        <f t="shared" si="5"/>
        <v>38</v>
      </c>
      <c r="C41" s="190"/>
      <c r="D41" s="190"/>
      <c r="E41" s="208"/>
      <c r="F41" s="200"/>
      <c r="G41" s="186" t="str">
        <f t="shared" si="6"/>
        <v/>
      </c>
      <c r="H41" s="186" t="str">
        <f t="shared" si="7"/>
        <v/>
      </c>
      <c r="I41" s="171" t="str">
        <f t="shared" si="8"/>
        <v/>
      </c>
      <c r="J41" s="172"/>
      <c r="L41" s="8" t="str">
        <f>IF(E41="","",ROUND(H41*SUM('PG2'!$E$4:$E$53,'PG3'!$E$4:$E$53)/SUM('PG2'!$J$4:$J$53,'PG3'!$J$4:$J$53),0))</f>
        <v/>
      </c>
      <c r="Q41" s="8">
        <f t="shared" si="4"/>
        <v>0</v>
      </c>
    </row>
    <row r="42" spans="2:17">
      <c r="B42" s="162">
        <f t="shared" si="5"/>
        <v>39</v>
      </c>
      <c r="C42" s="191"/>
      <c r="D42" s="191"/>
      <c r="E42" s="209"/>
      <c r="F42" s="202"/>
      <c r="G42" s="188" t="str">
        <f t="shared" si="6"/>
        <v/>
      </c>
      <c r="H42" s="188" t="str">
        <f t="shared" si="7"/>
        <v/>
      </c>
      <c r="I42" s="174" t="str">
        <f t="shared" si="8"/>
        <v/>
      </c>
      <c r="J42" s="175"/>
      <c r="L42" s="8" t="str">
        <f>IF(E42="","",ROUND(H42*SUM('PG2'!$E$4:$E$53,'PG3'!$E$4:$E$53)/SUM('PG2'!$J$4:$J$53,'PG3'!$J$4:$J$53),0))</f>
        <v/>
      </c>
      <c r="Q42" s="8">
        <f t="shared" si="4"/>
        <v>0</v>
      </c>
    </row>
    <row r="43" spans="2:17">
      <c r="B43" s="160">
        <f t="shared" si="5"/>
        <v>40</v>
      </c>
      <c r="C43" s="190"/>
      <c r="D43" s="190"/>
      <c r="E43" s="208"/>
      <c r="F43" s="200"/>
      <c r="G43" s="186" t="str">
        <f t="shared" si="6"/>
        <v/>
      </c>
      <c r="H43" s="186" t="str">
        <f t="shared" si="7"/>
        <v/>
      </c>
      <c r="I43" s="171" t="str">
        <f t="shared" si="8"/>
        <v/>
      </c>
      <c r="J43" s="172"/>
      <c r="L43" s="8" t="str">
        <f>IF(E43="","",ROUND(H43*SUM('PG2'!$E$4:$E$53,'PG3'!$E$4:$E$53)/SUM('PG2'!$J$4:$J$53,'PG3'!$J$4:$J$53),0))</f>
        <v/>
      </c>
      <c r="Q43" s="8">
        <f t="shared" si="4"/>
        <v>0</v>
      </c>
    </row>
    <row r="44" spans="2:17">
      <c r="B44" s="162">
        <f t="shared" si="5"/>
        <v>41</v>
      </c>
      <c r="C44" s="189"/>
      <c r="D44" s="189"/>
      <c r="E44" s="209"/>
      <c r="F44" s="202"/>
      <c r="G44" s="188" t="str">
        <f t="shared" si="6"/>
        <v/>
      </c>
      <c r="H44" s="188" t="str">
        <f t="shared" si="7"/>
        <v/>
      </c>
      <c r="I44" s="174" t="str">
        <f t="shared" si="8"/>
        <v/>
      </c>
      <c r="J44" s="175"/>
      <c r="L44" s="8" t="str">
        <f>IF(E44="","",ROUND(H44*SUM('PG2'!$E$4:$E$53,'PG3'!$E$4:$E$53)/SUM('PG2'!$J$4:$J$53,'PG3'!$J$4:$J$53),0))</f>
        <v/>
      </c>
      <c r="Q44" s="8">
        <f t="shared" si="4"/>
        <v>0</v>
      </c>
    </row>
    <row r="45" spans="2:17">
      <c r="B45" s="160">
        <f t="shared" si="5"/>
        <v>42</v>
      </c>
      <c r="C45" s="190"/>
      <c r="D45" s="190"/>
      <c r="E45" s="208"/>
      <c r="F45" s="200"/>
      <c r="G45" s="186" t="str">
        <f t="shared" si="6"/>
        <v/>
      </c>
      <c r="H45" s="186" t="str">
        <f t="shared" si="7"/>
        <v/>
      </c>
      <c r="I45" s="171" t="str">
        <f t="shared" si="8"/>
        <v/>
      </c>
      <c r="J45" s="172"/>
      <c r="L45" s="8" t="str">
        <f>IF(E45="","",ROUND(H45*SUM('PG2'!$E$4:$E$53,'PG3'!$E$4:$E$53)/SUM('PG2'!$J$4:$J$53,'PG3'!$J$4:$J$53),0))</f>
        <v/>
      </c>
      <c r="Q45" s="8">
        <f t="shared" si="4"/>
        <v>0</v>
      </c>
    </row>
    <row r="46" spans="2:17">
      <c r="B46" s="162">
        <f t="shared" si="5"/>
        <v>43</v>
      </c>
      <c r="C46" s="189"/>
      <c r="D46" s="189"/>
      <c r="E46" s="209"/>
      <c r="F46" s="202"/>
      <c r="G46" s="188" t="str">
        <f t="shared" si="6"/>
        <v/>
      </c>
      <c r="H46" s="188" t="str">
        <f t="shared" si="7"/>
        <v/>
      </c>
      <c r="I46" s="174" t="str">
        <f t="shared" si="8"/>
        <v/>
      </c>
      <c r="J46" s="175"/>
      <c r="L46" s="8" t="str">
        <f>IF(E46="","",ROUND(H46*SUM('PG2'!$E$4:$E$53,'PG3'!$E$4:$E$53)/SUM('PG2'!$J$4:$J$53,'PG3'!$J$4:$J$53),0))</f>
        <v/>
      </c>
      <c r="Q46" s="8">
        <f t="shared" si="4"/>
        <v>0</v>
      </c>
    </row>
    <row r="47" spans="2:17">
      <c r="B47" s="160">
        <f t="shared" si="5"/>
        <v>44</v>
      </c>
      <c r="C47" s="190"/>
      <c r="D47" s="190"/>
      <c r="E47" s="208"/>
      <c r="F47" s="200"/>
      <c r="G47" s="186" t="str">
        <f t="shared" si="6"/>
        <v/>
      </c>
      <c r="H47" s="186" t="str">
        <f t="shared" si="7"/>
        <v/>
      </c>
      <c r="I47" s="171" t="str">
        <f t="shared" si="8"/>
        <v/>
      </c>
      <c r="J47" s="172"/>
      <c r="L47" s="8" t="str">
        <f>IF(E47="","",ROUND(H47*SUM('PG2'!$E$4:$E$53,'PG3'!$E$4:$E$53)/SUM('PG2'!$J$4:$J$53,'PG3'!$J$4:$J$53),0))</f>
        <v/>
      </c>
      <c r="Q47" s="8">
        <f t="shared" si="4"/>
        <v>0</v>
      </c>
    </row>
    <row r="48" spans="2:17">
      <c r="B48" s="162">
        <f t="shared" si="5"/>
        <v>45</v>
      </c>
      <c r="C48" s="189"/>
      <c r="D48" s="189"/>
      <c r="E48" s="209"/>
      <c r="F48" s="202"/>
      <c r="G48" s="188" t="str">
        <f t="shared" si="6"/>
        <v/>
      </c>
      <c r="H48" s="188" t="str">
        <f t="shared" si="7"/>
        <v/>
      </c>
      <c r="I48" s="174" t="str">
        <f t="shared" si="8"/>
        <v/>
      </c>
      <c r="J48" s="175"/>
      <c r="L48" s="8" t="str">
        <f>IF(E48="","",ROUND(H48*SUM('PG2'!$E$4:$E$53,'PG3'!$E$4:$E$53)/SUM('PG2'!$J$4:$J$53,'PG3'!$J$4:$J$53),0))</f>
        <v/>
      </c>
      <c r="Q48" s="8">
        <f t="shared" si="4"/>
        <v>0</v>
      </c>
    </row>
    <row r="49" spans="2:17">
      <c r="B49" s="160">
        <f t="shared" si="5"/>
        <v>46</v>
      </c>
      <c r="C49" s="190"/>
      <c r="D49" s="190"/>
      <c r="E49" s="208"/>
      <c r="F49" s="200"/>
      <c r="G49" s="186" t="str">
        <f t="shared" si="6"/>
        <v/>
      </c>
      <c r="H49" s="186" t="str">
        <f t="shared" si="7"/>
        <v/>
      </c>
      <c r="I49" s="171" t="str">
        <f t="shared" si="8"/>
        <v/>
      </c>
      <c r="J49" s="172"/>
      <c r="L49" s="8" t="str">
        <f>IF(E49="","",ROUND(H49*SUM('PG2'!$E$4:$E$53,'PG3'!$E$4:$E$53)/SUM('PG2'!$J$4:$J$53,'PG3'!$J$4:$J$53),0))</f>
        <v/>
      </c>
      <c r="Q49" s="8">
        <f t="shared" si="4"/>
        <v>0</v>
      </c>
    </row>
    <row r="50" spans="2:17">
      <c r="B50" s="162">
        <f t="shared" si="5"/>
        <v>47</v>
      </c>
      <c r="C50" s="189"/>
      <c r="D50" s="189"/>
      <c r="E50" s="209"/>
      <c r="F50" s="202"/>
      <c r="G50" s="188" t="str">
        <f t="shared" si="6"/>
        <v/>
      </c>
      <c r="H50" s="188" t="str">
        <f t="shared" si="7"/>
        <v/>
      </c>
      <c r="I50" s="174" t="str">
        <f t="shared" si="8"/>
        <v/>
      </c>
      <c r="J50" s="175"/>
      <c r="L50" s="8" t="str">
        <f>IF(E50="","",ROUND(H50*SUM('PG2'!$E$4:$E$53,'PG3'!$E$4:$E$53)/SUM('PG2'!$J$4:$J$53,'PG3'!$J$4:$J$53),0))</f>
        <v/>
      </c>
      <c r="Q50" s="8">
        <f t="shared" si="4"/>
        <v>0</v>
      </c>
    </row>
    <row r="51" spans="2:17">
      <c r="B51" s="160">
        <f t="shared" si="5"/>
        <v>48</v>
      </c>
      <c r="C51" s="190"/>
      <c r="D51" s="190"/>
      <c r="E51" s="208"/>
      <c r="F51" s="200"/>
      <c r="G51" s="186" t="str">
        <f t="shared" si="6"/>
        <v/>
      </c>
      <c r="H51" s="186" t="str">
        <f t="shared" si="7"/>
        <v/>
      </c>
      <c r="I51" s="171" t="str">
        <f t="shared" si="8"/>
        <v/>
      </c>
      <c r="J51" s="172"/>
      <c r="L51" s="8" t="str">
        <f>IF(E51="","",ROUND(H51*SUM('PG2'!$E$4:$E$53,'PG3'!$E$4:$E$53)/SUM('PG2'!$J$4:$J$53,'PG3'!$J$4:$J$53),0))</f>
        <v/>
      </c>
      <c r="Q51" s="8">
        <f t="shared" si="4"/>
        <v>0</v>
      </c>
    </row>
    <row r="52" spans="2:17">
      <c r="B52" s="162">
        <f t="shared" si="5"/>
        <v>49</v>
      </c>
      <c r="C52" s="191"/>
      <c r="D52" s="191"/>
      <c r="E52" s="209"/>
      <c r="F52" s="202"/>
      <c r="G52" s="188" t="str">
        <f t="shared" si="6"/>
        <v/>
      </c>
      <c r="H52" s="188" t="str">
        <f t="shared" si="7"/>
        <v/>
      </c>
      <c r="I52" s="174" t="str">
        <f t="shared" si="8"/>
        <v/>
      </c>
      <c r="J52" s="175"/>
      <c r="L52" s="8" t="str">
        <f>IF(E52="","",ROUND(H52*SUM('PG2'!$E$4:$E$53,'PG3'!$E$4:$E$53)/SUM('PG2'!$J$4:$J$53,'PG3'!$J$4:$J$53),0))</f>
        <v/>
      </c>
      <c r="Q52" s="8">
        <f t="shared" si="4"/>
        <v>0</v>
      </c>
    </row>
    <row r="53" spans="2:17" ht="15.75" thickBot="1">
      <c r="B53" s="192">
        <f t="shared" si="5"/>
        <v>50</v>
      </c>
      <c r="C53" s="193"/>
      <c r="D53" s="193"/>
      <c r="E53" s="210"/>
      <c r="F53" s="206"/>
      <c r="G53" s="195" t="str">
        <f t="shared" si="6"/>
        <v/>
      </c>
      <c r="H53" s="195" t="str">
        <f t="shared" si="7"/>
        <v/>
      </c>
      <c r="I53" s="179" t="str">
        <f t="shared" si="8"/>
        <v/>
      </c>
      <c r="J53" s="180"/>
      <c r="L53" s="8" t="str">
        <f>IF(E53="","",ROUND(H53*SUM('PG2'!$E$4:$E$53,'PG3'!$E$4:$E$53)/SUM('PG2'!$J$4:$J$53,'PG3'!$J$4:$J$53),0))</f>
        <v/>
      </c>
      <c r="Q53" s="8">
        <f t="shared" si="4"/>
        <v>0</v>
      </c>
    </row>
  </sheetData>
  <protectedRanges>
    <protectedRange sqref="J4:J53" name="Range2"/>
    <protectedRange sqref="C4:E53" name="Range1"/>
    <protectedRange sqref="F4:F53" name="Range1_1_1"/>
  </protectedRanges>
  <mergeCells count="2">
    <mergeCell ref="F2:H2"/>
    <mergeCell ref="B1:J1"/>
  </mergeCells>
  <phoneticPr fontId="3"/>
  <conditionalFormatting sqref="J4:J53 B4:F53">
    <cfRule type="expression" dxfId="14" priority="1" stopIfTrue="1">
      <formula>$Q4&gt;1</formula>
    </cfRule>
    <cfRule type="expression" dxfId="13" priority="3" stopIfTrue="1">
      <formula>MOD(ROW(),2)=0</formula>
    </cfRule>
    <cfRule type="expression" dxfId="12" priority="4" stopIfTrue="1">
      <formula>MOD(ROW(),2)=1</formula>
    </cfRule>
  </conditionalFormatting>
  <conditionalFormatting sqref="G4:I53">
    <cfRule type="expression" dxfId="11" priority="5" stopIfTrue="1">
      <formula>MOD(ROW(),2)=0</formula>
    </cfRule>
    <cfRule type="expression" dxfId="10" priority="6" stopIfTrue="1">
      <formula>MOD(ROW(),2)=1</formula>
    </cfRule>
  </conditionalFormatting>
  <dataValidations count="1">
    <dataValidation showInputMessage="1" showErrorMessage="1" sqref="E4:F53"/>
  </dataValidations>
  <printOptions horizontalCentered="1"/>
  <pageMargins left="0.59055118110236227" right="0.39370078740157483" top="0.39370078740157483" bottom="0.39370078740157483" header="0.51181102362204722" footer="0.51181102362204722"/>
  <pageSetup paperSize="9" orientation="landscape" r:id="rId1"/>
  <headerFooter alignWithMargins="0"/>
  <legacyDrawing r:id="rId2"/>
</worksheet>
</file>

<file path=xl/worksheets/sheet15.xml><?xml version="1.0" encoding="utf-8"?>
<worksheet xmlns="http://schemas.openxmlformats.org/spreadsheetml/2006/main" xmlns:r="http://schemas.openxmlformats.org/officeDocument/2006/relationships">
  <sheetPr codeName="Sheet14">
    <tabColor theme="0" tint="-0.499984740745262"/>
  </sheetPr>
  <dimension ref="A1:Q53"/>
  <sheetViews>
    <sheetView view="pageBreakPreview" zoomScale="85" zoomScaleNormal="100" workbookViewId="0">
      <pane xSplit="4" ySplit="3" topLeftCell="E4" activePane="bottomRight" state="frozen"/>
      <selection activeCell="J6" sqref="J6"/>
      <selection pane="topRight" activeCell="J6" sqref="J6"/>
      <selection pane="bottomLeft" activeCell="J6" sqref="J6"/>
      <selection pane="bottomRight" activeCell="J6" sqref="J6"/>
    </sheetView>
  </sheetViews>
  <sheetFormatPr defaultRowHeight="15"/>
  <cols>
    <col min="1" max="1" width="1.625" style="8" customWidth="1"/>
    <col min="2" max="2" width="3.875" style="8" bestFit="1" customWidth="1"/>
    <col min="3" max="4" width="30.625" style="8" customWidth="1"/>
    <col min="5" max="5" width="13.875" style="8" customWidth="1"/>
    <col min="6" max="6" width="12.125" style="8" customWidth="1"/>
    <col min="7" max="7" width="10" style="8" bestFit="1" customWidth="1"/>
    <col min="8" max="8" width="12.25" style="8" customWidth="1"/>
    <col min="9" max="9" width="7.25" style="26" hidden="1" customWidth="1"/>
    <col min="10" max="11" width="7.25" style="27" customWidth="1"/>
    <col min="12" max="12" width="31.875" style="8" customWidth="1"/>
    <col min="13" max="13" width="1.625" style="8" customWidth="1"/>
    <col min="14" max="16384" width="9" style="8"/>
  </cols>
  <sheetData>
    <row r="1" spans="1:17">
      <c r="B1" s="619" t="s">
        <v>194</v>
      </c>
      <c r="C1" s="619"/>
      <c r="D1" s="619"/>
      <c r="E1" s="619"/>
      <c r="F1" s="619"/>
      <c r="G1" s="619"/>
      <c r="H1" s="619"/>
      <c r="I1" s="619"/>
      <c r="J1" s="619"/>
      <c r="K1" s="619"/>
      <c r="L1" s="619"/>
    </row>
    <row r="2" spans="1:17" ht="15.75" thickBot="1">
      <c r="C2" s="65" t="s">
        <v>130</v>
      </c>
      <c r="D2" s="95"/>
      <c r="E2" s="259"/>
      <c r="F2" s="147"/>
      <c r="G2" s="620" t="s">
        <v>209</v>
      </c>
      <c r="H2" s="620"/>
      <c r="I2" s="620"/>
      <c r="J2" s="620"/>
      <c r="K2" s="383">
        <f>Legend!F24</f>
        <v>1</v>
      </c>
    </row>
    <row r="3" spans="1:17" ht="26.25" thickBot="1">
      <c r="B3" s="10" t="s">
        <v>1</v>
      </c>
      <c r="C3" s="11" t="s">
        <v>2</v>
      </c>
      <c r="D3" s="11" t="s">
        <v>152</v>
      </c>
      <c r="E3" s="133" t="s">
        <v>211</v>
      </c>
      <c r="F3" s="134" t="s">
        <v>381</v>
      </c>
      <c r="G3" s="17" t="s">
        <v>208</v>
      </c>
      <c r="H3" s="17" t="s">
        <v>224</v>
      </c>
      <c r="I3" s="146" t="s">
        <v>206</v>
      </c>
      <c r="J3" s="28" t="s">
        <v>12</v>
      </c>
      <c r="K3" s="29" t="s">
        <v>100</v>
      </c>
      <c r="L3" s="13" t="s">
        <v>3</v>
      </c>
      <c r="Q3" s="8" t="s">
        <v>349</v>
      </c>
    </row>
    <row r="4" spans="1:17">
      <c r="A4" s="140"/>
      <c r="B4" s="157">
        <f t="shared" ref="B4:B35" si="0">ROW() - 3</f>
        <v>1</v>
      </c>
      <c r="C4" s="196" t="s">
        <v>56</v>
      </c>
      <c r="D4" s="197" t="s">
        <v>70</v>
      </c>
      <c r="E4" s="211">
        <v>1000</v>
      </c>
      <c r="F4" s="212"/>
      <c r="G4" s="198">
        <v>1</v>
      </c>
      <c r="H4" s="198">
        <v>1</v>
      </c>
      <c r="I4" s="184">
        <f t="shared" ref="I4:I35" si="1">IF(TRIM(D4)="","",IF(G4&lt;&gt;"",G4*E4/PG2_Base*H4*PG2_Unit,1*E4/PG2_Base*H4*PG2_Unit))</f>
        <v>13.333333333333334</v>
      </c>
      <c r="J4" s="184">
        <f t="shared" ref="J4:J35" si="2">IF(TRIM(C4)="","",CEILING(I4*UnitPoint_Effort_Rate*10/5,1)*5/10)</f>
        <v>27</v>
      </c>
      <c r="K4" s="167">
        <f t="shared" ref="K4:K35" si="3">IF(TRIM(J4)="","",IF(I4 &gt;= 1,CEILING(J4*Source_Review_Rate*PG2_Review_Complexity*10/5,1)*5/10,J4*Source_Review_Rate*PG2_Review_Complexity))</f>
        <v>5.5</v>
      </c>
      <c r="L4" s="168"/>
      <c r="Q4" s="8">
        <f>COUNTIF($D$4:$D$53,D4)</f>
        <v>1</v>
      </c>
    </row>
    <row r="5" spans="1:17">
      <c r="A5" s="140"/>
      <c r="B5" s="160">
        <f t="shared" si="0"/>
        <v>2</v>
      </c>
      <c r="C5" s="190" t="s">
        <v>56</v>
      </c>
      <c r="D5" s="199" t="s">
        <v>72</v>
      </c>
      <c r="E5" s="213"/>
      <c r="F5" s="214"/>
      <c r="G5" s="200"/>
      <c r="H5" s="200"/>
      <c r="I5" s="186">
        <f t="shared" si="1"/>
        <v>0</v>
      </c>
      <c r="J5" s="186">
        <f t="shared" si="2"/>
        <v>0</v>
      </c>
      <c r="K5" s="171">
        <f t="shared" si="3"/>
        <v>0</v>
      </c>
      <c r="L5" s="172"/>
      <c r="Q5" s="8">
        <f t="shared" ref="Q5:Q53" si="4">COUNTIF($D$4:$D$53,D5)</f>
        <v>1</v>
      </c>
    </row>
    <row r="6" spans="1:17">
      <c r="A6" s="140"/>
      <c r="B6" s="162">
        <f t="shared" si="0"/>
        <v>3</v>
      </c>
      <c r="C6" s="189" t="s">
        <v>58</v>
      </c>
      <c r="D6" s="201" t="s">
        <v>74</v>
      </c>
      <c r="E6" s="215"/>
      <c r="F6" s="216"/>
      <c r="G6" s="202"/>
      <c r="H6" s="202"/>
      <c r="I6" s="188">
        <f t="shared" si="1"/>
        <v>0</v>
      </c>
      <c r="J6" s="188">
        <f t="shared" si="2"/>
        <v>0</v>
      </c>
      <c r="K6" s="174">
        <f t="shared" si="3"/>
        <v>0</v>
      </c>
      <c r="L6" s="175"/>
      <c r="Q6" s="8">
        <f t="shared" si="4"/>
        <v>1</v>
      </c>
    </row>
    <row r="7" spans="1:17">
      <c r="A7" s="140"/>
      <c r="B7" s="160">
        <f t="shared" si="0"/>
        <v>4</v>
      </c>
      <c r="C7" s="190" t="s">
        <v>58</v>
      </c>
      <c r="D7" s="199" t="s">
        <v>76</v>
      </c>
      <c r="E7" s="213"/>
      <c r="F7" s="214"/>
      <c r="G7" s="200"/>
      <c r="H7" s="200"/>
      <c r="I7" s="186">
        <f t="shared" si="1"/>
        <v>0</v>
      </c>
      <c r="J7" s="186">
        <f t="shared" si="2"/>
        <v>0</v>
      </c>
      <c r="K7" s="171">
        <f t="shared" si="3"/>
        <v>0</v>
      </c>
      <c r="L7" s="172"/>
      <c r="Q7" s="8">
        <f t="shared" si="4"/>
        <v>1</v>
      </c>
    </row>
    <row r="8" spans="1:17">
      <c r="B8" s="162">
        <f t="shared" si="0"/>
        <v>5</v>
      </c>
      <c r="C8" s="163" t="s">
        <v>60</v>
      </c>
      <c r="D8" s="201" t="s">
        <v>78</v>
      </c>
      <c r="E8" s="215"/>
      <c r="F8" s="216"/>
      <c r="G8" s="202"/>
      <c r="H8" s="202"/>
      <c r="I8" s="188">
        <f t="shared" si="1"/>
        <v>0</v>
      </c>
      <c r="J8" s="188">
        <f t="shared" si="2"/>
        <v>0</v>
      </c>
      <c r="K8" s="174">
        <f t="shared" si="3"/>
        <v>0</v>
      </c>
      <c r="L8" s="175"/>
      <c r="Q8" s="8">
        <f t="shared" si="4"/>
        <v>1</v>
      </c>
    </row>
    <row r="9" spans="1:17">
      <c r="B9" s="160">
        <f t="shared" si="0"/>
        <v>6</v>
      </c>
      <c r="C9" s="190" t="s">
        <v>60</v>
      </c>
      <c r="D9" s="203" t="s">
        <v>80</v>
      </c>
      <c r="E9" s="213"/>
      <c r="F9" s="214"/>
      <c r="G9" s="200"/>
      <c r="H9" s="200"/>
      <c r="I9" s="186">
        <f t="shared" si="1"/>
        <v>0</v>
      </c>
      <c r="J9" s="186">
        <f t="shared" si="2"/>
        <v>0</v>
      </c>
      <c r="K9" s="171">
        <f t="shared" si="3"/>
        <v>0</v>
      </c>
      <c r="L9" s="172"/>
      <c r="Q9" s="8">
        <f t="shared" si="4"/>
        <v>1</v>
      </c>
    </row>
    <row r="10" spans="1:17">
      <c r="B10" s="162">
        <f t="shared" si="0"/>
        <v>7</v>
      </c>
      <c r="C10" s="189" t="s">
        <v>62</v>
      </c>
      <c r="D10" s="201" t="s">
        <v>82</v>
      </c>
      <c r="E10" s="215"/>
      <c r="F10" s="216"/>
      <c r="G10" s="202"/>
      <c r="H10" s="202"/>
      <c r="I10" s="188">
        <f t="shared" si="1"/>
        <v>0</v>
      </c>
      <c r="J10" s="188">
        <f t="shared" si="2"/>
        <v>0</v>
      </c>
      <c r="K10" s="174">
        <f t="shared" si="3"/>
        <v>0</v>
      </c>
      <c r="L10" s="175"/>
      <c r="Q10" s="8">
        <f t="shared" si="4"/>
        <v>1</v>
      </c>
    </row>
    <row r="11" spans="1:17">
      <c r="B11" s="160">
        <f t="shared" si="0"/>
        <v>8</v>
      </c>
      <c r="C11" s="190" t="s">
        <v>62</v>
      </c>
      <c r="D11" s="199" t="s">
        <v>84</v>
      </c>
      <c r="E11" s="213"/>
      <c r="F11" s="214"/>
      <c r="G11" s="200"/>
      <c r="H11" s="200"/>
      <c r="I11" s="186">
        <f t="shared" si="1"/>
        <v>0</v>
      </c>
      <c r="J11" s="186">
        <f t="shared" si="2"/>
        <v>0</v>
      </c>
      <c r="K11" s="171">
        <f t="shared" si="3"/>
        <v>0</v>
      </c>
      <c r="L11" s="172"/>
      <c r="Q11" s="8">
        <f t="shared" si="4"/>
        <v>1</v>
      </c>
    </row>
    <row r="12" spans="1:17">
      <c r="B12" s="162">
        <f t="shared" si="0"/>
        <v>9</v>
      </c>
      <c r="C12" s="191" t="s">
        <v>64</v>
      </c>
      <c r="D12" s="204" t="s">
        <v>86</v>
      </c>
      <c r="E12" s="215"/>
      <c r="F12" s="216"/>
      <c r="G12" s="202"/>
      <c r="H12" s="202"/>
      <c r="I12" s="188">
        <f t="shared" si="1"/>
        <v>0</v>
      </c>
      <c r="J12" s="188">
        <f t="shared" si="2"/>
        <v>0</v>
      </c>
      <c r="K12" s="174">
        <f t="shared" si="3"/>
        <v>0</v>
      </c>
      <c r="L12" s="175"/>
      <c r="Q12" s="8">
        <f t="shared" si="4"/>
        <v>1</v>
      </c>
    </row>
    <row r="13" spans="1:17">
      <c r="B13" s="160">
        <f t="shared" si="0"/>
        <v>10</v>
      </c>
      <c r="C13" s="190" t="s">
        <v>64</v>
      </c>
      <c r="D13" s="199" t="s">
        <v>88</v>
      </c>
      <c r="E13" s="213"/>
      <c r="F13" s="214"/>
      <c r="G13" s="200"/>
      <c r="H13" s="200"/>
      <c r="I13" s="186">
        <f t="shared" si="1"/>
        <v>0</v>
      </c>
      <c r="J13" s="186">
        <f t="shared" si="2"/>
        <v>0</v>
      </c>
      <c r="K13" s="171">
        <f t="shared" si="3"/>
        <v>0</v>
      </c>
      <c r="L13" s="172"/>
      <c r="Q13" s="8">
        <f t="shared" si="4"/>
        <v>1</v>
      </c>
    </row>
    <row r="14" spans="1:17">
      <c r="B14" s="162">
        <f t="shared" si="0"/>
        <v>11</v>
      </c>
      <c r="C14" s="189" t="s">
        <v>66</v>
      </c>
      <c r="D14" s="201" t="s">
        <v>90</v>
      </c>
      <c r="E14" s="215"/>
      <c r="F14" s="216"/>
      <c r="G14" s="202"/>
      <c r="H14" s="202"/>
      <c r="I14" s="188">
        <f t="shared" si="1"/>
        <v>0</v>
      </c>
      <c r="J14" s="188">
        <f t="shared" si="2"/>
        <v>0</v>
      </c>
      <c r="K14" s="174">
        <f t="shared" si="3"/>
        <v>0</v>
      </c>
      <c r="L14" s="175"/>
      <c r="Q14" s="8">
        <f t="shared" si="4"/>
        <v>1</v>
      </c>
    </row>
    <row r="15" spans="1:17">
      <c r="B15" s="160">
        <f t="shared" si="0"/>
        <v>12</v>
      </c>
      <c r="C15" s="190" t="s">
        <v>66</v>
      </c>
      <c r="D15" s="199" t="s">
        <v>92</v>
      </c>
      <c r="E15" s="213"/>
      <c r="F15" s="214"/>
      <c r="G15" s="200"/>
      <c r="H15" s="200"/>
      <c r="I15" s="186">
        <f t="shared" si="1"/>
        <v>0</v>
      </c>
      <c r="J15" s="186">
        <f t="shared" si="2"/>
        <v>0</v>
      </c>
      <c r="K15" s="171">
        <f t="shared" si="3"/>
        <v>0</v>
      </c>
      <c r="L15" s="172"/>
      <c r="Q15" s="8">
        <f t="shared" si="4"/>
        <v>1</v>
      </c>
    </row>
    <row r="16" spans="1:17">
      <c r="B16" s="162">
        <f t="shared" si="0"/>
        <v>13</v>
      </c>
      <c r="C16" s="189" t="s">
        <v>68</v>
      </c>
      <c r="D16" s="189" t="s">
        <v>106</v>
      </c>
      <c r="E16" s="215"/>
      <c r="F16" s="216"/>
      <c r="G16" s="202"/>
      <c r="H16" s="202"/>
      <c r="I16" s="188">
        <f t="shared" si="1"/>
        <v>0</v>
      </c>
      <c r="J16" s="188">
        <f t="shared" si="2"/>
        <v>0</v>
      </c>
      <c r="K16" s="174">
        <f t="shared" si="3"/>
        <v>0</v>
      </c>
      <c r="L16" s="175"/>
      <c r="Q16" s="8">
        <f t="shared" si="4"/>
        <v>1</v>
      </c>
    </row>
    <row r="17" spans="2:17">
      <c r="B17" s="160">
        <f t="shared" si="0"/>
        <v>14</v>
      </c>
      <c r="C17" s="190" t="s">
        <v>68</v>
      </c>
      <c r="D17" s="190" t="s">
        <v>108</v>
      </c>
      <c r="E17" s="213"/>
      <c r="F17" s="214"/>
      <c r="G17" s="200"/>
      <c r="H17" s="200"/>
      <c r="I17" s="186">
        <f t="shared" si="1"/>
        <v>0</v>
      </c>
      <c r="J17" s="186">
        <f t="shared" si="2"/>
        <v>0</v>
      </c>
      <c r="K17" s="171">
        <f t="shared" si="3"/>
        <v>0</v>
      </c>
      <c r="L17" s="172"/>
      <c r="Q17" s="8">
        <f t="shared" si="4"/>
        <v>1</v>
      </c>
    </row>
    <row r="18" spans="2:17">
      <c r="B18" s="162">
        <f t="shared" si="0"/>
        <v>15</v>
      </c>
      <c r="C18" s="189"/>
      <c r="D18" s="189"/>
      <c r="E18" s="215"/>
      <c r="F18" s="216"/>
      <c r="G18" s="202"/>
      <c r="H18" s="202"/>
      <c r="I18" s="188" t="str">
        <f t="shared" si="1"/>
        <v/>
      </c>
      <c r="J18" s="188" t="str">
        <f t="shared" si="2"/>
        <v/>
      </c>
      <c r="K18" s="174" t="str">
        <f t="shared" si="3"/>
        <v/>
      </c>
      <c r="L18" s="175"/>
      <c r="Q18" s="8">
        <f t="shared" si="4"/>
        <v>0</v>
      </c>
    </row>
    <row r="19" spans="2:17">
      <c r="B19" s="160">
        <f t="shared" si="0"/>
        <v>16</v>
      </c>
      <c r="C19" s="190"/>
      <c r="D19" s="190"/>
      <c r="E19" s="213"/>
      <c r="F19" s="214"/>
      <c r="G19" s="200"/>
      <c r="H19" s="200"/>
      <c r="I19" s="186" t="str">
        <f t="shared" si="1"/>
        <v/>
      </c>
      <c r="J19" s="186" t="str">
        <f t="shared" si="2"/>
        <v/>
      </c>
      <c r="K19" s="171" t="str">
        <f t="shared" si="3"/>
        <v/>
      </c>
      <c r="L19" s="172"/>
      <c r="Q19" s="8">
        <f t="shared" si="4"/>
        <v>0</v>
      </c>
    </row>
    <row r="20" spans="2:17">
      <c r="B20" s="162">
        <f t="shared" si="0"/>
        <v>17</v>
      </c>
      <c r="C20" s="189"/>
      <c r="D20" s="189"/>
      <c r="E20" s="215"/>
      <c r="F20" s="216"/>
      <c r="G20" s="202"/>
      <c r="H20" s="202"/>
      <c r="I20" s="188" t="str">
        <f t="shared" si="1"/>
        <v/>
      </c>
      <c r="J20" s="188" t="str">
        <f t="shared" si="2"/>
        <v/>
      </c>
      <c r="K20" s="174" t="str">
        <f t="shared" si="3"/>
        <v/>
      </c>
      <c r="L20" s="175"/>
      <c r="Q20" s="8">
        <f t="shared" si="4"/>
        <v>0</v>
      </c>
    </row>
    <row r="21" spans="2:17">
      <c r="B21" s="160">
        <f t="shared" si="0"/>
        <v>18</v>
      </c>
      <c r="C21" s="190"/>
      <c r="D21" s="190"/>
      <c r="E21" s="213"/>
      <c r="F21" s="214"/>
      <c r="G21" s="200"/>
      <c r="H21" s="200"/>
      <c r="I21" s="186" t="str">
        <f t="shared" si="1"/>
        <v/>
      </c>
      <c r="J21" s="186" t="str">
        <f t="shared" si="2"/>
        <v/>
      </c>
      <c r="K21" s="171" t="str">
        <f t="shared" si="3"/>
        <v/>
      </c>
      <c r="L21" s="172"/>
      <c r="Q21" s="8">
        <f t="shared" si="4"/>
        <v>0</v>
      </c>
    </row>
    <row r="22" spans="2:17">
      <c r="B22" s="162">
        <f t="shared" si="0"/>
        <v>19</v>
      </c>
      <c r="C22" s="191"/>
      <c r="D22" s="191"/>
      <c r="E22" s="215"/>
      <c r="F22" s="216"/>
      <c r="G22" s="202"/>
      <c r="H22" s="202"/>
      <c r="I22" s="188" t="str">
        <f t="shared" si="1"/>
        <v/>
      </c>
      <c r="J22" s="188" t="str">
        <f t="shared" si="2"/>
        <v/>
      </c>
      <c r="K22" s="174" t="str">
        <f t="shared" si="3"/>
        <v/>
      </c>
      <c r="L22" s="175"/>
      <c r="Q22" s="8">
        <f t="shared" si="4"/>
        <v>0</v>
      </c>
    </row>
    <row r="23" spans="2:17">
      <c r="B23" s="160">
        <f t="shared" si="0"/>
        <v>20</v>
      </c>
      <c r="C23" s="190"/>
      <c r="D23" s="190"/>
      <c r="E23" s="213"/>
      <c r="F23" s="214"/>
      <c r="G23" s="200"/>
      <c r="H23" s="200"/>
      <c r="I23" s="186" t="str">
        <f t="shared" si="1"/>
        <v/>
      </c>
      <c r="J23" s="186" t="str">
        <f t="shared" si="2"/>
        <v/>
      </c>
      <c r="K23" s="171" t="str">
        <f t="shared" si="3"/>
        <v/>
      </c>
      <c r="L23" s="172"/>
      <c r="Q23" s="8">
        <f t="shared" si="4"/>
        <v>0</v>
      </c>
    </row>
    <row r="24" spans="2:17">
      <c r="B24" s="162">
        <f t="shared" si="0"/>
        <v>21</v>
      </c>
      <c r="C24" s="189"/>
      <c r="D24" s="189"/>
      <c r="E24" s="215"/>
      <c r="F24" s="216"/>
      <c r="G24" s="202"/>
      <c r="H24" s="202"/>
      <c r="I24" s="188" t="str">
        <f t="shared" si="1"/>
        <v/>
      </c>
      <c r="J24" s="188" t="str">
        <f t="shared" si="2"/>
        <v/>
      </c>
      <c r="K24" s="174" t="str">
        <f t="shared" si="3"/>
        <v/>
      </c>
      <c r="L24" s="175"/>
      <c r="Q24" s="8">
        <f t="shared" si="4"/>
        <v>0</v>
      </c>
    </row>
    <row r="25" spans="2:17">
      <c r="B25" s="160">
        <f t="shared" si="0"/>
        <v>22</v>
      </c>
      <c r="C25" s="190"/>
      <c r="D25" s="190"/>
      <c r="E25" s="213"/>
      <c r="F25" s="214"/>
      <c r="G25" s="200"/>
      <c r="H25" s="200"/>
      <c r="I25" s="186" t="str">
        <f t="shared" si="1"/>
        <v/>
      </c>
      <c r="J25" s="186" t="str">
        <f t="shared" si="2"/>
        <v/>
      </c>
      <c r="K25" s="171" t="str">
        <f t="shared" si="3"/>
        <v/>
      </c>
      <c r="L25" s="172"/>
      <c r="Q25" s="8">
        <f t="shared" si="4"/>
        <v>0</v>
      </c>
    </row>
    <row r="26" spans="2:17">
      <c r="B26" s="162">
        <f t="shared" si="0"/>
        <v>23</v>
      </c>
      <c r="C26" s="189"/>
      <c r="D26" s="189"/>
      <c r="E26" s="215"/>
      <c r="F26" s="216"/>
      <c r="G26" s="202"/>
      <c r="H26" s="202"/>
      <c r="I26" s="188" t="str">
        <f t="shared" si="1"/>
        <v/>
      </c>
      <c r="J26" s="188" t="str">
        <f t="shared" si="2"/>
        <v/>
      </c>
      <c r="K26" s="174" t="str">
        <f t="shared" si="3"/>
        <v/>
      </c>
      <c r="L26" s="175"/>
      <c r="Q26" s="8">
        <f t="shared" si="4"/>
        <v>0</v>
      </c>
    </row>
    <row r="27" spans="2:17">
      <c r="B27" s="160">
        <f t="shared" si="0"/>
        <v>24</v>
      </c>
      <c r="C27" s="190"/>
      <c r="D27" s="190"/>
      <c r="E27" s="213"/>
      <c r="F27" s="214"/>
      <c r="G27" s="200"/>
      <c r="H27" s="200"/>
      <c r="I27" s="186" t="str">
        <f t="shared" si="1"/>
        <v/>
      </c>
      <c r="J27" s="186" t="str">
        <f t="shared" si="2"/>
        <v/>
      </c>
      <c r="K27" s="171" t="str">
        <f t="shared" si="3"/>
        <v/>
      </c>
      <c r="L27" s="172"/>
      <c r="Q27" s="8">
        <f t="shared" si="4"/>
        <v>0</v>
      </c>
    </row>
    <row r="28" spans="2:17">
      <c r="B28" s="162">
        <f t="shared" si="0"/>
        <v>25</v>
      </c>
      <c r="C28" s="189"/>
      <c r="D28" s="189"/>
      <c r="E28" s="215"/>
      <c r="F28" s="216"/>
      <c r="G28" s="202"/>
      <c r="H28" s="202"/>
      <c r="I28" s="188" t="str">
        <f t="shared" si="1"/>
        <v/>
      </c>
      <c r="J28" s="188" t="str">
        <f t="shared" si="2"/>
        <v/>
      </c>
      <c r="K28" s="174" t="str">
        <f t="shared" si="3"/>
        <v/>
      </c>
      <c r="L28" s="175"/>
      <c r="Q28" s="8">
        <f t="shared" si="4"/>
        <v>0</v>
      </c>
    </row>
    <row r="29" spans="2:17">
      <c r="B29" s="160">
        <f t="shared" si="0"/>
        <v>26</v>
      </c>
      <c r="C29" s="190"/>
      <c r="D29" s="190"/>
      <c r="E29" s="213"/>
      <c r="F29" s="214"/>
      <c r="G29" s="200"/>
      <c r="H29" s="200"/>
      <c r="I29" s="186" t="str">
        <f t="shared" si="1"/>
        <v/>
      </c>
      <c r="J29" s="186" t="str">
        <f t="shared" si="2"/>
        <v/>
      </c>
      <c r="K29" s="171" t="str">
        <f t="shared" si="3"/>
        <v/>
      </c>
      <c r="L29" s="172"/>
      <c r="Q29" s="8">
        <f t="shared" si="4"/>
        <v>0</v>
      </c>
    </row>
    <row r="30" spans="2:17">
      <c r="B30" s="162">
        <f t="shared" si="0"/>
        <v>27</v>
      </c>
      <c r="C30" s="189"/>
      <c r="D30" s="189"/>
      <c r="E30" s="215"/>
      <c r="F30" s="216"/>
      <c r="G30" s="202"/>
      <c r="H30" s="202"/>
      <c r="I30" s="188" t="str">
        <f t="shared" si="1"/>
        <v/>
      </c>
      <c r="J30" s="188" t="str">
        <f t="shared" si="2"/>
        <v/>
      </c>
      <c r="K30" s="174" t="str">
        <f t="shared" si="3"/>
        <v/>
      </c>
      <c r="L30" s="175"/>
      <c r="Q30" s="8">
        <f t="shared" si="4"/>
        <v>0</v>
      </c>
    </row>
    <row r="31" spans="2:17">
      <c r="B31" s="160">
        <f t="shared" si="0"/>
        <v>28</v>
      </c>
      <c r="C31" s="190"/>
      <c r="D31" s="190"/>
      <c r="E31" s="213"/>
      <c r="F31" s="214"/>
      <c r="G31" s="200"/>
      <c r="H31" s="200"/>
      <c r="I31" s="186" t="str">
        <f t="shared" si="1"/>
        <v/>
      </c>
      <c r="J31" s="186" t="str">
        <f t="shared" si="2"/>
        <v/>
      </c>
      <c r="K31" s="171" t="str">
        <f t="shared" si="3"/>
        <v/>
      </c>
      <c r="L31" s="172"/>
      <c r="Q31" s="8">
        <f t="shared" si="4"/>
        <v>0</v>
      </c>
    </row>
    <row r="32" spans="2:17">
      <c r="B32" s="162">
        <f t="shared" si="0"/>
        <v>29</v>
      </c>
      <c r="C32" s="191"/>
      <c r="D32" s="191"/>
      <c r="E32" s="215"/>
      <c r="F32" s="216"/>
      <c r="G32" s="202"/>
      <c r="H32" s="202"/>
      <c r="I32" s="188" t="str">
        <f t="shared" si="1"/>
        <v/>
      </c>
      <c r="J32" s="188" t="str">
        <f t="shared" si="2"/>
        <v/>
      </c>
      <c r="K32" s="174" t="str">
        <f t="shared" si="3"/>
        <v/>
      </c>
      <c r="L32" s="175"/>
      <c r="Q32" s="8">
        <f t="shared" si="4"/>
        <v>0</v>
      </c>
    </row>
    <row r="33" spans="2:17">
      <c r="B33" s="160">
        <f t="shared" si="0"/>
        <v>30</v>
      </c>
      <c r="C33" s="190"/>
      <c r="D33" s="190"/>
      <c r="E33" s="213"/>
      <c r="F33" s="214"/>
      <c r="G33" s="200"/>
      <c r="H33" s="200"/>
      <c r="I33" s="186" t="str">
        <f t="shared" si="1"/>
        <v/>
      </c>
      <c r="J33" s="186" t="str">
        <f t="shared" si="2"/>
        <v/>
      </c>
      <c r="K33" s="171" t="str">
        <f t="shared" si="3"/>
        <v/>
      </c>
      <c r="L33" s="172"/>
      <c r="Q33" s="8">
        <f t="shared" si="4"/>
        <v>0</v>
      </c>
    </row>
    <row r="34" spans="2:17">
      <c r="B34" s="162">
        <f t="shared" si="0"/>
        <v>31</v>
      </c>
      <c r="C34" s="189"/>
      <c r="D34" s="189"/>
      <c r="E34" s="215"/>
      <c r="F34" s="216"/>
      <c r="G34" s="202"/>
      <c r="H34" s="202"/>
      <c r="I34" s="188" t="str">
        <f t="shared" si="1"/>
        <v/>
      </c>
      <c r="J34" s="188" t="str">
        <f t="shared" si="2"/>
        <v/>
      </c>
      <c r="K34" s="174" t="str">
        <f t="shared" si="3"/>
        <v/>
      </c>
      <c r="L34" s="175"/>
      <c r="Q34" s="8">
        <f t="shared" si="4"/>
        <v>0</v>
      </c>
    </row>
    <row r="35" spans="2:17">
      <c r="B35" s="160">
        <f t="shared" si="0"/>
        <v>32</v>
      </c>
      <c r="C35" s="190"/>
      <c r="D35" s="190"/>
      <c r="E35" s="213"/>
      <c r="F35" s="214"/>
      <c r="G35" s="200"/>
      <c r="H35" s="200"/>
      <c r="I35" s="186" t="str">
        <f t="shared" si="1"/>
        <v/>
      </c>
      <c r="J35" s="186" t="str">
        <f t="shared" si="2"/>
        <v/>
      </c>
      <c r="K35" s="171" t="str">
        <f t="shared" si="3"/>
        <v/>
      </c>
      <c r="L35" s="172"/>
      <c r="Q35" s="8">
        <f t="shared" si="4"/>
        <v>0</v>
      </c>
    </row>
    <row r="36" spans="2:17">
      <c r="B36" s="162">
        <f t="shared" ref="B36:B53" si="5">ROW() - 3</f>
        <v>33</v>
      </c>
      <c r="C36" s="189"/>
      <c r="D36" s="189"/>
      <c r="E36" s="215"/>
      <c r="F36" s="216"/>
      <c r="G36" s="202"/>
      <c r="H36" s="202"/>
      <c r="I36" s="188" t="str">
        <f t="shared" ref="I36:I53" si="6">IF(TRIM(D36)="","",IF(G36&lt;&gt;"",G36*E36/PG2_Base*H36*PG2_Unit,1*E36/PG2_Base*H36*PG2_Unit))</f>
        <v/>
      </c>
      <c r="J36" s="188" t="str">
        <f t="shared" ref="J36:J53" si="7">IF(TRIM(C36)="","",CEILING(I36*UnitPoint_Effort_Rate*10/5,1)*5/10)</f>
        <v/>
      </c>
      <c r="K36" s="174" t="str">
        <f t="shared" ref="K36:K53" si="8">IF(TRIM(J36)="","",IF(I36 &gt;= 1,CEILING(J36*Source_Review_Rate*PG2_Review_Complexity*10/5,1)*5/10,J36*Source_Review_Rate*PG2_Review_Complexity))</f>
        <v/>
      </c>
      <c r="L36" s="175"/>
      <c r="Q36" s="8">
        <f t="shared" si="4"/>
        <v>0</v>
      </c>
    </row>
    <row r="37" spans="2:17">
      <c r="B37" s="160">
        <f t="shared" si="5"/>
        <v>34</v>
      </c>
      <c r="C37" s="190"/>
      <c r="D37" s="190"/>
      <c r="E37" s="213"/>
      <c r="F37" s="214"/>
      <c r="G37" s="200"/>
      <c r="H37" s="200"/>
      <c r="I37" s="186" t="str">
        <f t="shared" si="6"/>
        <v/>
      </c>
      <c r="J37" s="186" t="str">
        <f t="shared" si="7"/>
        <v/>
      </c>
      <c r="K37" s="171" t="str">
        <f t="shared" si="8"/>
        <v/>
      </c>
      <c r="L37" s="172"/>
      <c r="Q37" s="8">
        <f t="shared" si="4"/>
        <v>0</v>
      </c>
    </row>
    <row r="38" spans="2:17">
      <c r="B38" s="162">
        <f t="shared" si="5"/>
        <v>35</v>
      </c>
      <c r="C38" s="189"/>
      <c r="D38" s="189"/>
      <c r="E38" s="215"/>
      <c r="F38" s="216"/>
      <c r="G38" s="202"/>
      <c r="H38" s="202"/>
      <c r="I38" s="188" t="str">
        <f t="shared" si="6"/>
        <v/>
      </c>
      <c r="J38" s="188" t="str">
        <f t="shared" si="7"/>
        <v/>
      </c>
      <c r="K38" s="174" t="str">
        <f t="shared" si="8"/>
        <v/>
      </c>
      <c r="L38" s="175"/>
      <c r="Q38" s="8">
        <f t="shared" si="4"/>
        <v>0</v>
      </c>
    </row>
    <row r="39" spans="2:17">
      <c r="B39" s="160">
        <f t="shared" si="5"/>
        <v>36</v>
      </c>
      <c r="C39" s="190"/>
      <c r="D39" s="190"/>
      <c r="E39" s="213"/>
      <c r="F39" s="214"/>
      <c r="G39" s="200"/>
      <c r="H39" s="200"/>
      <c r="I39" s="186" t="str">
        <f t="shared" si="6"/>
        <v/>
      </c>
      <c r="J39" s="186" t="str">
        <f t="shared" si="7"/>
        <v/>
      </c>
      <c r="K39" s="171" t="str">
        <f t="shared" si="8"/>
        <v/>
      </c>
      <c r="L39" s="172"/>
      <c r="Q39" s="8">
        <f t="shared" si="4"/>
        <v>0</v>
      </c>
    </row>
    <row r="40" spans="2:17">
      <c r="B40" s="162">
        <f t="shared" si="5"/>
        <v>37</v>
      </c>
      <c r="C40" s="189"/>
      <c r="D40" s="189"/>
      <c r="E40" s="215"/>
      <c r="F40" s="216"/>
      <c r="G40" s="202"/>
      <c r="H40" s="202"/>
      <c r="I40" s="188" t="str">
        <f t="shared" si="6"/>
        <v/>
      </c>
      <c r="J40" s="188" t="str">
        <f t="shared" si="7"/>
        <v/>
      </c>
      <c r="K40" s="174" t="str">
        <f t="shared" si="8"/>
        <v/>
      </c>
      <c r="L40" s="175"/>
      <c r="Q40" s="8">
        <f t="shared" si="4"/>
        <v>0</v>
      </c>
    </row>
    <row r="41" spans="2:17">
      <c r="B41" s="160">
        <f t="shared" si="5"/>
        <v>38</v>
      </c>
      <c r="C41" s="190"/>
      <c r="D41" s="190"/>
      <c r="E41" s="213"/>
      <c r="F41" s="214"/>
      <c r="G41" s="200"/>
      <c r="H41" s="200"/>
      <c r="I41" s="186" t="str">
        <f t="shared" si="6"/>
        <v/>
      </c>
      <c r="J41" s="186" t="str">
        <f t="shared" si="7"/>
        <v/>
      </c>
      <c r="K41" s="171" t="str">
        <f t="shared" si="8"/>
        <v/>
      </c>
      <c r="L41" s="172"/>
      <c r="Q41" s="8">
        <f t="shared" si="4"/>
        <v>0</v>
      </c>
    </row>
    <row r="42" spans="2:17">
      <c r="B42" s="162">
        <f t="shared" si="5"/>
        <v>39</v>
      </c>
      <c r="C42" s="191"/>
      <c r="D42" s="191"/>
      <c r="E42" s="215"/>
      <c r="F42" s="216"/>
      <c r="G42" s="202"/>
      <c r="H42" s="202"/>
      <c r="I42" s="188" t="str">
        <f t="shared" si="6"/>
        <v/>
      </c>
      <c r="J42" s="188" t="str">
        <f t="shared" si="7"/>
        <v/>
      </c>
      <c r="K42" s="174" t="str">
        <f t="shared" si="8"/>
        <v/>
      </c>
      <c r="L42" s="175"/>
      <c r="Q42" s="8">
        <f t="shared" si="4"/>
        <v>0</v>
      </c>
    </row>
    <row r="43" spans="2:17">
      <c r="B43" s="160">
        <f t="shared" si="5"/>
        <v>40</v>
      </c>
      <c r="C43" s="190"/>
      <c r="D43" s="190"/>
      <c r="E43" s="213"/>
      <c r="F43" s="214"/>
      <c r="G43" s="200"/>
      <c r="H43" s="200"/>
      <c r="I43" s="186" t="str">
        <f t="shared" si="6"/>
        <v/>
      </c>
      <c r="J43" s="186" t="str">
        <f t="shared" si="7"/>
        <v/>
      </c>
      <c r="K43" s="171" t="str">
        <f t="shared" si="8"/>
        <v/>
      </c>
      <c r="L43" s="172"/>
      <c r="Q43" s="8">
        <f t="shared" si="4"/>
        <v>0</v>
      </c>
    </row>
    <row r="44" spans="2:17">
      <c r="B44" s="162">
        <f t="shared" si="5"/>
        <v>41</v>
      </c>
      <c r="C44" s="189"/>
      <c r="D44" s="189"/>
      <c r="E44" s="215"/>
      <c r="F44" s="216"/>
      <c r="G44" s="202"/>
      <c r="H44" s="202"/>
      <c r="I44" s="188" t="str">
        <f t="shared" si="6"/>
        <v/>
      </c>
      <c r="J44" s="188" t="str">
        <f t="shared" si="7"/>
        <v/>
      </c>
      <c r="K44" s="174" t="str">
        <f t="shared" si="8"/>
        <v/>
      </c>
      <c r="L44" s="175"/>
      <c r="Q44" s="8">
        <f t="shared" si="4"/>
        <v>0</v>
      </c>
    </row>
    <row r="45" spans="2:17">
      <c r="B45" s="160">
        <f t="shared" si="5"/>
        <v>42</v>
      </c>
      <c r="C45" s="190"/>
      <c r="D45" s="190"/>
      <c r="E45" s="213"/>
      <c r="F45" s="214"/>
      <c r="G45" s="200"/>
      <c r="H45" s="200"/>
      <c r="I45" s="186" t="str">
        <f t="shared" si="6"/>
        <v/>
      </c>
      <c r="J45" s="186" t="str">
        <f t="shared" si="7"/>
        <v/>
      </c>
      <c r="K45" s="171" t="str">
        <f t="shared" si="8"/>
        <v/>
      </c>
      <c r="L45" s="172"/>
      <c r="Q45" s="8">
        <f t="shared" si="4"/>
        <v>0</v>
      </c>
    </row>
    <row r="46" spans="2:17">
      <c r="B46" s="162">
        <f t="shared" si="5"/>
        <v>43</v>
      </c>
      <c r="C46" s="189"/>
      <c r="D46" s="189"/>
      <c r="E46" s="215"/>
      <c r="F46" s="216"/>
      <c r="G46" s="202"/>
      <c r="H46" s="202"/>
      <c r="I46" s="188" t="str">
        <f t="shared" si="6"/>
        <v/>
      </c>
      <c r="J46" s="188" t="str">
        <f t="shared" si="7"/>
        <v/>
      </c>
      <c r="K46" s="174" t="str">
        <f t="shared" si="8"/>
        <v/>
      </c>
      <c r="L46" s="175"/>
      <c r="Q46" s="8">
        <f t="shared" si="4"/>
        <v>0</v>
      </c>
    </row>
    <row r="47" spans="2:17">
      <c r="B47" s="160">
        <f t="shared" si="5"/>
        <v>44</v>
      </c>
      <c r="C47" s="190"/>
      <c r="D47" s="190"/>
      <c r="E47" s="213"/>
      <c r="F47" s="214"/>
      <c r="G47" s="200"/>
      <c r="H47" s="200"/>
      <c r="I47" s="186" t="str">
        <f t="shared" si="6"/>
        <v/>
      </c>
      <c r="J47" s="186" t="str">
        <f t="shared" si="7"/>
        <v/>
      </c>
      <c r="K47" s="171" t="str">
        <f t="shared" si="8"/>
        <v/>
      </c>
      <c r="L47" s="172"/>
      <c r="Q47" s="8">
        <f t="shared" si="4"/>
        <v>0</v>
      </c>
    </row>
    <row r="48" spans="2:17">
      <c r="B48" s="162">
        <f t="shared" si="5"/>
        <v>45</v>
      </c>
      <c r="C48" s="189"/>
      <c r="D48" s="189"/>
      <c r="E48" s="215"/>
      <c r="F48" s="216"/>
      <c r="G48" s="202"/>
      <c r="H48" s="202"/>
      <c r="I48" s="188" t="str">
        <f t="shared" si="6"/>
        <v/>
      </c>
      <c r="J48" s="188" t="str">
        <f t="shared" si="7"/>
        <v/>
      </c>
      <c r="K48" s="174" t="str">
        <f t="shared" si="8"/>
        <v/>
      </c>
      <c r="L48" s="175"/>
      <c r="Q48" s="8">
        <f t="shared" si="4"/>
        <v>0</v>
      </c>
    </row>
    <row r="49" spans="2:17">
      <c r="B49" s="160">
        <f t="shared" si="5"/>
        <v>46</v>
      </c>
      <c r="C49" s="190"/>
      <c r="D49" s="190"/>
      <c r="E49" s="213"/>
      <c r="F49" s="214"/>
      <c r="G49" s="200"/>
      <c r="H49" s="200"/>
      <c r="I49" s="186" t="str">
        <f t="shared" si="6"/>
        <v/>
      </c>
      <c r="J49" s="186" t="str">
        <f t="shared" si="7"/>
        <v/>
      </c>
      <c r="K49" s="171" t="str">
        <f t="shared" si="8"/>
        <v/>
      </c>
      <c r="L49" s="172"/>
      <c r="Q49" s="8">
        <f t="shared" si="4"/>
        <v>0</v>
      </c>
    </row>
    <row r="50" spans="2:17">
      <c r="B50" s="162">
        <f t="shared" si="5"/>
        <v>47</v>
      </c>
      <c r="C50" s="189"/>
      <c r="D50" s="189"/>
      <c r="E50" s="215"/>
      <c r="F50" s="216"/>
      <c r="G50" s="202"/>
      <c r="H50" s="202"/>
      <c r="I50" s="188" t="str">
        <f t="shared" si="6"/>
        <v/>
      </c>
      <c r="J50" s="188" t="str">
        <f t="shared" si="7"/>
        <v/>
      </c>
      <c r="K50" s="174" t="str">
        <f t="shared" si="8"/>
        <v/>
      </c>
      <c r="L50" s="175"/>
      <c r="Q50" s="8">
        <f t="shared" si="4"/>
        <v>0</v>
      </c>
    </row>
    <row r="51" spans="2:17">
      <c r="B51" s="160">
        <f t="shared" si="5"/>
        <v>48</v>
      </c>
      <c r="C51" s="190"/>
      <c r="D51" s="190"/>
      <c r="E51" s="213"/>
      <c r="F51" s="214"/>
      <c r="G51" s="200"/>
      <c r="H51" s="200"/>
      <c r="I51" s="186" t="str">
        <f t="shared" si="6"/>
        <v/>
      </c>
      <c r="J51" s="186" t="str">
        <f t="shared" si="7"/>
        <v/>
      </c>
      <c r="K51" s="171" t="str">
        <f t="shared" si="8"/>
        <v/>
      </c>
      <c r="L51" s="172"/>
      <c r="Q51" s="8">
        <f t="shared" si="4"/>
        <v>0</v>
      </c>
    </row>
    <row r="52" spans="2:17">
      <c r="B52" s="162">
        <f t="shared" si="5"/>
        <v>49</v>
      </c>
      <c r="C52" s="191"/>
      <c r="D52" s="191"/>
      <c r="E52" s="215"/>
      <c r="F52" s="216"/>
      <c r="G52" s="202"/>
      <c r="H52" s="202"/>
      <c r="I52" s="188" t="str">
        <f t="shared" si="6"/>
        <v/>
      </c>
      <c r="J52" s="188" t="str">
        <f t="shared" si="7"/>
        <v/>
      </c>
      <c r="K52" s="174" t="str">
        <f t="shared" si="8"/>
        <v/>
      </c>
      <c r="L52" s="175"/>
      <c r="Q52" s="8">
        <f t="shared" si="4"/>
        <v>0</v>
      </c>
    </row>
    <row r="53" spans="2:17" ht="15.75" thickBot="1">
      <c r="B53" s="192">
        <f t="shared" si="5"/>
        <v>50</v>
      </c>
      <c r="C53" s="193"/>
      <c r="D53" s="193"/>
      <c r="E53" s="217"/>
      <c r="F53" s="218"/>
      <c r="G53" s="206"/>
      <c r="H53" s="206"/>
      <c r="I53" s="195" t="str">
        <f t="shared" si="6"/>
        <v/>
      </c>
      <c r="J53" s="195" t="str">
        <f t="shared" si="7"/>
        <v/>
      </c>
      <c r="K53" s="179" t="str">
        <f t="shared" si="8"/>
        <v/>
      </c>
      <c r="L53" s="180"/>
      <c r="Q53" s="8">
        <f t="shared" si="4"/>
        <v>0</v>
      </c>
    </row>
  </sheetData>
  <protectedRanges>
    <protectedRange sqref="L4:L53" name="Range2"/>
    <protectedRange sqref="C4:H53" name="Range1"/>
  </protectedRanges>
  <mergeCells count="2">
    <mergeCell ref="G2:J2"/>
    <mergeCell ref="B1:L1"/>
  </mergeCells>
  <phoneticPr fontId="3"/>
  <conditionalFormatting sqref="L4:L53 B4:H53">
    <cfRule type="expression" dxfId="9" priority="1" stopIfTrue="1">
      <formula>$Q4&gt;1</formula>
    </cfRule>
    <cfRule type="expression" dxfId="8" priority="2" stopIfTrue="1">
      <formula>MOD(ROW(),2)=0</formula>
    </cfRule>
    <cfRule type="expression" dxfId="7" priority="3" stopIfTrue="1">
      <formula>MOD(ROW(),2)=1</formula>
    </cfRule>
  </conditionalFormatting>
  <conditionalFormatting sqref="I4:K53">
    <cfRule type="expression" dxfId="6" priority="4" stopIfTrue="1">
      <formula>MOD(ROW(),2)=0</formula>
    </cfRule>
    <cfRule type="expression" dxfId="5" priority="5" stopIfTrue="1">
      <formula>MOD(ROW(),2)=1</formula>
    </cfRule>
  </conditionalFormatting>
  <dataValidations count="1">
    <dataValidation showInputMessage="1" showErrorMessage="1" sqref="E4:H53"/>
  </dataValidations>
  <printOptions horizontalCentered="1"/>
  <pageMargins left="0.59055118110236227" right="0.39370078740157483" top="0.39370078740157483" bottom="0.39370078740157483" header="0.51181102362204722" footer="0.51181102362204722"/>
  <pageSetup paperSize="9" scale="76" orientation="landscape" r:id="rId1"/>
  <headerFooter alignWithMargins="0"/>
  <legacyDrawing r:id="rId2"/>
</worksheet>
</file>

<file path=xl/worksheets/sheet16.xml><?xml version="1.0" encoding="utf-8"?>
<worksheet xmlns="http://schemas.openxmlformats.org/spreadsheetml/2006/main" xmlns:r="http://schemas.openxmlformats.org/officeDocument/2006/relationships">
  <sheetPr codeName="Sheet16">
    <tabColor theme="0" tint="-0.499984740745262"/>
  </sheetPr>
  <dimension ref="B1:AH54"/>
  <sheetViews>
    <sheetView view="pageBreakPreview" zoomScale="85" zoomScaleNormal="100" workbookViewId="0">
      <pane xSplit="4" ySplit="3" topLeftCell="E4" activePane="bottomRight" state="frozen"/>
      <selection activeCell="J6" sqref="J6"/>
      <selection pane="topRight" activeCell="J6" sqref="J6"/>
      <selection pane="bottomLeft" activeCell="J6" sqref="J6"/>
      <selection pane="bottomRight" activeCell="J6" sqref="J6"/>
    </sheetView>
  </sheetViews>
  <sheetFormatPr defaultRowHeight="15"/>
  <cols>
    <col min="1" max="1" width="1.625" style="8" customWidth="1"/>
    <col min="2" max="2" width="3.875" style="8" bestFit="1" customWidth="1"/>
    <col min="3" max="4" width="30.625" style="8" customWidth="1"/>
    <col min="5" max="5" width="11" style="8" customWidth="1"/>
    <col min="6" max="6" width="13.25" style="27" customWidth="1"/>
    <col min="7" max="7" width="12.125" style="27" customWidth="1"/>
    <col min="8" max="8" width="7.25" style="27" customWidth="1"/>
    <col min="9" max="10" width="7.25" style="26" hidden="1" customWidth="1"/>
    <col min="11" max="15" width="7.25" style="27" customWidth="1"/>
    <col min="16" max="16" width="31.875" style="8" customWidth="1"/>
    <col min="17" max="17" width="1.625" style="8" customWidth="1"/>
    <col min="18" max="16384" width="9" style="8"/>
  </cols>
  <sheetData>
    <row r="1" spans="2:34" ht="15.75" thickBot="1">
      <c r="B1" s="131" t="s">
        <v>242</v>
      </c>
      <c r="C1" s="131"/>
      <c r="D1" s="131"/>
      <c r="E1" s="144" t="s">
        <v>198</v>
      </c>
      <c r="F1" s="145" t="s">
        <v>199</v>
      </c>
      <c r="G1" s="145" t="s">
        <v>200</v>
      </c>
      <c r="H1" s="131"/>
      <c r="I1" s="131"/>
      <c r="J1" s="131"/>
      <c r="K1" s="131"/>
      <c r="L1" s="131"/>
      <c r="M1" s="131"/>
      <c r="N1" s="131"/>
      <c r="O1" s="131"/>
      <c r="P1" s="131"/>
    </row>
    <row r="2" spans="2:34" ht="15.75" thickBot="1">
      <c r="C2" s="65" t="s">
        <v>230</v>
      </c>
      <c r="E2" s="143" t="s">
        <v>213</v>
      </c>
      <c r="F2" s="341">
        <f>Legend!I17</f>
        <v>15</v>
      </c>
      <c r="G2" s="341">
        <f>Legend!J17</f>
        <v>2</v>
      </c>
      <c r="H2" s="621" t="s">
        <v>299</v>
      </c>
      <c r="I2" s="621"/>
      <c r="J2" s="341">
        <f>AvgBugST</f>
        <v>1</v>
      </c>
      <c r="K2" s="380">
        <f>Legend!I22</f>
        <v>0.5</v>
      </c>
      <c r="L2" s="381">
        <f>Legend!J22</f>
        <v>0.2</v>
      </c>
      <c r="M2" s="328">
        <f>Legend!K22</f>
        <v>0.20000000000000007</v>
      </c>
      <c r="N2" s="382">
        <f>Legend!L22</f>
        <v>0.1</v>
      </c>
    </row>
    <row r="3" spans="2:34" s="46" customFormat="1" ht="26.25" thickBot="1">
      <c r="B3" s="10" t="s">
        <v>231</v>
      </c>
      <c r="C3" s="11" t="s">
        <v>232</v>
      </c>
      <c r="D3" s="11" t="s">
        <v>233</v>
      </c>
      <c r="E3" s="17" t="s">
        <v>208</v>
      </c>
      <c r="F3" s="135" t="s">
        <v>211</v>
      </c>
      <c r="G3" s="136" t="s">
        <v>381</v>
      </c>
      <c r="H3" s="132" t="s">
        <v>234</v>
      </c>
      <c r="I3" s="301" t="s">
        <v>268</v>
      </c>
      <c r="J3" s="302" t="s">
        <v>269</v>
      </c>
      <c r="K3" s="30" t="s">
        <v>235</v>
      </c>
      <c r="L3" s="31" t="s">
        <v>236</v>
      </c>
      <c r="M3" s="32" t="s">
        <v>237</v>
      </c>
      <c r="N3" s="32" t="s">
        <v>238</v>
      </c>
      <c r="O3" s="29" t="s">
        <v>239</v>
      </c>
      <c r="P3" s="13" t="s">
        <v>240</v>
      </c>
      <c r="S3" s="46" t="s">
        <v>313</v>
      </c>
      <c r="U3" s="46" t="s">
        <v>300</v>
      </c>
      <c r="V3" s="46" t="s">
        <v>303</v>
      </c>
      <c r="AH3" s="46" t="s">
        <v>349</v>
      </c>
    </row>
    <row r="4" spans="2:34">
      <c r="B4" s="157">
        <f t="shared" ref="B4:B35" si="0">ROW() - 3</f>
        <v>1</v>
      </c>
      <c r="C4" s="196" t="s">
        <v>56</v>
      </c>
      <c r="D4" s="197" t="s">
        <v>70</v>
      </c>
      <c r="E4" s="198"/>
      <c r="F4" s="188">
        <f>IF(TRIM(D4)="","",(SUMIF('PG1'!$D$4:$D$53,D4,'PG1'!$L$4:$L$53)) + (SUMIF('PG2'!$D$4:$D$53,D4,'PG2'!$E$4:$E$53)) + (SUMIF('PG3'!$D$4:$D$53,D4,'PG3'!$E$4:$E$53)))</f>
        <v>2940</v>
      </c>
      <c r="G4" s="174">
        <f>IF(TRIM(D4)="","",(SUMIF('PG2'!$D$4:$D$53,D4,'PG2'!$F$4:$F$53)) + (SUMIF('PG3'!$D$4:$D$53,D4,'PG3'!$F$4:$F$53)))</f>
        <v>0</v>
      </c>
      <c r="H4" s="219">
        <f t="shared" ref="H4:H35" si="1">IF(TRIM(D4)="","",CEILING(F4/1000*NEW2_CaseRate_ST+G4/1000*REUSE2_CaseRate_ST,1))</f>
        <v>45</v>
      </c>
      <c r="I4" s="220">
        <f t="shared" ref="I4:I35" si="2">IF(TRIM(D4)="","",IF(E4&lt;&gt;"",E4*H4/PT2_ST_Base*PT2_ST_Unit,1*H4/PT2_ST_Base*PT2_ST_Unit))</f>
        <v>11.25</v>
      </c>
      <c r="J4" s="167">
        <f t="shared" ref="J4:J35" si="3">IF(TRIM(D4)="","",((F4/1000)+(G4/1000)*SampleLOCConvRate)*AvgSTBugKLOC*Fix1STBugFUP)</f>
        <v>5.88</v>
      </c>
      <c r="K4" s="184">
        <f t="shared" ref="K4:K35" si="4">IF(TRIM(C4)="","",IF(I4 &gt;= 1,CEILING(I4*UnitPoint_Effort_Rate*Test2Doc_Rate_ST*10/5,1)*5/10,I4*UnitPoint_Effort_Rate*Test2Doc_Rate_ST))</f>
        <v>11.5</v>
      </c>
      <c r="L4" s="159">
        <f t="shared" ref="L4:L35" si="5">IF(TRIM(C4)="","",IF(I4 &gt;= 1, CEILING(I4*UnitPoint_Effort_Rate*Test2Data_Rate_ST*10/5,1)*5/10,I4*UnitPoint_Effort_Rate*Test2Data_Rate_ST))</f>
        <v>4.5</v>
      </c>
      <c r="M4" s="221">
        <f t="shared" ref="M4:M35" si="6">IF(TRIM(C4)="","",CEILING(I4*UnitPoint_Effort_Rate*Test2Execute_Rate_ST*10/5,1)*5/10)</f>
        <v>4.5</v>
      </c>
      <c r="N4" s="221">
        <f t="shared" ref="N4:N35" si="7">IF(TRIM(D4)="","",IF(I4 &gt;= 1,CEILING(I4*UnitPoint_Effort_Rate*Test2Evidence_Rate_ST*10/5,1)*5/10,I4*UnitPoint_Effort_Rate*Test2Evidence_Rate_ST))</f>
        <v>2.5</v>
      </c>
      <c r="O4" s="167">
        <f t="shared" ref="O4:O35" si="8">IF(TRIM(D4)="","",IF(J4 &gt;= 1,CEILING(J4*UnitPoint_Effort_Rate*10/5,1)*5/10,J4*UnitPoint_Effort_Rate))</f>
        <v>12</v>
      </c>
      <c r="P4" s="168"/>
      <c r="R4" s="8">
        <v>5.3333333333333339</v>
      </c>
      <c r="S4" s="8">
        <f t="shared" ref="S4:S17" si="9">IF(TRIM(D4)="","",IF(R4 &gt;= 1,CEILING(R4*UnitPoint_Effort_Rate*10/5,1)*5/10,R4*UnitPoint_Effort_Rate))</f>
        <v>11</v>
      </c>
      <c r="U4" s="8">
        <f t="shared" ref="U4:U17" si="10">(F4/1000)*AvgSTBugKLOC</f>
        <v>2.94</v>
      </c>
      <c r="V4" s="8">
        <f t="shared" ref="V4:V17" si="11">U4*Fix1STBugFUP*UnitPoint_Effort_Rate</f>
        <v>11.76</v>
      </c>
      <c r="X4" s="324"/>
      <c r="Z4" s="324"/>
      <c r="AH4" s="8">
        <f>COUNTIF($D$4:$D$53,D4)</f>
        <v>1</v>
      </c>
    </row>
    <row r="5" spans="2:34">
      <c r="B5" s="160">
        <f t="shared" si="0"/>
        <v>2</v>
      </c>
      <c r="C5" s="190" t="s">
        <v>56</v>
      </c>
      <c r="D5" s="199" t="s">
        <v>72</v>
      </c>
      <c r="E5" s="200"/>
      <c r="F5" s="186">
        <f>IF(TRIM(D5)="","",(SUMIF('PG1'!$D$4:$D$53,D5,'PG1'!$L$4:$L$53)) + (SUMIF('PG2'!$D$4:$D$53,D5,'PG2'!$E$4:$E$53)) + (SUMIF('PG3'!$D$4:$D$53,D5,'PG3'!$E$4:$E$53)))</f>
        <v>182</v>
      </c>
      <c r="G5" s="171">
        <f>IF(TRIM(D5)="","",(SUMIF('PG2'!$D$4:$D$53,D5,'PG2'!$F$4:$F$53)) + (SUMIF('PG3'!$D$4:$D$53,D5,'PG3'!$F$4:$F$53)))</f>
        <v>0</v>
      </c>
      <c r="H5" s="222">
        <f t="shared" si="1"/>
        <v>3</v>
      </c>
      <c r="I5" s="223">
        <f t="shared" si="2"/>
        <v>0.75</v>
      </c>
      <c r="J5" s="303">
        <f t="shared" si="3"/>
        <v>0.36399999999999999</v>
      </c>
      <c r="K5" s="184">
        <f t="shared" si="4"/>
        <v>0.75</v>
      </c>
      <c r="L5" s="159">
        <f t="shared" si="5"/>
        <v>0.30000000000000004</v>
      </c>
      <c r="M5" s="221">
        <f t="shared" si="6"/>
        <v>0.5</v>
      </c>
      <c r="N5" s="221">
        <f t="shared" si="7"/>
        <v>0.15000000000000002</v>
      </c>
      <c r="O5" s="167">
        <f t="shared" si="8"/>
        <v>0.72799999999999998</v>
      </c>
      <c r="P5" s="172"/>
      <c r="R5" s="8">
        <v>6.6666666666666679</v>
      </c>
      <c r="S5" s="8">
        <f t="shared" si="9"/>
        <v>13.5</v>
      </c>
      <c r="U5" s="8">
        <f t="shared" si="10"/>
        <v>0.182</v>
      </c>
      <c r="V5" s="8">
        <f t="shared" si="11"/>
        <v>0.72799999999999998</v>
      </c>
      <c r="X5" s="324"/>
      <c r="AH5" s="8">
        <f t="shared" ref="AH5:AH53" si="12">COUNTIF($D$4:$D$53,D5)</f>
        <v>1</v>
      </c>
    </row>
    <row r="6" spans="2:34">
      <c r="B6" s="162">
        <f t="shared" si="0"/>
        <v>3</v>
      </c>
      <c r="C6" s="189" t="s">
        <v>58</v>
      </c>
      <c r="D6" s="201" t="s">
        <v>74</v>
      </c>
      <c r="E6" s="202"/>
      <c r="F6" s="188">
        <f>IF(TRIM(D6)="","",(SUMIF('PG1'!$D$4:$D$53,D6,'PG1'!$L$4:$L$53)) + (SUMIF('PG2'!$D$4:$D$53,D6,'PG2'!$E$4:$E$53)) + (SUMIF('PG3'!$D$4:$D$53,D6,'PG3'!$E$4:$E$53)))</f>
        <v>0</v>
      </c>
      <c r="G6" s="174">
        <f>IF(TRIM(D6)="","",(SUMIF('PG2'!$D$4:$D$53,D6,'PG2'!$F$4:$F$53)) + (SUMIF('PG3'!$D$4:$D$53,D6,'PG3'!$F$4:$F$53)))</f>
        <v>0</v>
      </c>
      <c r="H6" s="219">
        <f t="shared" si="1"/>
        <v>0</v>
      </c>
      <c r="I6" s="224">
        <f t="shared" si="2"/>
        <v>0</v>
      </c>
      <c r="J6" s="167">
        <f t="shared" si="3"/>
        <v>0</v>
      </c>
      <c r="K6" s="184">
        <f t="shared" si="4"/>
        <v>0</v>
      </c>
      <c r="L6" s="159">
        <f t="shared" si="5"/>
        <v>0</v>
      </c>
      <c r="M6" s="221">
        <f t="shared" si="6"/>
        <v>0</v>
      </c>
      <c r="N6" s="221">
        <f t="shared" si="7"/>
        <v>0</v>
      </c>
      <c r="O6" s="167">
        <f t="shared" si="8"/>
        <v>0</v>
      </c>
      <c r="P6" s="175"/>
      <c r="R6" s="8">
        <v>1.6</v>
      </c>
      <c r="S6" s="8">
        <f t="shared" si="9"/>
        <v>3.5</v>
      </c>
      <c r="U6" s="8">
        <f t="shared" si="10"/>
        <v>0</v>
      </c>
      <c r="V6" s="8">
        <f t="shared" si="11"/>
        <v>0</v>
      </c>
      <c r="X6" s="324"/>
      <c r="AH6" s="8">
        <f t="shared" si="12"/>
        <v>1</v>
      </c>
    </row>
    <row r="7" spans="2:34">
      <c r="B7" s="160">
        <f t="shared" si="0"/>
        <v>4</v>
      </c>
      <c r="C7" s="190" t="s">
        <v>58</v>
      </c>
      <c r="D7" s="199" t="s">
        <v>76</v>
      </c>
      <c r="E7" s="200"/>
      <c r="F7" s="186">
        <f>IF(TRIM(D7)="","",(SUMIF('PG1'!$D$4:$D$53,D7,'PG1'!$L$4:$L$53)) + (SUMIF('PG2'!$D$4:$D$53,D7,'PG2'!$E$4:$E$53)) + (SUMIF('PG3'!$D$4:$D$53,D7,'PG3'!$E$4:$E$53)))</f>
        <v>0</v>
      </c>
      <c r="G7" s="171">
        <f>IF(TRIM(D7)="","",(SUMIF('PG2'!$D$4:$D$53,D7,'PG2'!$F$4:$F$53)) + (SUMIF('PG3'!$D$4:$D$53,D7,'PG3'!$F$4:$F$53)))</f>
        <v>0</v>
      </c>
      <c r="H7" s="222">
        <f t="shared" si="1"/>
        <v>0</v>
      </c>
      <c r="I7" s="223">
        <f t="shared" si="2"/>
        <v>0</v>
      </c>
      <c r="J7" s="303">
        <f t="shared" si="3"/>
        <v>0</v>
      </c>
      <c r="K7" s="184">
        <f t="shared" si="4"/>
        <v>0</v>
      </c>
      <c r="L7" s="159">
        <f t="shared" si="5"/>
        <v>0</v>
      </c>
      <c r="M7" s="221">
        <f t="shared" si="6"/>
        <v>0</v>
      </c>
      <c r="N7" s="221">
        <f t="shared" si="7"/>
        <v>0</v>
      </c>
      <c r="O7" s="167">
        <f t="shared" si="8"/>
        <v>0</v>
      </c>
      <c r="P7" s="172"/>
      <c r="R7" s="8">
        <v>17.600000000000001</v>
      </c>
      <c r="S7" s="8">
        <f t="shared" si="9"/>
        <v>35.5</v>
      </c>
      <c r="U7" s="8">
        <f t="shared" si="10"/>
        <v>0</v>
      </c>
      <c r="V7" s="8">
        <f t="shared" si="11"/>
        <v>0</v>
      </c>
      <c r="X7" s="324"/>
      <c r="AH7" s="8">
        <f t="shared" si="12"/>
        <v>1</v>
      </c>
    </row>
    <row r="8" spans="2:34">
      <c r="B8" s="162">
        <f t="shared" si="0"/>
        <v>5</v>
      </c>
      <c r="C8" s="163" t="s">
        <v>60</v>
      </c>
      <c r="D8" s="201" t="s">
        <v>78</v>
      </c>
      <c r="E8" s="202"/>
      <c r="F8" s="188">
        <f>IF(TRIM(D8)="","",(SUMIF('PG1'!$D$4:$D$53,D8,'PG1'!$L$4:$L$53)) + (SUMIF('PG2'!$D$4:$D$53,D8,'PG2'!$E$4:$E$53)) + (SUMIF('PG3'!$D$4:$D$53,D8,'PG3'!$E$4:$E$53)))</f>
        <v>0</v>
      </c>
      <c r="G8" s="174">
        <f>IF(TRIM(D8)="","",(SUMIF('PG2'!$D$4:$D$53,D8,'PG2'!$F$4:$F$53)) + (SUMIF('PG3'!$D$4:$D$53,D8,'PG3'!$F$4:$F$53)))</f>
        <v>0</v>
      </c>
      <c r="H8" s="219">
        <f t="shared" si="1"/>
        <v>0</v>
      </c>
      <c r="I8" s="224">
        <f t="shared" si="2"/>
        <v>0</v>
      </c>
      <c r="J8" s="167">
        <f t="shared" si="3"/>
        <v>0</v>
      </c>
      <c r="K8" s="184">
        <f t="shared" si="4"/>
        <v>0</v>
      </c>
      <c r="L8" s="159">
        <f t="shared" si="5"/>
        <v>0</v>
      </c>
      <c r="M8" s="221">
        <f t="shared" si="6"/>
        <v>0</v>
      </c>
      <c r="N8" s="221">
        <f t="shared" si="7"/>
        <v>0</v>
      </c>
      <c r="O8" s="167">
        <f t="shared" si="8"/>
        <v>0</v>
      </c>
      <c r="P8" s="175"/>
      <c r="R8" s="8">
        <v>12.8</v>
      </c>
      <c r="S8" s="8">
        <f t="shared" si="9"/>
        <v>26</v>
      </c>
      <c r="U8" s="8">
        <f t="shared" si="10"/>
        <v>0</v>
      </c>
      <c r="V8" s="8">
        <f t="shared" si="11"/>
        <v>0</v>
      </c>
      <c r="X8" s="324"/>
      <c r="AH8" s="8">
        <f t="shared" si="12"/>
        <v>1</v>
      </c>
    </row>
    <row r="9" spans="2:34">
      <c r="B9" s="160">
        <f t="shared" si="0"/>
        <v>6</v>
      </c>
      <c r="C9" s="190" t="s">
        <v>60</v>
      </c>
      <c r="D9" s="203" t="s">
        <v>80</v>
      </c>
      <c r="E9" s="200"/>
      <c r="F9" s="186">
        <f>IF(TRIM(D9)="","",(SUMIF('PG1'!$D$4:$D$53,D9,'PG1'!$L$4:$L$53)) + (SUMIF('PG2'!$D$4:$D$53,D9,'PG2'!$E$4:$E$53)) + (SUMIF('PG3'!$D$4:$D$53,D9,'PG3'!$E$4:$E$53)))</f>
        <v>0</v>
      </c>
      <c r="G9" s="171">
        <f>IF(TRIM(D9)="","",(SUMIF('PG2'!$D$4:$D$53,D9,'PG2'!$F$4:$F$53)) + (SUMIF('PG3'!$D$4:$D$53,D9,'PG3'!$F$4:$F$53)))</f>
        <v>0</v>
      </c>
      <c r="H9" s="222">
        <f t="shared" si="1"/>
        <v>0</v>
      </c>
      <c r="I9" s="223">
        <f t="shared" si="2"/>
        <v>0</v>
      </c>
      <c r="J9" s="303">
        <f t="shared" si="3"/>
        <v>0</v>
      </c>
      <c r="K9" s="184">
        <f t="shared" si="4"/>
        <v>0</v>
      </c>
      <c r="L9" s="159">
        <f t="shared" si="5"/>
        <v>0</v>
      </c>
      <c r="M9" s="221">
        <f t="shared" si="6"/>
        <v>0</v>
      </c>
      <c r="N9" s="221">
        <f t="shared" si="7"/>
        <v>0</v>
      </c>
      <c r="O9" s="167">
        <f t="shared" si="8"/>
        <v>0</v>
      </c>
      <c r="P9" s="172"/>
      <c r="R9" s="8">
        <v>0.8</v>
      </c>
      <c r="S9" s="8">
        <f t="shared" si="9"/>
        <v>1.6</v>
      </c>
      <c r="U9" s="8">
        <f t="shared" si="10"/>
        <v>0</v>
      </c>
      <c r="V9" s="8">
        <f t="shared" si="11"/>
        <v>0</v>
      </c>
      <c r="X9" s="324"/>
      <c r="AH9" s="8">
        <f t="shared" si="12"/>
        <v>1</v>
      </c>
    </row>
    <row r="10" spans="2:34">
      <c r="B10" s="162">
        <f t="shared" si="0"/>
        <v>7</v>
      </c>
      <c r="C10" s="189" t="s">
        <v>62</v>
      </c>
      <c r="D10" s="201" t="s">
        <v>82</v>
      </c>
      <c r="E10" s="202"/>
      <c r="F10" s="188">
        <f>IF(TRIM(D10)="","",(SUMIF('PG1'!$D$4:$D$53,D10,'PG1'!$L$4:$L$53)) + (SUMIF('PG2'!$D$4:$D$53,D10,'PG2'!$E$4:$E$53)) + (SUMIF('PG3'!$D$4:$D$53,D10,'PG3'!$E$4:$E$53)))</f>
        <v>0</v>
      </c>
      <c r="G10" s="174">
        <f>IF(TRIM(D10)="","",(SUMIF('PG2'!$D$4:$D$53,D10,'PG2'!$F$4:$F$53)) + (SUMIF('PG3'!$D$4:$D$53,D10,'PG3'!$F$4:$F$53)))</f>
        <v>0</v>
      </c>
      <c r="H10" s="219">
        <f t="shared" si="1"/>
        <v>0</v>
      </c>
      <c r="I10" s="224">
        <f t="shared" si="2"/>
        <v>0</v>
      </c>
      <c r="J10" s="167">
        <f t="shared" si="3"/>
        <v>0</v>
      </c>
      <c r="K10" s="184">
        <f t="shared" si="4"/>
        <v>0</v>
      </c>
      <c r="L10" s="159">
        <f t="shared" si="5"/>
        <v>0</v>
      </c>
      <c r="M10" s="221">
        <f t="shared" si="6"/>
        <v>0</v>
      </c>
      <c r="N10" s="221">
        <f t="shared" si="7"/>
        <v>0</v>
      </c>
      <c r="O10" s="167">
        <f t="shared" si="8"/>
        <v>0</v>
      </c>
      <c r="P10" s="175"/>
      <c r="R10" s="8">
        <v>1.6</v>
      </c>
      <c r="S10" s="8">
        <f t="shared" si="9"/>
        <v>3.5</v>
      </c>
      <c r="U10" s="8">
        <f t="shared" si="10"/>
        <v>0</v>
      </c>
      <c r="V10" s="8">
        <f t="shared" si="11"/>
        <v>0</v>
      </c>
      <c r="X10" s="324"/>
      <c r="AH10" s="8">
        <f t="shared" si="12"/>
        <v>1</v>
      </c>
    </row>
    <row r="11" spans="2:34">
      <c r="B11" s="160">
        <f t="shared" si="0"/>
        <v>8</v>
      </c>
      <c r="C11" s="190" t="s">
        <v>62</v>
      </c>
      <c r="D11" s="199" t="s">
        <v>84</v>
      </c>
      <c r="E11" s="200"/>
      <c r="F11" s="186">
        <f>IF(TRIM(D11)="","",(SUMIF('PG1'!$D$4:$D$53,D11,'PG1'!$L$4:$L$53)) + (SUMIF('PG2'!$D$4:$D$53,D11,'PG2'!$E$4:$E$53)) + (SUMIF('PG3'!$D$4:$D$53,D11,'PG3'!$E$4:$E$53)))</f>
        <v>0</v>
      </c>
      <c r="G11" s="171">
        <f>IF(TRIM(D11)="","",(SUMIF('PG2'!$D$4:$D$53,D11,'PG2'!$F$4:$F$53)) + (SUMIF('PG3'!$D$4:$D$53,D11,'PG3'!$F$4:$F$53)))</f>
        <v>0</v>
      </c>
      <c r="H11" s="222">
        <f t="shared" si="1"/>
        <v>0</v>
      </c>
      <c r="I11" s="223">
        <f t="shared" si="2"/>
        <v>0</v>
      </c>
      <c r="J11" s="303">
        <f t="shared" si="3"/>
        <v>0</v>
      </c>
      <c r="K11" s="184">
        <f t="shared" si="4"/>
        <v>0</v>
      </c>
      <c r="L11" s="159">
        <f t="shared" si="5"/>
        <v>0</v>
      </c>
      <c r="M11" s="221">
        <f t="shared" si="6"/>
        <v>0</v>
      </c>
      <c r="N11" s="221">
        <f t="shared" si="7"/>
        <v>0</v>
      </c>
      <c r="O11" s="167">
        <f t="shared" si="8"/>
        <v>0</v>
      </c>
      <c r="P11" s="172"/>
      <c r="R11" s="8">
        <v>3.2</v>
      </c>
      <c r="S11" s="8">
        <f t="shared" si="9"/>
        <v>6.5</v>
      </c>
      <c r="U11" s="8">
        <f t="shared" si="10"/>
        <v>0</v>
      </c>
      <c r="V11" s="8">
        <f t="shared" si="11"/>
        <v>0</v>
      </c>
      <c r="X11" s="324"/>
      <c r="AH11" s="8">
        <f t="shared" si="12"/>
        <v>1</v>
      </c>
    </row>
    <row r="12" spans="2:34">
      <c r="B12" s="162">
        <f t="shared" si="0"/>
        <v>9</v>
      </c>
      <c r="C12" s="191" t="s">
        <v>64</v>
      </c>
      <c r="D12" s="204" t="s">
        <v>86</v>
      </c>
      <c r="E12" s="202"/>
      <c r="F12" s="188">
        <f>IF(TRIM(D12)="","",(SUMIF('PG1'!$D$4:$D$53,D12,'PG1'!$L$4:$L$53)) + (SUMIF('PG2'!$D$4:$D$53,D12,'PG2'!$E$4:$E$53)) + (SUMIF('PG3'!$D$4:$D$53,D12,'PG3'!$E$4:$E$53)))</f>
        <v>0</v>
      </c>
      <c r="G12" s="174">
        <f>IF(TRIM(D12)="","",(SUMIF('PG2'!$D$4:$D$53,D12,'PG2'!$F$4:$F$53)) + (SUMIF('PG3'!$D$4:$D$53,D12,'PG3'!$F$4:$F$53)))</f>
        <v>0</v>
      </c>
      <c r="H12" s="219">
        <f t="shared" si="1"/>
        <v>0</v>
      </c>
      <c r="I12" s="224">
        <f t="shared" si="2"/>
        <v>0</v>
      </c>
      <c r="J12" s="167">
        <f t="shared" si="3"/>
        <v>0</v>
      </c>
      <c r="K12" s="184">
        <f t="shared" si="4"/>
        <v>0</v>
      </c>
      <c r="L12" s="159">
        <f t="shared" si="5"/>
        <v>0</v>
      </c>
      <c r="M12" s="221">
        <f t="shared" si="6"/>
        <v>0</v>
      </c>
      <c r="N12" s="221">
        <f t="shared" si="7"/>
        <v>0</v>
      </c>
      <c r="O12" s="167">
        <f t="shared" si="8"/>
        <v>0</v>
      </c>
      <c r="P12" s="175"/>
      <c r="R12" s="8">
        <v>2.1333333333333333</v>
      </c>
      <c r="S12" s="8">
        <f t="shared" si="9"/>
        <v>4.5</v>
      </c>
      <c r="U12" s="8">
        <f t="shared" si="10"/>
        <v>0</v>
      </c>
      <c r="V12" s="8">
        <f t="shared" si="11"/>
        <v>0</v>
      </c>
      <c r="X12" s="324"/>
      <c r="AH12" s="8">
        <f t="shared" si="12"/>
        <v>1</v>
      </c>
    </row>
    <row r="13" spans="2:34">
      <c r="B13" s="160">
        <f t="shared" si="0"/>
        <v>10</v>
      </c>
      <c r="C13" s="190" t="s">
        <v>64</v>
      </c>
      <c r="D13" s="199" t="s">
        <v>88</v>
      </c>
      <c r="E13" s="200"/>
      <c r="F13" s="186">
        <f>IF(TRIM(D13)="","",(SUMIF('PG1'!$D$4:$D$53,D13,'PG1'!$L$4:$L$53)) + (SUMIF('PG2'!$D$4:$D$53,D13,'PG2'!$E$4:$E$53)) + (SUMIF('PG3'!$D$4:$D$53,D13,'PG3'!$E$4:$E$53)))</f>
        <v>0</v>
      </c>
      <c r="G13" s="171">
        <f>IF(TRIM(D13)="","",(SUMIF('PG2'!$D$4:$D$53,D13,'PG2'!$F$4:$F$53)) + (SUMIF('PG3'!$D$4:$D$53,D13,'PG3'!$F$4:$F$53)))</f>
        <v>0</v>
      </c>
      <c r="H13" s="222">
        <f t="shared" si="1"/>
        <v>0</v>
      </c>
      <c r="I13" s="223">
        <f t="shared" si="2"/>
        <v>0</v>
      </c>
      <c r="J13" s="303">
        <f t="shared" si="3"/>
        <v>0</v>
      </c>
      <c r="K13" s="184">
        <f t="shared" si="4"/>
        <v>0</v>
      </c>
      <c r="L13" s="159">
        <f t="shared" si="5"/>
        <v>0</v>
      </c>
      <c r="M13" s="221">
        <f t="shared" si="6"/>
        <v>0</v>
      </c>
      <c r="N13" s="221">
        <f t="shared" si="7"/>
        <v>0</v>
      </c>
      <c r="O13" s="167">
        <f t="shared" si="8"/>
        <v>0</v>
      </c>
      <c r="P13" s="172"/>
      <c r="R13" s="8">
        <v>18.400000000000002</v>
      </c>
      <c r="S13" s="8">
        <f t="shared" si="9"/>
        <v>37</v>
      </c>
      <c r="U13" s="8">
        <f t="shared" si="10"/>
        <v>0</v>
      </c>
      <c r="V13" s="8">
        <f t="shared" si="11"/>
        <v>0</v>
      </c>
      <c r="X13" s="324"/>
      <c r="AH13" s="8">
        <f t="shared" si="12"/>
        <v>1</v>
      </c>
    </row>
    <row r="14" spans="2:34">
      <c r="B14" s="162">
        <f t="shared" si="0"/>
        <v>11</v>
      </c>
      <c r="C14" s="189" t="s">
        <v>66</v>
      </c>
      <c r="D14" s="201" t="s">
        <v>90</v>
      </c>
      <c r="E14" s="202"/>
      <c r="F14" s="188">
        <f>IF(TRIM(D14)="","",(SUMIF('PG1'!$D$4:$D$53,D14,'PG1'!$L$4:$L$53)) + (SUMIF('PG2'!$D$4:$D$53,D14,'PG2'!$E$4:$E$53)) + (SUMIF('PG3'!$D$4:$D$53,D14,'PG3'!$E$4:$E$53)))</f>
        <v>0</v>
      </c>
      <c r="G14" s="174">
        <f>IF(TRIM(D14)="","",(SUMIF('PG2'!$D$4:$D$53,D14,'PG2'!$F$4:$F$53)) + (SUMIF('PG3'!$D$4:$D$53,D14,'PG3'!$F$4:$F$53)))</f>
        <v>0</v>
      </c>
      <c r="H14" s="219">
        <f t="shared" si="1"/>
        <v>0</v>
      </c>
      <c r="I14" s="224">
        <f t="shared" si="2"/>
        <v>0</v>
      </c>
      <c r="J14" s="167">
        <f t="shared" si="3"/>
        <v>0</v>
      </c>
      <c r="K14" s="184">
        <f t="shared" si="4"/>
        <v>0</v>
      </c>
      <c r="L14" s="159">
        <f t="shared" si="5"/>
        <v>0</v>
      </c>
      <c r="M14" s="221">
        <f t="shared" si="6"/>
        <v>0</v>
      </c>
      <c r="N14" s="221">
        <f t="shared" si="7"/>
        <v>0</v>
      </c>
      <c r="O14" s="167">
        <f t="shared" si="8"/>
        <v>0</v>
      </c>
      <c r="P14" s="175"/>
      <c r="R14" s="8">
        <v>5.3333333333333339</v>
      </c>
      <c r="S14" s="8">
        <f t="shared" si="9"/>
        <v>11</v>
      </c>
      <c r="U14" s="8">
        <f t="shared" si="10"/>
        <v>0</v>
      </c>
      <c r="V14" s="8">
        <f t="shared" si="11"/>
        <v>0</v>
      </c>
      <c r="X14" s="324"/>
      <c r="AH14" s="8">
        <f t="shared" si="12"/>
        <v>1</v>
      </c>
    </row>
    <row r="15" spans="2:34">
      <c r="B15" s="160">
        <f t="shared" si="0"/>
        <v>12</v>
      </c>
      <c r="C15" s="190" t="s">
        <v>66</v>
      </c>
      <c r="D15" s="199" t="s">
        <v>92</v>
      </c>
      <c r="E15" s="200"/>
      <c r="F15" s="186">
        <f>IF(TRIM(D15)="","",(SUMIF('PG1'!$D$4:$D$53,D15,'PG1'!$L$4:$L$53)) + (SUMIF('PG2'!$D$4:$D$53,D15,'PG2'!$E$4:$E$53)) + (SUMIF('PG3'!$D$4:$D$53,D15,'PG3'!$E$4:$E$53)))</f>
        <v>0</v>
      </c>
      <c r="G15" s="171">
        <f>IF(TRIM(D15)="","",(SUMIF('PG2'!$D$4:$D$53,D15,'PG2'!$F$4:$F$53)) + (SUMIF('PG3'!$D$4:$D$53,D15,'PG3'!$F$4:$F$53)))</f>
        <v>0</v>
      </c>
      <c r="H15" s="222">
        <f t="shared" si="1"/>
        <v>0</v>
      </c>
      <c r="I15" s="223">
        <f t="shared" si="2"/>
        <v>0</v>
      </c>
      <c r="J15" s="303">
        <f t="shared" si="3"/>
        <v>0</v>
      </c>
      <c r="K15" s="184">
        <f t="shared" si="4"/>
        <v>0</v>
      </c>
      <c r="L15" s="159">
        <f t="shared" si="5"/>
        <v>0</v>
      </c>
      <c r="M15" s="221">
        <f t="shared" si="6"/>
        <v>0</v>
      </c>
      <c r="N15" s="221">
        <f t="shared" si="7"/>
        <v>0</v>
      </c>
      <c r="O15" s="167">
        <f t="shared" si="8"/>
        <v>0</v>
      </c>
      <c r="P15" s="172"/>
      <c r="R15" s="8">
        <v>2.666666666666667</v>
      </c>
      <c r="S15" s="8">
        <f t="shared" si="9"/>
        <v>5.5</v>
      </c>
      <c r="U15" s="8">
        <f t="shared" si="10"/>
        <v>0</v>
      </c>
      <c r="V15" s="8">
        <f t="shared" si="11"/>
        <v>0</v>
      </c>
      <c r="X15" s="324"/>
      <c r="AH15" s="8">
        <f t="shared" si="12"/>
        <v>1</v>
      </c>
    </row>
    <row r="16" spans="2:34">
      <c r="B16" s="162">
        <f t="shared" si="0"/>
        <v>13</v>
      </c>
      <c r="C16" s="189" t="s">
        <v>68</v>
      </c>
      <c r="D16" s="189" t="s">
        <v>106</v>
      </c>
      <c r="E16" s="202"/>
      <c r="F16" s="188">
        <f>IF(TRIM(D16)="","",(SUMIF('PG1'!$D$4:$D$53,D16,'PG1'!$L$4:$L$53)) + (SUMIF('PG2'!$D$4:$D$53,D16,'PG2'!$E$4:$E$53)) + (SUMIF('PG3'!$D$4:$D$53,D16,'PG3'!$E$4:$E$53)))</f>
        <v>0</v>
      </c>
      <c r="G16" s="174">
        <f>IF(TRIM(D16)="","",(SUMIF('PG2'!$D$4:$D$53,D16,'PG2'!$F$4:$F$53)) + (SUMIF('PG3'!$D$4:$D$53,D16,'PG3'!$F$4:$F$53)))</f>
        <v>0</v>
      </c>
      <c r="H16" s="219">
        <f t="shared" si="1"/>
        <v>0</v>
      </c>
      <c r="I16" s="224">
        <f t="shared" si="2"/>
        <v>0</v>
      </c>
      <c r="J16" s="167">
        <f t="shared" si="3"/>
        <v>0</v>
      </c>
      <c r="K16" s="184">
        <f t="shared" si="4"/>
        <v>0</v>
      </c>
      <c r="L16" s="159">
        <f t="shared" si="5"/>
        <v>0</v>
      </c>
      <c r="M16" s="221">
        <f t="shared" si="6"/>
        <v>0</v>
      </c>
      <c r="N16" s="221">
        <f t="shared" si="7"/>
        <v>0</v>
      </c>
      <c r="O16" s="167">
        <f t="shared" si="8"/>
        <v>0</v>
      </c>
      <c r="P16" s="175"/>
      <c r="R16" s="8">
        <v>3.0666666666666669</v>
      </c>
      <c r="S16" s="8">
        <f t="shared" si="9"/>
        <v>6.5</v>
      </c>
      <c r="U16" s="8">
        <f t="shared" si="10"/>
        <v>0</v>
      </c>
      <c r="V16" s="8">
        <f t="shared" si="11"/>
        <v>0</v>
      </c>
      <c r="X16" s="324"/>
      <c r="AH16" s="8">
        <f t="shared" si="12"/>
        <v>1</v>
      </c>
    </row>
    <row r="17" spans="2:34">
      <c r="B17" s="160">
        <f t="shared" si="0"/>
        <v>14</v>
      </c>
      <c r="C17" s="190" t="s">
        <v>68</v>
      </c>
      <c r="D17" s="190" t="s">
        <v>108</v>
      </c>
      <c r="E17" s="200"/>
      <c r="F17" s="186">
        <f>IF(TRIM(D17)="","",(SUMIF('PG1'!$D$4:$D$53,D17,'PG1'!$L$4:$L$53)) + (SUMIF('PG2'!$D$4:$D$53,D17,'PG2'!$E$4:$E$53)) + (SUMIF('PG3'!$D$4:$D$53,D17,'PG3'!$E$4:$E$53)))</f>
        <v>0</v>
      </c>
      <c r="G17" s="171">
        <f>IF(TRIM(D17)="","",(SUMIF('PG2'!$D$4:$D$53,D17,'PG2'!$F$4:$F$53)) + (SUMIF('PG3'!$D$4:$D$53,D17,'PG3'!$F$4:$F$53)))</f>
        <v>0</v>
      </c>
      <c r="H17" s="222">
        <f t="shared" si="1"/>
        <v>0</v>
      </c>
      <c r="I17" s="223">
        <f t="shared" si="2"/>
        <v>0</v>
      </c>
      <c r="J17" s="303">
        <f t="shared" si="3"/>
        <v>0</v>
      </c>
      <c r="K17" s="184">
        <f t="shared" si="4"/>
        <v>0</v>
      </c>
      <c r="L17" s="159">
        <f t="shared" si="5"/>
        <v>0</v>
      </c>
      <c r="M17" s="221">
        <f t="shared" si="6"/>
        <v>0</v>
      </c>
      <c r="N17" s="221">
        <f t="shared" si="7"/>
        <v>0</v>
      </c>
      <c r="O17" s="167">
        <f t="shared" si="8"/>
        <v>0</v>
      </c>
      <c r="P17" s="172"/>
      <c r="R17" s="8">
        <v>6.6666666666666679</v>
      </c>
      <c r="S17" s="8">
        <f t="shared" si="9"/>
        <v>13.5</v>
      </c>
      <c r="U17" s="8">
        <f t="shared" si="10"/>
        <v>0</v>
      </c>
      <c r="V17" s="8">
        <f t="shared" si="11"/>
        <v>0</v>
      </c>
      <c r="X17" s="324"/>
      <c r="AH17" s="8">
        <f t="shared" si="12"/>
        <v>1</v>
      </c>
    </row>
    <row r="18" spans="2:34">
      <c r="B18" s="162">
        <f t="shared" si="0"/>
        <v>15</v>
      </c>
      <c r="C18" s="189"/>
      <c r="D18" s="189"/>
      <c r="E18" s="202"/>
      <c r="F18" s="188" t="str">
        <f>IF(TRIM(D18)="","",(SUMIF('PG1'!$D$4:$D$53,D18,'PG1'!$L$4:$L$53)) + (SUMIF('PG2'!$D$4:$D$53,D18,'PG2'!$E$4:$E$53)) + (SUMIF('PG3'!$D$4:$D$53,D18,'PG3'!$E$4:$E$53)))</f>
        <v/>
      </c>
      <c r="G18" s="174" t="str">
        <f>IF(TRIM(D18)="","",(SUMIF('PG2'!$D$4:$D$53,D18,'PG2'!$F$4:$F$53)) + (SUMIF('PG3'!$D$4:$D$53,D18,'PG3'!$F$4:$F$53)))</f>
        <v/>
      </c>
      <c r="H18" s="219" t="str">
        <f t="shared" si="1"/>
        <v/>
      </c>
      <c r="I18" s="224" t="str">
        <f t="shared" si="2"/>
        <v/>
      </c>
      <c r="J18" s="167" t="str">
        <f t="shared" si="3"/>
        <v/>
      </c>
      <c r="K18" s="184" t="str">
        <f t="shared" si="4"/>
        <v/>
      </c>
      <c r="L18" s="159" t="str">
        <f t="shared" si="5"/>
        <v/>
      </c>
      <c r="M18" s="221" t="str">
        <f t="shared" si="6"/>
        <v/>
      </c>
      <c r="N18" s="221" t="str">
        <f t="shared" si="7"/>
        <v/>
      </c>
      <c r="O18" s="167" t="str">
        <f t="shared" si="8"/>
        <v/>
      </c>
      <c r="P18" s="175"/>
      <c r="AH18" s="8">
        <f t="shared" si="12"/>
        <v>0</v>
      </c>
    </row>
    <row r="19" spans="2:34">
      <c r="B19" s="160">
        <f t="shared" si="0"/>
        <v>16</v>
      </c>
      <c r="C19" s="190"/>
      <c r="D19" s="190"/>
      <c r="E19" s="200"/>
      <c r="F19" s="186" t="str">
        <f>IF(TRIM(D19)="","",(SUMIF('PG1'!$D$4:$D$53,D19,'PG1'!$L$4:$L$53)) + (SUMIF('PG2'!$D$4:$D$53,D19,'PG2'!$E$4:$E$53)) + (SUMIF('PG3'!$D$4:$D$53,D19,'PG3'!$E$4:$E$53)))</f>
        <v/>
      </c>
      <c r="G19" s="171" t="str">
        <f>IF(TRIM(D19)="","",(SUMIF('PG2'!$D$4:$D$53,D19,'PG2'!$F$4:$F$53)) + (SUMIF('PG3'!$D$4:$D$53,D19,'PG3'!$F$4:$F$53)))</f>
        <v/>
      </c>
      <c r="H19" s="222" t="str">
        <f t="shared" si="1"/>
        <v/>
      </c>
      <c r="I19" s="223" t="str">
        <f t="shared" si="2"/>
        <v/>
      </c>
      <c r="J19" s="303" t="str">
        <f t="shared" si="3"/>
        <v/>
      </c>
      <c r="K19" s="184" t="str">
        <f t="shared" si="4"/>
        <v/>
      </c>
      <c r="L19" s="159" t="str">
        <f t="shared" si="5"/>
        <v/>
      </c>
      <c r="M19" s="221" t="str">
        <f t="shared" si="6"/>
        <v/>
      </c>
      <c r="N19" s="221" t="str">
        <f t="shared" si="7"/>
        <v/>
      </c>
      <c r="O19" s="167" t="str">
        <f t="shared" si="8"/>
        <v/>
      </c>
      <c r="P19" s="172"/>
      <c r="S19" s="8">
        <f>SUM(S4:S17)</f>
        <v>179.1</v>
      </c>
      <c r="V19" s="8">
        <f>SUM(V4:V17)</f>
        <v>12.488</v>
      </c>
      <c r="AH19" s="8">
        <f t="shared" si="12"/>
        <v>0</v>
      </c>
    </row>
    <row r="20" spans="2:34">
      <c r="B20" s="162">
        <f t="shared" si="0"/>
        <v>17</v>
      </c>
      <c r="C20" s="189"/>
      <c r="D20" s="189"/>
      <c r="E20" s="202"/>
      <c r="F20" s="188" t="str">
        <f>IF(TRIM(D20)="","",(SUMIF('PG1'!$D$4:$D$53,D20,'PG1'!$L$4:$L$53)) + (SUMIF('PG2'!$D$4:$D$53,D20,'PG2'!$E$4:$E$53)) + (SUMIF('PG3'!$D$4:$D$53,D20,'PG3'!$E$4:$E$53)))</f>
        <v/>
      </c>
      <c r="G20" s="174" t="str">
        <f>IF(TRIM(D20)="","",(SUMIF('PG2'!$D$4:$D$53,D20,'PG2'!$F$4:$F$53)) + (SUMIF('PG3'!$D$4:$D$53,D20,'PG3'!$F$4:$F$53)))</f>
        <v/>
      </c>
      <c r="H20" s="219" t="str">
        <f t="shared" si="1"/>
        <v/>
      </c>
      <c r="I20" s="224" t="str">
        <f t="shared" si="2"/>
        <v/>
      </c>
      <c r="J20" s="167" t="str">
        <f t="shared" si="3"/>
        <v/>
      </c>
      <c r="K20" s="184" t="str">
        <f t="shared" si="4"/>
        <v/>
      </c>
      <c r="L20" s="159" t="str">
        <f t="shared" si="5"/>
        <v/>
      </c>
      <c r="M20" s="221" t="str">
        <f t="shared" si="6"/>
        <v/>
      </c>
      <c r="N20" s="221" t="str">
        <f t="shared" si="7"/>
        <v/>
      </c>
      <c r="O20" s="167" t="str">
        <f t="shared" si="8"/>
        <v/>
      </c>
      <c r="P20" s="175"/>
      <c r="AH20" s="8">
        <f t="shared" si="12"/>
        <v>0</v>
      </c>
    </row>
    <row r="21" spans="2:34">
      <c r="B21" s="160">
        <f t="shared" si="0"/>
        <v>18</v>
      </c>
      <c r="C21" s="190"/>
      <c r="D21" s="190"/>
      <c r="E21" s="200"/>
      <c r="F21" s="186" t="str">
        <f>IF(TRIM(D21)="","",(SUMIF('PG1'!$D$4:$D$53,D21,'PG1'!$L$4:$L$53)) + (SUMIF('PG2'!$D$4:$D$53,D21,'PG2'!$E$4:$E$53)) + (SUMIF('PG3'!$D$4:$D$53,D21,'PG3'!$E$4:$E$53)))</f>
        <v/>
      </c>
      <c r="G21" s="171" t="str">
        <f>IF(TRIM(D21)="","",(SUMIF('PG2'!$D$4:$D$53,D21,'PG2'!$F$4:$F$53)) + (SUMIF('PG3'!$D$4:$D$53,D21,'PG3'!$F$4:$F$53)))</f>
        <v/>
      </c>
      <c r="H21" s="222" t="str">
        <f t="shared" si="1"/>
        <v/>
      </c>
      <c r="I21" s="223" t="str">
        <f t="shared" si="2"/>
        <v/>
      </c>
      <c r="J21" s="303" t="str">
        <f t="shared" si="3"/>
        <v/>
      </c>
      <c r="K21" s="184" t="str">
        <f t="shared" si="4"/>
        <v/>
      </c>
      <c r="L21" s="159" t="str">
        <f t="shared" si="5"/>
        <v/>
      </c>
      <c r="M21" s="221" t="str">
        <f t="shared" si="6"/>
        <v/>
      </c>
      <c r="N21" s="221" t="str">
        <f t="shared" si="7"/>
        <v/>
      </c>
      <c r="O21" s="167" t="str">
        <f t="shared" si="8"/>
        <v/>
      </c>
      <c r="P21" s="172"/>
      <c r="AH21" s="8">
        <f t="shared" si="12"/>
        <v>0</v>
      </c>
    </row>
    <row r="22" spans="2:34">
      <c r="B22" s="162">
        <f t="shared" si="0"/>
        <v>19</v>
      </c>
      <c r="C22" s="191"/>
      <c r="D22" s="191"/>
      <c r="E22" s="202"/>
      <c r="F22" s="188" t="str">
        <f>IF(TRIM(D22)="","",(SUMIF('PG1'!$D$4:$D$53,D22,'PG1'!$L$4:$L$53)) + (SUMIF('PG2'!$D$4:$D$53,D22,'PG2'!$E$4:$E$53)) + (SUMIF('PG3'!$D$4:$D$53,D22,'PG3'!$E$4:$E$53)))</f>
        <v/>
      </c>
      <c r="G22" s="174" t="str">
        <f>IF(TRIM(D22)="","",(SUMIF('PG2'!$D$4:$D$53,D22,'PG2'!$F$4:$F$53)) + (SUMIF('PG3'!$D$4:$D$53,D22,'PG3'!$F$4:$F$53)))</f>
        <v/>
      </c>
      <c r="H22" s="219" t="str">
        <f t="shared" si="1"/>
        <v/>
      </c>
      <c r="I22" s="224" t="str">
        <f t="shared" si="2"/>
        <v/>
      </c>
      <c r="J22" s="167" t="str">
        <f t="shared" si="3"/>
        <v/>
      </c>
      <c r="K22" s="184" t="str">
        <f t="shared" si="4"/>
        <v/>
      </c>
      <c r="L22" s="159" t="str">
        <f t="shared" si="5"/>
        <v/>
      </c>
      <c r="M22" s="221" t="str">
        <f t="shared" si="6"/>
        <v/>
      </c>
      <c r="N22" s="221" t="str">
        <f t="shared" si="7"/>
        <v/>
      </c>
      <c r="O22" s="167" t="str">
        <f t="shared" si="8"/>
        <v/>
      </c>
      <c r="P22" s="175"/>
      <c r="AH22" s="8">
        <f t="shared" si="12"/>
        <v>0</v>
      </c>
    </row>
    <row r="23" spans="2:34">
      <c r="B23" s="160">
        <f t="shared" si="0"/>
        <v>20</v>
      </c>
      <c r="C23" s="190"/>
      <c r="D23" s="190"/>
      <c r="E23" s="200"/>
      <c r="F23" s="186" t="str">
        <f>IF(TRIM(D23)="","",(SUMIF('PG1'!$D$4:$D$53,D23,'PG1'!$L$4:$L$53)) + (SUMIF('PG2'!$D$4:$D$53,D23,'PG2'!$E$4:$E$53)) + (SUMIF('PG3'!$D$4:$D$53,D23,'PG3'!$E$4:$E$53)))</f>
        <v/>
      </c>
      <c r="G23" s="171" t="str">
        <f>IF(TRIM(D23)="","",(SUMIF('PG2'!$D$4:$D$53,D23,'PG2'!$F$4:$F$53)) + (SUMIF('PG3'!$D$4:$D$53,D23,'PG3'!$F$4:$F$53)))</f>
        <v/>
      </c>
      <c r="H23" s="222" t="str">
        <f t="shared" si="1"/>
        <v/>
      </c>
      <c r="I23" s="223" t="str">
        <f t="shared" si="2"/>
        <v/>
      </c>
      <c r="J23" s="303" t="str">
        <f t="shared" si="3"/>
        <v/>
      </c>
      <c r="K23" s="184" t="str">
        <f t="shared" si="4"/>
        <v/>
      </c>
      <c r="L23" s="159" t="str">
        <f t="shared" si="5"/>
        <v/>
      </c>
      <c r="M23" s="221" t="str">
        <f t="shared" si="6"/>
        <v/>
      </c>
      <c r="N23" s="221" t="str">
        <f t="shared" si="7"/>
        <v/>
      </c>
      <c r="O23" s="167" t="str">
        <f t="shared" si="8"/>
        <v/>
      </c>
      <c r="P23" s="172"/>
      <c r="V23" s="324"/>
      <c r="AH23" s="8">
        <f t="shared" si="12"/>
        <v>0</v>
      </c>
    </row>
    <row r="24" spans="2:34">
      <c r="B24" s="162">
        <f t="shared" si="0"/>
        <v>21</v>
      </c>
      <c r="C24" s="189"/>
      <c r="D24" s="189"/>
      <c r="E24" s="202"/>
      <c r="F24" s="188" t="str">
        <f>IF(TRIM(D24)="","",(SUMIF('PG1'!$D$4:$D$53,D24,'PG1'!$L$4:$L$53)) + (SUMIF('PG2'!$D$4:$D$53,D24,'PG2'!$E$4:$E$53)) + (SUMIF('PG3'!$D$4:$D$53,D24,'PG3'!$E$4:$E$53)))</f>
        <v/>
      </c>
      <c r="G24" s="174" t="str">
        <f>IF(TRIM(D24)="","",(SUMIF('PG2'!$D$4:$D$53,D24,'PG2'!$F$4:$F$53)) + (SUMIF('PG3'!$D$4:$D$53,D24,'PG3'!$F$4:$F$53)))</f>
        <v/>
      </c>
      <c r="H24" s="219" t="str">
        <f t="shared" si="1"/>
        <v/>
      </c>
      <c r="I24" s="224" t="str">
        <f t="shared" si="2"/>
        <v/>
      </c>
      <c r="J24" s="167" t="str">
        <f t="shared" si="3"/>
        <v/>
      </c>
      <c r="K24" s="184" t="str">
        <f t="shared" si="4"/>
        <v/>
      </c>
      <c r="L24" s="159" t="str">
        <f t="shared" si="5"/>
        <v/>
      </c>
      <c r="M24" s="221" t="str">
        <f t="shared" si="6"/>
        <v/>
      </c>
      <c r="N24" s="221" t="str">
        <f t="shared" si="7"/>
        <v/>
      </c>
      <c r="O24" s="167" t="str">
        <f t="shared" si="8"/>
        <v/>
      </c>
      <c r="P24" s="175"/>
      <c r="AH24" s="8">
        <f t="shared" si="12"/>
        <v>0</v>
      </c>
    </row>
    <row r="25" spans="2:34">
      <c r="B25" s="160">
        <f t="shared" si="0"/>
        <v>22</v>
      </c>
      <c r="C25" s="190"/>
      <c r="D25" s="190"/>
      <c r="E25" s="200"/>
      <c r="F25" s="186" t="str">
        <f>IF(TRIM(D25)="","",(SUMIF('PG1'!$D$4:$D$53,D25,'PG1'!$L$4:$L$53)) + (SUMIF('PG2'!$D$4:$D$53,D25,'PG2'!$E$4:$E$53)) + (SUMIF('PG3'!$D$4:$D$53,D25,'PG3'!$E$4:$E$53)))</f>
        <v/>
      </c>
      <c r="G25" s="171" t="str">
        <f>IF(TRIM(D25)="","",(SUMIF('PG2'!$D$4:$D$53,D25,'PG2'!$F$4:$F$53)) + (SUMIF('PG3'!$D$4:$D$53,D25,'PG3'!$F$4:$F$53)))</f>
        <v/>
      </c>
      <c r="H25" s="222" t="str">
        <f t="shared" si="1"/>
        <v/>
      </c>
      <c r="I25" s="223" t="str">
        <f t="shared" si="2"/>
        <v/>
      </c>
      <c r="J25" s="303" t="str">
        <f t="shared" si="3"/>
        <v/>
      </c>
      <c r="K25" s="184" t="str">
        <f t="shared" si="4"/>
        <v/>
      </c>
      <c r="L25" s="159" t="str">
        <f t="shared" si="5"/>
        <v/>
      </c>
      <c r="M25" s="221" t="str">
        <f t="shared" si="6"/>
        <v/>
      </c>
      <c r="N25" s="221" t="str">
        <f t="shared" si="7"/>
        <v/>
      </c>
      <c r="O25" s="167" t="str">
        <f t="shared" si="8"/>
        <v/>
      </c>
      <c r="P25" s="172"/>
      <c r="AH25" s="8">
        <f t="shared" si="12"/>
        <v>0</v>
      </c>
    </row>
    <row r="26" spans="2:34">
      <c r="B26" s="162">
        <f t="shared" si="0"/>
        <v>23</v>
      </c>
      <c r="C26" s="189"/>
      <c r="D26" s="189"/>
      <c r="E26" s="202"/>
      <c r="F26" s="188" t="str">
        <f>IF(TRIM(D26)="","",(SUMIF('PG1'!$D$4:$D$53,D26,'PG1'!$L$4:$L$53)) + (SUMIF('PG2'!$D$4:$D$53,D26,'PG2'!$E$4:$E$53)) + (SUMIF('PG3'!$D$4:$D$53,D26,'PG3'!$E$4:$E$53)))</f>
        <v/>
      </c>
      <c r="G26" s="174" t="str">
        <f>IF(TRIM(D26)="","",(SUMIF('PG2'!$D$4:$D$53,D26,'PG2'!$F$4:$F$53)) + (SUMIF('PG3'!$D$4:$D$53,D26,'PG3'!$F$4:$F$53)))</f>
        <v/>
      </c>
      <c r="H26" s="219" t="str">
        <f t="shared" si="1"/>
        <v/>
      </c>
      <c r="I26" s="224" t="str">
        <f t="shared" si="2"/>
        <v/>
      </c>
      <c r="J26" s="167" t="str">
        <f t="shared" si="3"/>
        <v/>
      </c>
      <c r="K26" s="184" t="str">
        <f t="shared" si="4"/>
        <v/>
      </c>
      <c r="L26" s="159" t="str">
        <f t="shared" si="5"/>
        <v/>
      </c>
      <c r="M26" s="221" t="str">
        <f t="shared" si="6"/>
        <v/>
      </c>
      <c r="N26" s="221" t="str">
        <f t="shared" si="7"/>
        <v/>
      </c>
      <c r="O26" s="167" t="str">
        <f t="shared" si="8"/>
        <v/>
      </c>
      <c r="P26" s="175"/>
      <c r="AH26" s="8">
        <f t="shared" si="12"/>
        <v>0</v>
      </c>
    </row>
    <row r="27" spans="2:34">
      <c r="B27" s="160">
        <f t="shared" si="0"/>
        <v>24</v>
      </c>
      <c r="C27" s="190"/>
      <c r="D27" s="190"/>
      <c r="E27" s="200"/>
      <c r="F27" s="186" t="str">
        <f>IF(TRIM(D27)="","",(SUMIF('PG1'!$D$4:$D$53,D27,'PG1'!$L$4:$L$53)) + (SUMIF('PG2'!$D$4:$D$53,D27,'PG2'!$E$4:$E$53)) + (SUMIF('PG3'!$D$4:$D$53,D27,'PG3'!$E$4:$E$53)))</f>
        <v/>
      </c>
      <c r="G27" s="171" t="str">
        <f>IF(TRIM(D27)="","",(SUMIF('PG2'!$D$4:$D$53,D27,'PG2'!$F$4:$F$53)) + (SUMIF('PG3'!$D$4:$D$53,D27,'PG3'!$F$4:$F$53)))</f>
        <v/>
      </c>
      <c r="H27" s="222" t="str">
        <f t="shared" si="1"/>
        <v/>
      </c>
      <c r="I27" s="223" t="str">
        <f t="shared" si="2"/>
        <v/>
      </c>
      <c r="J27" s="303" t="str">
        <f t="shared" si="3"/>
        <v/>
      </c>
      <c r="K27" s="184" t="str">
        <f t="shared" si="4"/>
        <v/>
      </c>
      <c r="L27" s="159" t="str">
        <f t="shared" si="5"/>
        <v/>
      </c>
      <c r="M27" s="221" t="str">
        <f t="shared" si="6"/>
        <v/>
      </c>
      <c r="N27" s="221" t="str">
        <f t="shared" si="7"/>
        <v/>
      </c>
      <c r="O27" s="167" t="str">
        <f t="shared" si="8"/>
        <v/>
      </c>
      <c r="P27" s="172"/>
      <c r="AH27" s="8">
        <f t="shared" si="12"/>
        <v>0</v>
      </c>
    </row>
    <row r="28" spans="2:34">
      <c r="B28" s="162">
        <f t="shared" si="0"/>
        <v>25</v>
      </c>
      <c r="C28" s="189"/>
      <c r="D28" s="189"/>
      <c r="E28" s="202"/>
      <c r="F28" s="188" t="str">
        <f>IF(TRIM(D28)="","",(SUMIF('PG1'!$D$4:$D$53,D28,'PG1'!$L$4:$L$53)) + (SUMIF('PG2'!$D$4:$D$53,D28,'PG2'!$E$4:$E$53)) + (SUMIF('PG3'!$D$4:$D$53,D28,'PG3'!$E$4:$E$53)))</f>
        <v/>
      </c>
      <c r="G28" s="174" t="str">
        <f>IF(TRIM(D28)="","",(SUMIF('PG2'!$D$4:$D$53,D28,'PG2'!$F$4:$F$53)) + (SUMIF('PG3'!$D$4:$D$53,D28,'PG3'!$F$4:$F$53)))</f>
        <v/>
      </c>
      <c r="H28" s="219" t="str">
        <f t="shared" si="1"/>
        <v/>
      </c>
      <c r="I28" s="224" t="str">
        <f t="shared" si="2"/>
        <v/>
      </c>
      <c r="J28" s="167" t="str">
        <f t="shared" si="3"/>
        <v/>
      </c>
      <c r="K28" s="184" t="str">
        <f t="shared" si="4"/>
        <v/>
      </c>
      <c r="L28" s="159" t="str">
        <f t="shared" si="5"/>
        <v/>
      </c>
      <c r="M28" s="221" t="str">
        <f t="shared" si="6"/>
        <v/>
      </c>
      <c r="N28" s="221" t="str">
        <f t="shared" si="7"/>
        <v/>
      </c>
      <c r="O28" s="167" t="str">
        <f t="shared" si="8"/>
        <v/>
      </c>
      <c r="P28" s="175"/>
      <c r="AH28" s="8">
        <f t="shared" si="12"/>
        <v>0</v>
      </c>
    </row>
    <row r="29" spans="2:34">
      <c r="B29" s="160">
        <f t="shared" si="0"/>
        <v>26</v>
      </c>
      <c r="C29" s="190"/>
      <c r="D29" s="190"/>
      <c r="E29" s="200"/>
      <c r="F29" s="186" t="str">
        <f>IF(TRIM(D29)="","",(SUMIF('PG1'!$D$4:$D$53,D29,'PG1'!$L$4:$L$53)) + (SUMIF('PG2'!$D$4:$D$53,D29,'PG2'!$E$4:$E$53)) + (SUMIF('PG3'!$D$4:$D$53,D29,'PG3'!$E$4:$E$53)))</f>
        <v/>
      </c>
      <c r="G29" s="171" t="str">
        <f>IF(TRIM(D29)="","",(SUMIF('PG2'!$D$4:$D$53,D29,'PG2'!$F$4:$F$53)) + (SUMIF('PG3'!$D$4:$D$53,D29,'PG3'!$F$4:$F$53)))</f>
        <v/>
      </c>
      <c r="H29" s="222" t="str">
        <f t="shared" si="1"/>
        <v/>
      </c>
      <c r="I29" s="223" t="str">
        <f t="shared" si="2"/>
        <v/>
      </c>
      <c r="J29" s="303" t="str">
        <f t="shared" si="3"/>
        <v/>
      </c>
      <c r="K29" s="184" t="str">
        <f t="shared" si="4"/>
        <v/>
      </c>
      <c r="L29" s="159" t="str">
        <f t="shared" si="5"/>
        <v/>
      </c>
      <c r="M29" s="221" t="str">
        <f t="shared" si="6"/>
        <v/>
      </c>
      <c r="N29" s="221" t="str">
        <f t="shared" si="7"/>
        <v/>
      </c>
      <c r="O29" s="167" t="str">
        <f t="shared" si="8"/>
        <v/>
      </c>
      <c r="P29" s="172"/>
      <c r="AH29" s="8">
        <f t="shared" si="12"/>
        <v>0</v>
      </c>
    </row>
    <row r="30" spans="2:34">
      <c r="B30" s="162">
        <f t="shared" si="0"/>
        <v>27</v>
      </c>
      <c r="C30" s="189"/>
      <c r="D30" s="189"/>
      <c r="E30" s="202"/>
      <c r="F30" s="188" t="str">
        <f>IF(TRIM(D30)="","",(SUMIF('PG1'!$D$4:$D$53,D30,'PG1'!$L$4:$L$53)) + (SUMIF('PG2'!$D$4:$D$53,D30,'PG2'!$E$4:$E$53)) + (SUMIF('PG3'!$D$4:$D$53,D30,'PG3'!$E$4:$E$53)))</f>
        <v/>
      </c>
      <c r="G30" s="174" t="str">
        <f>IF(TRIM(D30)="","",(SUMIF('PG2'!$D$4:$D$53,D30,'PG2'!$F$4:$F$53)) + (SUMIF('PG3'!$D$4:$D$53,D30,'PG3'!$F$4:$F$53)))</f>
        <v/>
      </c>
      <c r="H30" s="219" t="str">
        <f t="shared" si="1"/>
        <v/>
      </c>
      <c r="I30" s="224" t="str">
        <f t="shared" si="2"/>
        <v/>
      </c>
      <c r="J30" s="167" t="str">
        <f t="shared" si="3"/>
        <v/>
      </c>
      <c r="K30" s="184" t="str">
        <f t="shared" si="4"/>
        <v/>
      </c>
      <c r="L30" s="159" t="str">
        <f t="shared" si="5"/>
        <v/>
      </c>
      <c r="M30" s="221" t="str">
        <f t="shared" si="6"/>
        <v/>
      </c>
      <c r="N30" s="221" t="str">
        <f t="shared" si="7"/>
        <v/>
      </c>
      <c r="O30" s="167" t="str">
        <f t="shared" si="8"/>
        <v/>
      </c>
      <c r="P30" s="175"/>
      <c r="AH30" s="8">
        <f t="shared" si="12"/>
        <v>0</v>
      </c>
    </row>
    <row r="31" spans="2:34">
      <c r="B31" s="160">
        <f t="shared" si="0"/>
        <v>28</v>
      </c>
      <c r="C31" s="190"/>
      <c r="D31" s="190"/>
      <c r="E31" s="200"/>
      <c r="F31" s="186" t="str">
        <f>IF(TRIM(D31)="","",(SUMIF('PG1'!$D$4:$D$53,D31,'PG1'!$L$4:$L$53)) + (SUMIF('PG2'!$D$4:$D$53,D31,'PG2'!$E$4:$E$53)) + (SUMIF('PG3'!$D$4:$D$53,D31,'PG3'!$E$4:$E$53)))</f>
        <v/>
      </c>
      <c r="G31" s="171" t="str">
        <f>IF(TRIM(D31)="","",(SUMIF('PG2'!$D$4:$D$53,D31,'PG2'!$F$4:$F$53)) + (SUMIF('PG3'!$D$4:$D$53,D31,'PG3'!$F$4:$F$53)))</f>
        <v/>
      </c>
      <c r="H31" s="222" t="str">
        <f t="shared" si="1"/>
        <v/>
      </c>
      <c r="I31" s="223" t="str">
        <f t="shared" si="2"/>
        <v/>
      </c>
      <c r="J31" s="303" t="str">
        <f t="shared" si="3"/>
        <v/>
      </c>
      <c r="K31" s="184" t="str">
        <f t="shared" si="4"/>
        <v/>
      </c>
      <c r="L31" s="159" t="str">
        <f t="shared" si="5"/>
        <v/>
      </c>
      <c r="M31" s="221" t="str">
        <f t="shared" si="6"/>
        <v/>
      </c>
      <c r="N31" s="221" t="str">
        <f t="shared" si="7"/>
        <v/>
      </c>
      <c r="O31" s="167" t="str">
        <f t="shared" si="8"/>
        <v/>
      </c>
      <c r="P31" s="172"/>
      <c r="AH31" s="8">
        <f t="shared" si="12"/>
        <v>0</v>
      </c>
    </row>
    <row r="32" spans="2:34">
      <c r="B32" s="162">
        <f t="shared" si="0"/>
        <v>29</v>
      </c>
      <c r="C32" s="191"/>
      <c r="D32" s="191"/>
      <c r="E32" s="202"/>
      <c r="F32" s="188" t="str">
        <f>IF(TRIM(D32)="","",(SUMIF('PG1'!$D$4:$D$53,D32,'PG1'!$L$4:$L$53)) + (SUMIF('PG2'!$D$4:$D$53,D32,'PG2'!$E$4:$E$53)) + (SUMIF('PG3'!$D$4:$D$53,D32,'PG3'!$E$4:$E$53)))</f>
        <v/>
      </c>
      <c r="G32" s="174" t="str">
        <f>IF(TRIM(D32)="","",(SUMIF('PG2'!$D$4:$D$53,D32,'PG2'!$F$4:$F$53)) + (SUMIF('PG3'!$D$4:$D$53,D32,'PG3'!$F$4:$F$53)))</f>
        <v/>
      </c>
      <c r="H32" s="219" t="str">
        <f t="shared" si="1"/>
        <v/>
      </c>
      <c r="I32" s="224" t="str">
        <f t="shared" si="2"/>
        <v/>
      </c>
      <c r="J32" s="167" t="str">
        <f t="shared" si="3"/>
        <v/>
      </c>
      <c r="K32" s="184" t="str">
        <f t="shared" si="4"/>
        <v/>
      </c>
      <c r="L32" s="159" t="str">
        <f t="shared" si="5"/>
        <v/>
      </c>
      <c r="M32" s="221" t="str">
        <f t="shared" si="6"/>
        <v/>
      </c>
      <c r="N32" s="221" t="str">
        <f t="shared" si="7"/>
        <v/>
      </c>
      <c r="O32" s="167" t="str">
        <f t="shared" si="8"/>
        <v/>
      </c>
      <c r="P32" s="175"/>
      <c r="AH32" s="8">
        <f t="shared" si="12"/>
        <v>0</v>
      </c>
    </row>
    <row r="33" spans="2:34">
      <c r="B33" s="160">
        <f t="shared" si="0"/>
        <v>30</v>
      </c>
      <c r="C33" s="190"/>
      <c r="D33" s="190"/>
      <c r="E33" s="200"/>
      <c r="F33" s="186" t="str">
        <f>IF(TRIM(D33)="","",(SUMIF('PG1'!$D$4:$D$53,D33,'PG1'!$L$4:$L$53)) + (SUMIF('PG2'!$D$4:$D$53,D33,'PG2'!$E$4:$E$53)) + (SUMIF('PG3'!$D$4:$D$53,D33,'PG3'!$E$4:$E$53)))</f>
        <v/>
      </c>
      <c r="G33" s="171" t="str">
        <f>IF(TRIM(D33)="","",(SUMIF('PG2'!$D$4:$D$53,D33,'PG2'!$F$4:$F$53)) + (SUMIF('PG3'!$D$4:$D$53,D33,'PG3'!$F$4:$F$53)))</f>
        <v/>
      </c>
      <c r="H33" s="222" t="str">
        <f t="shared" si="1"/>
        <v/>
      </c>
      <c r="I33" s="223" t="str">
        <f t="shared" si="2"/>
        <v/>
      </c>
      <c r="J33" s="303" t="str">
        <f t="shared" si="3"/>
        <v/>
      </c>
      <c r="K33" s="184" t="str">
        <f t="shared" si="4"/>
        <v/>
      </c>
      <c r="L33" s="159" t="str">
        <f t="shared" si="5"/>
        <v/>
      </c>
      <c r="M33" s="221" t="str">
        <f t="shared" si="6"/>
        <v/>
      </c>
      <c r="N33" s="221" t="str">
        <f t="shared" si="7"/>
        <v/>
      </c>
      <c r="O33" s="167" t="str">
        <f t="shared" si="8"/>
        <v/>
      </c>
      <c r="P33" s="172"/>
      <c r="AH33" s="8">
        <f t="shared" si="12"/>
        <v>0</v>
      </c>
    </row>
    <row r="34" spans="2:34">
      <c r="B34" s="162">
        <f t="shared" si="0"/>
        <v>31</v>
      </c>
      <c r="C34" s="189"/>
      <c r="D34" s="189"/>
      <c r="E34" s="202"/>
      <c r="F34" s="188" t="str">
        <f>IF(TRIM(D34)="","",(SUMIF('PG1'!$D$4:$D$53,D34,'PG1'!$L$4:$L$53)) + (SUMIF('PG2'!$D$4:$D$53,D34,'PG2'!$E$4:$E$53)) + (SUMIF('PG3'!$D$4:$D$53,D34,'PG3'!$E$4:$E$53)))</f>
        <v/>
      </c>
      <c r="G34" s="174" t="str">
        <f>IF(TRIM(D34)="","",(SUMIF('PG2'!$D$4:$D$53,D34,'PG2'!$F$4:$F$53)) + (SUMIF('PG3'!$D$4:$D$53,D34,'PG3'!$F$4:$F$53)))</f>
        <v/>
      </c>
      <c r="H34" s="219" t="str">
        <f t="shared" si="1"/>
        <v/>
      </c>
      <c r="I34" s="224" t="str">
        <f t="shared" si="2"/>
        <v/>
      </c>
      <c r="J34" s="167" t="str">
        <f t="shared" si="3"/>
        <v/>
      </c>
      <c r="K34" s="184" t="str">
        <f t="shared" si="4"/>
        <v/>
      </c>
      <c r="L34" s="159" t="str">
        <f t="shared" si="5"/>
        <v/>
      </c>
      <c r="M34" s="221" t="str">
        <f t="shared" si="6"/>
        <v/>
      </c>
      <c r="N34" s="221" t="str">
        <f t="shared" si="7"/>
        <v/>
      </c>
      <c r="O34" s="167" t="str">
        <f t="shared" si="8"/>
        <v/>
      </c>
      <c r="P34" s="175"/>
      <c r="AH34" s="8">
        <f t="shared" si="12"/>
        <v>0</v>
      </c>
    </row>
    <row r="35" spans="2:34">
      <c r="B35" s="160">
        <f t="shared" si="0"/>
        <v>32</v>
      </c>
      <c r="C35" s="190"/>
      <c r="D35" s="190"/>
      <c r="E35" s="200"/>
      <c r="F35" s="186" t="str">
        <f>IF(TRIM(D35)="","",(SUMIF('PG1'!$D$4:$D$53,D35,'PG1'!$L$4:$L$53)) + (SUMIF('PG2'!$D$4:$D$53,D35,'PG2'!$E$4:$E$53)) + (SUMIF('PG3'!$D$4:$D$53,D35,'PG3'!$E$4:$E$53)))</f>
        <v/>
      </c>
      <c r="G35" s="171" t="str">
        <f>IF(TRIM(D35)="","",(SUMIF('PG2'!$D$4:$D$53,D35,'PG2'!$F$4:$F$53)) + (SUMIF('PG3'!$D$4:$D$53,D35,'PG3'!$F$4:$F$53)))</f>
        <v/>
      </c>
      <c r="H35" s="222" t="str">
        <f t="shared" si="1"/>
        <v/>
      </c>
      <c r="I35" s="223" t="str">
        <f t="shared" si="2"/>
        <v/>
      </c>
      <c r="J35" s="303" t="str">
        <f t="shared" si="3"/>
        <v/>
      </c>
      <c r="K35" s="184" t="str">
        <f t="shared" si="4"/>
        <v/>
      </c>
      <c r="L35" s="159" t="str">
        <f t="shared" si="5"/>
        <v/>
      </c>
      <c r="M35" s="221" t="str">
        <f t="shared" si="6"/>
        <v/>
      </c>
      <c r="N35" s="221" t="str">
        <f t="shared" si="7"/>
        <v/>
      </c>
      <c r="O35" s="167" t="str">
        <f t="shared" si="8"/>
        <v/>
      </c>
      <c r="P35" s="172"/>
      <c r="AH35" s="8">
        <f t="shared" si="12"/>
        <v>0</v>
      </c>
    </row>
    <row r="36" spans="2:34">
      <c r="B36" s="162">
        <f t="shared" ref="B36:B53" si="13">ROW() - 3</f>
        <v>33</v>
      </c>
      <c r="C36" s="189"/>
      <c r="D36" s="189"/>
      <c r="E36" s="202"/>
      <c r="F36" s="188" t="str">
        <f>IF(TRIM(D36)="","",(SUMIF('PG1'!$D$4:$D$53,D36,'PG1'!$L$4:$L$53)) + (SUMIF('PG2'!$D$4:$D$53,D36,'PG2'!$E$4:$E$53)) + (SUMIF('PG3'!$D$4:$D$53,D36,'PG3'!$E$4:$E$53)))</f>
        <v/>
      </c>
      <c r="G36" s="174" t="str">
        <f>IF(TRIM(D36)="","",(SUMIF('PG2'!$D$4:$D$53,D36,'PG2'!$F$4:$F$53)) + (SUMIF('PG3'!$D$4:$D$53,D36,'PG3'!$F$4:$F$53)))</f>
        <v/>
      </c>
      <c r="H36" s="219" t="str">
        <f t="shared" ref="H36:H53" si="14">IF(TRIM(D36)="","",CEILING(F36/1000*NEW2_CaseRate_ST+G36/1000*REUSE2_CaseRate_ST,1))</f>
        <v/>
      </c>
      <c r="I36" s="224" t="str">
        <f t="shared" ref="I36:I53" si="15">IF(TRIM(D36)="","",IF(E36&lt;&gt;"",E36*H36/PT2_ST_Base*PT2_ST_Unit,1*H36/PT2_ST_Base*PT2_ST_Unit))</f>
        <v/>
      </c>
      <c r="J36" s="167" t="str">
        <f t="shared" ref="J36:J53" si="16">IF(TRIM(D36)="","",((F36/1000)+(G36/1000)*SampleLOCConvRate)*AvgSTBugKLOC*Fix1STBugFUP)</f>
        <v/>
      </c>
      <c r="K36" s="184" t="str">
        <f t="shared" ref="K36:K53" si="17">IF(TRIM(C36)="","",IF(I36 &gt;= 1,CEILING(I36*UnitPoint_Effort_Rate*Test2Doc_Rate_ST*10/5,1)*5/10,I36*UnitPoint_Effort_Rate*Test2Doc_Rate_ST))</f>
        <v/>
      </c>
      <c r="L36" s="159" t="str">
        <f t="shared" ref="L36:L53" si="18">IF(TRIM(C36)="","",IF(I36 &gt;= 1, CEILING(I36*UnitPoint_Effort_Rate*Test2Data_Rate_ST*10/5,1)*5/10,I36*UnitPoint_Effort_Rate*Test2Data_Rate_ST))</f>
        <v/>
      </c>
      <c r="M36" s="221" t="str">
        <f t="shared" ref="M36:M53" si="19">IF(TRIM(C36)="","",CEILING(I36*UnitPoint_Effort_Rate*Test2Execute_Rate_ST*10/5,1)*5/10)</f>
        <v/>
      </c>
      <c r="N36" s="221" t="str">
        <f t="shared" ref="N36:N53" si="20">IF(TRIM(D36)="","",IF(I36 &gt;= 1,CEILING(I36*UnitPoint_Effort_Rate*Test2Evidence_Rate_ST*10/5,1)*5/10,I36*UnitPoint_Effort_Rate*Test2Evidence_Rate_ST))</f>
        <v/>
      </c>
      <c r="O36" s="167" t="str">
        <f t="shared" ref="O36:O53" si="21">IF(TRIM(D36)="","",IF(J36 &gt;= 1,CEILING(J36*UnitPoint_Effort_Rate*10/5,1)*5/10,J36*UnitPoint_Effort_Rate))</f>
        <v/>
      </c>
      <c r="P36" s="175"/>
      <c r="AH36" s="8">
        <f t="shared" si="12"/>
        <v>0</v>
      </c>
    </row>
    <row r="37" spans="2:34">
      <c r="B37" s="160">
        <f t="shared" si="13"/>
        <v>34</v>
      </c>
      <c r="C37" s="190"/>
      <c r="D37" s="190"/>
      <c r="E37" s="200"/>
      <c r="F37" s="186" t="str">
        <f>IF(TRIM(D37)="","",(SUMIF('PG1'!$D$4:$D$53,D37,'PG1'!$L$4:$L$53)) + (SUMIF('PG2'!$D$4:$D$53,D37,'PG2'!$E$4:$E$53)) + (SUMIF('PG3'!$D$4:$D$53,D37,'PG3'!$E$4:$E$53)))</f>
        <v/>
      </c>
      <c r="G37" s="171" t="str">
        <f>IF(TRIM(D37)="","",(SUMIF('PG2'!$D$4:$D$53,D37,'PG2'!$F$4:$F$53)) + (SUMIF('PG3'!$D$4:$D$53,D37,'PG3'!$F$4:$F$53)))</f>
        <v/>
      </c>
      <c r="H37" s="222" t="str">
        <f t="shared" si="14"/>
        <v/>
      </c>
      <c r="I37" s="223" t="str">
        <f t="shared" si="15"/>
        <v/>
      </c>
      <c r="J37" s="303" t="str">
        <f t="shared" si="16"/>
        <v/>
      </c>
      <c r="K37" s="184" t="str">
        <f t="shared" si="17"/>
        <v/>
      </c>
      <c r="L37" s="159" t="str">
        <f t="shared" si="18"/>
        <v/>
      </c>
      <c r="M37" s="221" t="str">
        <f t="shared" si="19"/>
        <v/>
      </c>
      <c r="N37" s="221" t="str">
        <f t="shared" si="20"/>
        <v/>
      </c>
      <c r="O37" s="167" t="str">
        <f t="shared" si="21"/>
        <v/>
      </c>
      <c r="P37" s="172"/>
      <c r="AH37" s="8">
        <f t="shared" si="12"/>
        <v>0</v>
      </c>
    </row>
    <row r="38" spans="2:34">
      <c r="B38" s="162">
        <f t="shared" si="13"/>
        <v>35</v>
      </c>
      <c r="C38" s="189"/>
      <c r="D38" s="189"/>
      <c r="E38" s="202"/>
      <c r="F38" s="188" t="str">
        <f>IF(TRIM(D38)="","",(SUMIF('PG1'!$D$4:$D$53,D38,'PG1'!$L$4:$L$53)) + (SUMIF('PG2'!$D$4:$D$53,D38,'PG2'!$E$4:$E$53)) + (SUMIF('PG3'!$D$4:$D$53,D38,'PG3'!$E$4:$E$53)))</f>
        <v/>
      </c>
      <c r="G38" s="174" t="str">
        <f>IF(TRIM(D38)="","",(SUMIF('PG2'!$D$4:$D$53,D38,'PG2'!$F$4:$F$53)) + (SUMIF('PG3'!$D$4:$D$53,D38,'PG3'!$F$4:$F$53)))</f>
        <v/>
      </c>
      <c r="H38" s="219" t="str">
        <f t="shared" si="14"/>
        <v/>
      </c>
      <c r="I38" s="224" t="str">
        <f t="shared" si="15"/>
        <v/>
      </c>
      <c r="J38" s="167" t="str">
        <f t="shared" si="16"/>
        <v/>
      </c>
      <c r="K38" s="184" t="str">
        <f t="shared" si="17"/>
        <v/>
      </c>
      <c r="L38" s="159" t="str">
        <f t="shared" si="18"/>
        <v/>
      </c>
      <c r="M38" s="221" t="str">
        <f t="shared" si="19"/>
        <v/>
      </c>
      <c r="N38" s="221" t="str">
        <f t="shared" si="20"/>
        <v/>
      </c>
      <c r="O38" s="167" t="str">
        <f t="shared" si="21"/>
        <v/>
      </c>
      <c r="P38" s="175"/>
      <c r="AH38" s="8">
        <f t="shared" si="12"/>
        <v>0</v>
      </c>
    </row>
    <row r="39" spans="2:34">
      <c r="B39" s="160">
        <f t="shared" si="13"/>
        <v>36</v>
      </c>
      <c r="C39" s="190"/>
      <c r="D39" s="190"/>
      <c r="E39" s="200"/>
      <c r="F39" s="186" t="str">
        <f>IF(TRIM(D39)="","",(SUMIF('PG1'!$D$4:$D$53,D39,'PG1'!$L$4:$L$53)) + (SUMIF('PG2'!$D$4:$D$53,D39,'PG2'!$E$4:$E$53)) + (SUMIF('PG3'!$D$4:$D$53,D39,'PG3'!$E$4:$E$53)))</f>
        <v/>
      </c>
      <c r="G39" s="171" t="str">
        <f>IF(TRIM(D39)="","",(SUMIF('PG2'!$D$4:$D$53,D39,'PG2'!$F$4:$F$53)) + (SUMIF('PG3'!$D$4:$D$53,D39,'PG3'!$F$4:$F$53)))</f>
        <v/>
      </c>
      <c r="H39" s="222" t="str">
        <f t="shared" si="14"/>
        <v/>
      </c>
      <c r="I39" s="223" t="str">
        <f t="shared" si="15"/>
        <v/>
      </c>
      <c r="J39" s="303" t="str">
        <f t="shared" si="16"/>
        <v/>
      </c>
      <c r="K39" s="184" t="str">
        <f t="shared" si="17"/>
        <v/>
      </c>
      <c r="L39" s="159" t="str">
        <f t="shared" si="18"/>
        <v/>
      </c>
      <c r="M39" s="221" t="str">
        <f t="shared" si="19"/>
        <v/>
      </c>
      <c r="N39" s="221" t="str">
        <f t="shared" si="20"/>
        <v/>
      </c>
      <c r="O39" s="167" t="str">
        <f t="shared" si="21"/>
        <v/>
      </c>
      <c r="P39" s="172"/>
      <c r="AH39" s="8">
        <f t="shared" si="12"/>
        <v>0</v>
      </c>
    </row>
    <row r="40" spans="2:34">
      <c r="B40" s="162">
        <f t="shared" si="13"/>
        <v>37</v>
      </c>
      <c r="C40" s="189"/>
      <c r="D40" s="189"/>
      <c r="E40" s="202"/>
      <c r="F40" s="188" t="str">
        <f>IF(TRIM(D40)="","",(SUMIF('PG1'!$D$4:$D$53,D40,'PG1'!$L$4:$L$53)) + (SUMIF('PG2'!$D$4:$D$53,D40,'PG2'!$E$4:$E$53)) + (SUMIF('PG3'!$D$4:$D$53,D40,'PG3'!$E$4:$E$53)))</f>
        <v/>
      </c>
      <c r="G40" s="174" t="str">
        <f>IF(TRIM(D40)="","",(SUMIF('PG2'!$D$4:$D$53,D40,'PG2'!$F$4:$F$53)) + (SUMIF('PG3'!$D$4:$D$53,D40,'PG3'!$F$4:$F$53)))</f>
        <v/>
      </c>
      <c r="H40" s="219" t="str">
        <f t="shared" si="14"/>
        <v/>
      </c>
      <c r="I40" s="224" t="str">
        <f t="shared" si="15"/>
        <v/>
      </c>
      <c r="J40" s="167" t="str">
        <f t="shared" si="16"/>
        <v/>
      </c>
      <c r="K40" s="184" t="str">
        <f t="shared" si="17"/>
        <v/>
      </c>
      <c r="L40" s="159" t="str">
        <f t="shared" si="18"/>
        <v/>
      </c>
      <c r="M40" s="221" t="str">
        <f t="shared" si="19"/>
        <v/>
      </c>
      <c r="N40" s="221" t="str">
        <f t="shared" si="20"/>
        <v/>
      </c>
      <c r="O40" s="167" t="str">
        <f t="shared" si="21"/>
        <v/>
      </c>
      <c r="P40" s="175"/>
      <c r="AH40" s="8">
        <f t="shared" si="12"/>
        <v>0</v>
      </c>
    </row>
    <row r="41" spans="2:34">
      <c r="B41" s="160">
        <f t="shared" si="13"/>
        <v>38</v>
      </c>
      <c r="C41" s="190"/>
      <c r="D41" s="190"/>
      <c r="E41" s="200"/>
      <c r="F41" s="186" t="str">
        <f>IF(TRIM(D41)="","",(SUMIF('PG1'!$D$4:$D$53,D41,'PG1'!$L$4:$L$53)) + (SUMIF('PG2'!$D$4:$D$53,D41,'PG2'!$E$4:$E$53)) + (SUMIF('PG3'!$D$4:$D$53,D41,'PG3'!$E$4:$E$53)))</f>
        <v/>
      </c>
      <c r="G41" s="171" t="str">
        <f>IF(TRIM(D41)="","",(SUMIF('PG2'!$D$4:$D$53,D41,'PG2'!$F$4:$F$53)) + (SUMIF('PG3'!$D$4:$D$53,D41,'PG3'!$F$4:$F$53)))</f>
        <v/>
      </c>
      <c r="H41" s="222" t="str">
        <f t="shared" si="14"/>
        <v/>
      </c>
      <c r="I41" s="223" t="str">
        <f t="shared" si="15"/>
        <v/>
      </c>
      <c r="J41" s="303" t="str">
        <f t="shared" si="16"/>
        <v/>
      </c>
      <c r="K41" s="184" t="str">
        <f t="shared" si="17"/>
        <v/>
      </c>
      <c r="L41" s="159" t="str">
        <f t="shared" si="18"/>
        <v/>
      </c>
      <c r="M41" s="221" t="str">
        <f t="shared" si="19"/>
        <v/>
      </c>
      <c r="N41" s="221" t="str">
        <f t="shared" si="20"/>
        <v/>
      </c>
      <c r="O41" s="167" t="str">
        <f t="shared" si="21"/>
        <v/>
      </c>
      <c r="P41" s="172"/>
      <c r="AH41" s="8">
        <f t="shared" si="12"/>
        <v>0</v>
      </c>
    </row>
    <row r="42" spans="2:34">
      <c r="B42" s="162">
        <f t="shared" si="13"/>
        <v>39</v>
      </c>
      <c r="C42" s="191"/>
      <c r="D42" s="191"/>
      <c r="E42" s="202"/>
      <c r="F42" s="188" t="str">
        <f>IF(TRIM(D42)="","",(SUMIF('PG1'!$D$4:$D$53,D42,'PG1'!$L$4:$L$53)) + (SUMIF('PG2'!$D$4:$D$53,D42,'PG2'!$E$4:$E$53)) + (SUMIF('PG3'!$D$4:$D$53,D42,'PG3'!$E$4:$E$53)))</f>
        <v/>
      </c>
      <c r="G42" s="174" t="str">
        <f>IF(TRIM(D42)="","",(SUMIF('PG2'!$D$4:$D$53,D42,'PG2'!$F$4:$F$53)) + (SUMIF('PG3'!$D$4:$D$53,D42,'PG3'!$F$4:$F$53)))</f>
        <v/>
      </c>
      <c r="H42" s="219" t="str">
        <f t="shared" si="14"/>
        <v/>
      </c>
      <c r="I42" s="224" t="str">
        <f t="shared" si="15"/>
        <v/>
      </c>
      <c r="J42" s="167" t="str">
        <f t="shared" si="16"/>
        <v/>
      </c>
      <c r="K42" s="184" t="str">
        <f t="shared" si="17"/>
        <v/>
      </c>
      <c r="L42" s="159" t="str">
        <f t="shared" si="18"/>
        <v/>
      </c>
      <c r="M42" s="221" t="str">
        <f t="shared" si="19"/>
        <v/>
      </c>
      <c r="N42" s="221" t="str">
        <f t="shared" si="20"/>
        <v/>
      </c>
      <c r="O42" s="167" t="str">
        <f t="shared" si="21"/>
        <v/>
      </c>
      <c r="P42" s="175"/>
      <c r="AH42" s="8">
        <f t="shared" si="12"/>
        <v>0</v>
      </c>
    </row>
    <row r="43" spans="2:34">
      <c r="B43" s="160">
        <f t="shared" si="13"/>
        <v>40</v>
      </c>
      <c r="C43" s="190"/>
      <c r="D43" s="190"/>
      <c r="E43" s="200"/>
      <c r="F43" s="186" t="str">
        <f>IF(TRIM(D43)="","",(SUMIF('PG1'!$D$4:$D$53,D43,'PG1'!$L$4:$L$53)) + (SUMIF('PG2'!$D$4:$D$53,D43,'PG2'!$E$4:$E$53)) + (SUMIF('PG3'!$D$4:$D$53,D43,'PG3'!$E$4:$E$53)))</f>
        <v/>
      </c>
      <c r="G43" s="171" t="str">
        <f>IF(TRIM(D43)="","",(SUMIF('PG2'!$D$4:$D$53,D43,'PG2'!$F$4:$F$53)) + (SUMIF('PG3'!$D$4:$D$53,D43,'PG3'!$F$4:$F$53)))</f>
        <v/>
      </c>
      <c r="H43" s="222" t="str">
        <f t="shared" si="14"/>
        <v/>
      </c>
      <c r="I43" s="223" t="str">
        <f t="shared" si="15"/>
        <v/>
      </c>
      <c r="J43" s="303" t="str">
        <f t="shared" si="16"/>
        <v/>
      </c>
      <c r="K43" s="184" t="str">
        <f t="shared" si="17"/>
        <v/>
      </c>
      <c r="L43" s="159" t="str">
        <f t="shared" si="18"/>
        <v/>
      </c>
      <c r="M43" s="221" t="str">
        <f t="shared" si="19"/>
        <v/>
      </c>
      <c r="N43" s="221" t="str">
        <f t="shared" si="20"/>
        <v/>
      </c>
      <c r="O43" s="167" t="str">
        <f t="shared" si="21"/>
        <v/>
      </c>
      <c r="P43" s="172"/>
      <c r="AH43" s="8">
        <f t="shared" si="12"/>
        <v>0</v>
      </c>
    </row>
    <row r="44" spans="2:34">
      <c r="B44" s="162">
        <f t="shared" si="13"/>
        <v>41</v>
      </c>
      <c r="C44" s="189"/>
      <c r="D44" s="189"/>
      <c r="E44" s="202"/>
      <c r="F44" s="188" t="str">
        <f>IF(TRIM(D44)="","",(SUMIF('PG1'!$D$4:$D$53,D44,'PG1'!$L$4:$L$53)) + (SUMIF('PG2'!$D$4:$D$53,D44,'PG2'!$E$4:$E$53)) + (SUMIF('PG3'!$D$4:$D$53,D44,'PG3'!$E$4:$E$53)))</f>
        <v/>
      </c>
      <c r="G44" s="174" t="str">
        <f>IF(TRIM(D44)="","",(SUMIF('PG2'!$D$4:$D$53,D44,'PG2'!$F$4:$F$53)) + (SUMIF('PG3'!$D$4:$D$53,D44,'PG3'!$F$4:$F$53)))</f>
        <v/>
      </c>
      <c r="H44" s="219" t="str">
        <f t="shared" si="14"/>
        <v/>
      </c>
      <c r="I44" s="224" t="str">
        <f t="shared" si="15"/>
        <v/>
      </c>
      <c r="J44" s="167" t="str">
        <f t="shared" si="16"/>
        <v/>
      </c>
      <c r="K44" s="184" t="str">
        <f t="shared" si="17"/>
        <v/>
      </c>
      <c r="L44" s="159" t="str">
        <f t="shared" si="18"/>
        <v/>
      </c>
      <c r="M44" s="221" t="str">
        <f t="shared" si="19"/>
        <v/>
      </c>
      <c r="N44" s="221" t="str">
        <f t="shared" si="20"/>
        <v/>
      </c>
      <c r="O44" s="167" t="str">
        <f t="shared" si="21"/>
        <v/>
      </c>
      <c r="P44" s="175"/>
      <c r="AH44" s="8">
        <f t="shared" si="12"/>
        <v>0</v>
      </c>
    </row>
    <row r="45" spans="2:34">
      <c r="B45" s="160">
        <f t="shared" si="13"/>
        <v>42</v>
      </c>
      <c r="C45" s="190"/>
      <c r="D45" s="190"/>
      <c r="E45" s="200"/>
      <c r="F45" s="186" t="str">
        <f>IF(TRIM(D45)="","",(SUMIF('PG1'!$D$4:$D$53,D45,'PG1'!$L$4:$L$53)) + (SUMIF('PG2'!$D$4:$D$53,D45,'PG2'!$E$4:$E$53)) + (SUMIF('PG3'!$D$4:$D$53,D45,'PG3'!$E$4:$E$53)))</f>
        <v/>
      </c>
      <c r="G45" s="171" t="str">
        <f>IF(TRIM(D45)="","",(SUMIF('PG2'!$D$4:$D$53,D45,'PG2'!$F$4:$F$53)) + (SUMIF('PG3'!$D$4:$D$53,D45,'PG3'!$F$4:$F$53)))</f>
        <v/>
      </c>
      <c r="H45" s="222" t="str">
        <f t="shared" si="14"/>
        <v/>
      </c>
      <c r="I45" s="223" t="str">
        <f t="shared" si="15"/>
        <v/>
      </c>
      <c r="J45" s="303" t="str">
        <f t="shared" si="16"/>
        <v/>
      </c>
      <c r="K45" s="184" t="str">
        <f t="shared" si="17"/>
        <v/>
      </c>
      <c r="L45" s="159" t="str">
        <f t="shared" si="18"/>
        <v/>
      </c>
      <c r="M45" s="221" t="str">
        <f t="shared" si="19"/>
        <v/>
      </c>
      <c r="N45" s="221" t="str">
        <f t="shared" si="20"/>
        <v/>
      </c>
      <c r="O45" s="167" t="str">
        <f t="shared" si="21"/>
        <v/>
      </c>
      <c r="P45" s="172"/>
      <c r="AH45" s="8">
        <f t="shared" si="12"/>
        <v>0</v>
      </c>
    </row>
    <row r="46" spans="2:34">
      <c r="B46" s="162">
        <f t="shared" si="13"/>
        <v>43</v>
      </c>
      <c r="C46" s="189"/>
      <c r="D46" s="189"/>
      <c r="E46" s="202"/>
      <c r="F46" s="188" t="str">
        <f>IF(TRIM(D46)="","",(SUMIF('PG1'!$D$4:$D$53,D46,'PG1'!$L$4:$L$53)) + (SUMIF('PG2'!$D$4:$D$53,D46,'PG2'!$E$4:$E$53)) + (SUMIF('PG3'!$D$4:$D$53,D46,'PG3'!$E$4:$E$53)))</f>
        <v/>
      </c>
      <c r="G46" s="174" t="str">
        <f>IF(TRIM(D46)="","",(SUMIF('PG2'!$D$4:$D$53,D46,'PG2'!$F$4:$F$53)) + (SUMIF('PG3'!$D$4:$D$53,D46,'PG3'!$F$4:$F$53)))</f>
        <v/>
      </c>
      <c r="H46" s="219" t="str">
        <f t="shared" si="14"/>
        <v/>
      </c>
      <c r="I46" s="224" t="str">
        <f t="shared" si="15"/>
        <v/>
      </c>
      <c r="J46" s="167" t="str">
        <f t="shared" si="16"/>
        <v/>
      </c>
      <c r="K46" s="184" t="str">
        <f t="shared" si="17"/>
        <v/>
      </c>
      <c r="L46" s="159" t="str">
        <f t="shared" si="18"/>
        <v/>
      </c>
      <c r="M46" s="221" t="str">
        <f t="shared" si="19"/>
        <v/>
      </c>
      <c r="N46" s="221" t="str">
        <f t="shared" si="20"/>
        <v/>
      </c>
      <c r="O46" s="167" t="str">
        <f t="shared" si="21"/>
        <v/>
      </c>
      <c r="P46" s="175"/>
      <c r="AH46" s="8">
        <f t="shared" si="12"/>
        <v>0</v>
      </c>
    </row>
    <row r="47" spans="2:34">
      <c r="B47" s="160">
        <f t="shared" si="13"/>
        <v>44</v>
      </c>
      <c r="C47" s="190"/>
      <c r="D47" s="190"/>
      <c r="E47" s="200"/>
      <c r="F47" s="186" t="str">
        <f>IF(TRIM(D47)="","",(SUMIF('PG1'!$D$4:$D$53,D47,'PG1'!$L$4:$L$53)) + (SUMIF('PG2'!$D$4:$D$53,D47,'PG2'!$E$4:$E$53)) + (SUMIF('PG3'!$D$4:$D$53,D47,'PG3'!$E$4:$E$53)))</f>
        <v/>
      </c>
      <c r="G47" s="171" t="str">
        <f>IF(TRIM(D47)="","",(SUMIF('PG2'!$D$4:$D$53,D47,'PG2'!$F$4:$F$53)) + (SUMIF('PG3'!$D$4:$D$53,D47,'PG3'!$F$4:$F$53)))</f>
        <v/>
      </c>
      <c r="H47" s="222" t="str">
        <f t="shared" si="14"/>
        <v/>
      </c>
      <c r="I47" s="223" t="str">
        <f t="shared" si="15"/>
        <v/>
      </c>
      <c r="J47" s="303" t="str">
        <f t="shared" si="16"/>
        <v/>
      </c>
      <c r="K47" s="184" t="str">
        <f t="shared" si="17"/>
        <v/>
      </c>
      <c r="L47" s="159" t="str">
        <f t="shared" si="18"/>
        <v/>
      </c>
      <c r="M47" s="221" t="str">
        <f t="shared" si="19"/>
        <v/>
      </c>
      <c r="N47" s="221" t="str">
        <f t="shared" si="20"/>
        <v/>
      </c>
      <c r="O47" s="167" t="str">
        <f t="shared" si="21"/>
        <v/>
      </c>
      <c r="P47" s="172"/>
      <c r="AH47" s="8">
        <f t="shared" si="12"/>
        <v>0</v>
      </c>
    </row>
    <row r="48" spans="2:34">
      <c r="B48" s="162">
        <f t="shared" si="13"/>
        <v>45</v>
      </c>
      <c r="C48" s="189"/>
      <c r="D48" s="189"/>
      <c r="E48" s="202"/>
      <c r="F48" s="188" t="str">
        <f>IF(TRIM(D48)="","",(SUMIF('PG1'!$D$4:$D$53,D48,'PG1'!$L$4:$L$53)) + (SUMIF('PG2'!$D$4:$D$53,D48,'PG2'!$E$4:$E$53)) + (SUMIF('PG3'!$D$4:$D$53,D48,'PG3'!$E$4:$E$53)))</f>
        <v/>
      </c>
      <c r="G48" s="174" t="str">
        <f>IF(TRIM(D48)="","",(SUMIF('PG2'!$D$4:$D$53,D48,'PG2'!$F$4:$F$53)) + (SUMIF('PG3'!$D$4:$D$53,D48,'PG3'!$F$4:$F$53)))</f>
        <v/>
      </c>
      <c r="H48" s="219" t="str">
        <f t="shared" si="14"/>
        <v/>
      </c>
      <c r="I48" s="224" t="str">
        <f t="shared" si="15"/>
        <v/>
      </c>
      <c r="J48" s="167" t="str">
        <f t="shared" si="16"/>
        <v/>
      </c>
      <c r="K48" s="184" t="str">
        <f t="shared" si="17"/>
        <v/>
      </c>
      <c r="L48" s="159" t="str">
        <f t="shared" si="18"/>
        <v/>
      </c>
      <c r="M48" s="221" t="str">
        <f t="shared" si="19"/>
        <v/>
      </c>
      <c r="N48" s="221" t="str">
        <f t="shared" si="20"/>
        <v/>
      </c>
      <c r="O48" s="167" t="str">
        <f t="shared" si="21"/>
        <v/>
      </c>
      <c r="P48" s="175"/>
      <c r="AH48" s="8">
        <f t="shared" si="12"/>
        <v>0</v>
      </c>
    </row>
    <row r="49" spans="2:34">
      <c r="B49" s="160">
        <f t="shared" si="13"/>
        <v>46</v>
      </c>
      <c r="C49" s="190"/>
      <c r="D49" s="190"/>
      <c r="E49" s="200"/>
      <c r="F49" s="186" t="str">
        <f>IF(TRIM(D49)="","",(SUMIF('PG1'!$D$4:$D$53,D49,'PG1'!$L$4:$L$53)) + (SUMIF('PG2'!$D$4:$D$53,D49,'PG2'!$E$4:$E$53)) + (SUMIF('PG3'!$D$4:$D$53,D49,'PG3'!$E$4:$E$53)))</f>
        <v/>
      </c>
      <c r="G49" s="171" t="str">
        <f>IF(TRIM(D49)="","",(SUMIF('PG2'!$D$4:$D$53,D49,'PG2'!$F$4:$F$53)) + (SUMIF('PG3'!$D$4:$D$53,D49,'PG3'!$F$4:$F$53)))</f>
        <v/>
      </c>
      <c r="H49" s="222" t="str">
        <f t="shared" si="14"/>
        <v/>
      </c>
      <c r="I49" s="223" t="str">
        <f t="shared" si="15"/>
        <v/>
      </c>
      <c r="J49" s="303" t="str">
        <f t="shared" si="16"/>
        <v/>
      </c>
      <c r="K49" s="184" t="str">
        <f t="shared" si="17"/>
        <v/>
      </c>
      <c r="L49" s="159" t="str">
        <f t="shared" si="18"/>
        <v/>
      </c>
      <c r="M49" s="221" t="str">
        <f t="shared" si="19"/>
        <v/>
      </c>
      <c r="N49" s="221" t="str">
        <f t="shared" si="20"/>
        <v/>
      </c>
      <c r="O49" s="167" t="str">
        <f t="shared" si="21"/>
        <v/>
      </c>
      <c r="P49" s="172"/>
      <c r="AH49" s="8">
        <f t="shared" si="12"/>
        <v>0</v>
      </c>
    </row>
    <row r="50" spans="2:34">
      <c r="B50" s="162">
        <f t="shared" si="13"/>
        <v>47</v>
      </c>
      <c r="C50" s="189"/>
      <c r="D50" s="189"/>
      <c r="E50" s="202"/>
      <c r="F50" s="188" t="str">
        <f>IF(TRIM(D50)="","",(SUMIF('PG1'!$D$4:$D$53,D50,'PG1'!$L$4:$L$53)) + (SUMIF('PG2'!$D$4:$D$53,D50,'PG2'!$E$4:$E$53)) + (SUMIF('PG3'!$D$4:$D$53,D50,'PG3'!$E$4:$E$53)))</f>
        <v/>
      </c>
      <c r="G50" s="174" t="str">
        <f>IF(TRIM(D50)="","",(SUMIF('PG2'!$D$4:$D$53,D50,'PG2'!$F$4:$F$53)) + (SUMIF('PG3'!$D$4:$D$53,D50,'PG3'!$F$4:$F$53)))</f>
        <v/>
      </c>
      <c r="H50" s="219" t="str">
        <f t="shared" si="14"/>
        <v/>
      </c>
      <c r="I50" s="224" t="str">
        <f t="shared" si="15"/>
        <v/>
      </c>
      <c r="J50" s="167" t="str">
        <f t="shared" si="16"/>
        <v/>
      </c>
      <c r="K50" s="184" t="str">
        <f t="shared" si="17"/>
        <v/>
      </c>
      <c r="L50" s="159" t="str">
        <f t="shared" si="18"/>
        <v/>
      </c>
      <c r="M50" s="221" t="str">
        <f t="shared" si="19"/>
        <v/>
      </c>
      <c r="N50" s="221" t="str">
        <f t="shared" si="20"/>
        <v/>
      </c>
      <c r="O50" s="167" t="str">
        <f t="shared" si="21"/>
        <v/>
      </c>
      <c r="P50" s="175"/>
      <c r="AH50" s="8">
        <f t="shared" si="12"/>
        <v>0</v>
      </c>
    </row>
    <row r="51" spans="2:34">
      <c r="B51" s="160">
        <f t="shared" si="13"/>
        <v>48</v>
      </c>
      <c r="C51" s="190"/>
      <c r="D51" s="190"/>
      <c r="E51" s="200"/>
      <c r="F51" s="186" t="str">
        <f>IF(TRIM(D51)="","",(SUMIF('PG1'!$D$4:$D$53,D51,'PG1'!$L$4:$L$53)) + (SUMIF('PG2'!$D$4:$D$53,D51,'PG2'!$E$4:$E$53)) + (SUMIF('PG3'!$D$4:$D$53,D51,'PG3'!$E$4:$E$53)))</f>
        <v/>
      </c>
      <c r="G51" s="171" t="str">
        <f>IF(TRIM(D51)="","",(SUMIF('PG2'!$D$4:$D$53,D51,'PG2'!$F$4:$F$53)) + (SUMIF('PG3'!$D$4:$D$53,D51,'PG3'!$F$4:$F$53)))</f>
        <v/>
      </c>
      <c r="H51" s="222" t="str">
        <f t="shared" si="14"/>
        <v/>
      </c>
      <c r="I51" s="223" t="str">
        <f t="shared" si="15"/>
        <v/>
      </c>
      <c r="J51" s="303" t="str">
        <f t="shared" si="16"/>
        <v/>
      </c>
      <c r="K51" s="184" t="str">
        <f t="shared" si="17"/>
        <v/>
      </c>
      <c r="L51" s="159" t="str">
        <f t="shared" si="18"/>
        <v/>
      </c>
      <c r="M51" s="221" t="str">
        <f t="shared" si="19"/>
        <v/>
      </c>
      <c r="N51" s="221" t="str">
        <f t="shared" si="20"/>
        <v/>
      </c>
      <c r="O51" s="167" t="str">
        <f t="shared" si="21"/>
        <v/>
      </c>
      <c r="P51" s="172"/>
      <c r="AH51" s="8">
        <f t="shared" si="12"/>
        <v>0</v>
      </c>
    </row>
    <row r="52" spans="2:34">
      <c r="B52" s="162">
        <f t="shared" si="13"/>
        <v>49</v>
      </c>
      <c r="C52" s="191"/>
      <c r="D52" s="191"/>
      <c r="E52" s="202"/>
      <c r="F52" s="188" t="str">
        <f>IF(TRIM(D52)="","",(SUMIF('PG1'!$D$4:$D$53,D52,'PG1'!$L$4:$L$53)) + (SUMIF('PG2'!$D$4:$D$53,D52,'PG2'!$E$4:$E$53)) + (SUMIF('PG3'!$D$4:$D$53,D52,'PG3'!$E$4:$E$53)))</f>
        <v/>
      </c>
      <c r="G52" s="174" t="str">
        <f>IF(TRIM(D52)="","",(SUMIF('PG2'!$D$4:$D$53,D52,'PG2'!$F$4:$F$53)) + (SUMIF('PG3'!$D$4:$D$53,D52,'PG3'!$F$4:$F$53)))</f>
        <v/>
      </c>
      <c r="H52" s="219" t="str">
        <f t="shared" si="14"/>
        <v/>
      </c>
      <c r="I52" s="224" t="str">
        <f t="shared" si="15"/>
        <v/>
      </c>
      <c r="J52" s="167" t="str">
        <f t="shared" si="16"/>
        <v/>
      </c>
      <c r="K52" s="184" t="str">
        <f t="shared" si="17"/>
        <v/>
      </c>
      <c r="L52" s="159" t="str">
        <f t="shared" si="18"/>
        <v/>
      </c>
      <c r="M52" s="221" t="str">
        <f t="shared" si="19"/>
        <v/>
      </c>
      <c r="N52" s="221" t="str">
        <f t="shared" si="20"/>
        <v/>
      </c>
      <c r="O52" s="167" t="str">
        <f t="shared" si="21"/>
        <v/>
      </c>
      <c r="P52" s="175"/>
      <c r="AH52" s="8">
        <f t="shared" si="12"/>
        <v>0</v>
      </c>
    </row>
    <row r="53" spans="2:34" ht="15.75" thickBot="1">
      <c r="B53" s="225">
        <f t="shared" si="13"/>
        <v>50</v>
      </c>
      <c r="C53" s="226"/>
      <c r="D53" s="226"/>
      <c r="E53" s="227"/>
      <c r="F53" s="228" t="str">
        <f>IF(TRIM(D53)="","",(SUMIF('PG1'!$D$4:$D$53,D53,'PG1'!$L$4:$L$53)) + (SUMIF('PG2'!$D$4:$D$53,D53,'PG2'!$E$4:$E$53)) + (SUMIF('PG3'!$D$4:$D$53,D53,'PG3'!$E$4:$E$53)))</f>
        <v/>
      </c>
      <c r="G53" s="229" t="str">
        <f>IF(TRIM(D53)="","",(SUMIF('PG2'!$D$4:$D$53,D53,'PG2'!$F$4:$F$53)) + (SUMIF('PG3'!$D$4:$D$53,D53,'PG3'!$F$4:$F$53)))</f>
        <v/>
      </c>
      <c r="H53" s="230" t="str">
        <f t="shared" si="14"/>
        <v/>
      </c>
      <c r="I53" s="231" t="str">
        <f t="shared" si="15"/>
        <v/>
      </c>
      <c r="J53" s="304" t="str">
        <f t="shared" si="16"/>
        <v/>
      </c>
      <c r="K53" s="232" t="str">
        <f t="shared" si="17"/>
        <v/>
      </c>
      <c r="L53" s="233" t="str">
        <f t="shared" si="18"/>
        <v/>
      </c>
      <c r="M53" s="234" t="str">
        <f t="shared" si="19"/>
        <v/>
      </c>
      <c r="N53" s="234" t="str">
        <f t="shared" si="20"/>
        <v/>
      </c>
      <c r="O53" s="235" t="str">
        <f t="shared" si="21"/>
        <v/>
      </c>
      <c r="P53" s="236"/>
      <c r="AH53" s="8">
        <f t="shared" si="12"/>
        <v>0</v>
      </c>
    </row>
    <row r="54" spans="2:34">
      <c r="B54" s="137"/>
      <c r="C54" s="137"/>
      <c r="D54" s="137"/>
      <c r="E54" s="137"/>
      <c r="F54" s="138"/>
      <c r="G54" s="138"/>
      <c r="H54" s="138"/>
      <c r="I54" s="139"/>
      <c r="J54" s="139"/>
      <c r="K54" s="138"/>
      <c r="L54" s="138"/>
      <c r="M54" s="138"/>
      <c r="N54" s="138"/>
      <c r="O54" s="138"/>
      <c r="P54" s="137"/>
    </row>
  </sheetData>
  <protectedRanges>
    <protectedRange sqref="P4:P53" name="Range2"/>
    <protectedRange sqref="C4:E53" name="Range1"/>
  </protectedRanges>
  <mergeCells count="1">
    <mergeCell ref="H2:I2"/>
  </mergeCells>
  <phoneticPr fontId="3"/>
  <conditionalFormatting sqref="P4:P53 B4:E53">
    <cfRule type="expression" dxfId="4" priority="1" stopIfTrue="1">
      <formula>$AH4&gt;1</formula>
    </cfRule>
    <cfRule type="expression" dxfId="3" priority="2" stopIfTrue="1">
      <formula>MOD(ROW(),2)=0</formula>
    </cfRule>
    <cfRule type="expression" dxfId="2" priority="3" stopIfTrue="1">
      <formula>MOD(ROW(),2)=1</formula>
    </cfRule>
  </conditionalFormatting>
  <conditionalFormatting sqref="F4:O53">
    <cfRule type="expression" dxfId="1" priority="4" stopIfTrue="1">
      <formula>MOD(ROW(),2)=0</formula>
    </cfRule>
    <cfRule type="expression" dxfId="0" priority="5" stopIfTrue="1">
      <formula>MOD(ROW(),2)=1</formula>
    </cfRule>
  </conditionalFormatting>
  <dataValidations disablePrompts="1" count="1">
    <dataValidation showInputMessage="1" showErrorMessage="1" sqref="E4:E53"/>
  </dataValidations>
  <printOptions horizontalCentered="1"/>
  <pageMargins left="0.59055118110236227" right="0.39370078740157483" top="0.39370078740157483" bottom="0.39370078740157483" header="0.51181102362204722" footer="0.51181102362204722"/>
  <pageSetup paperSize="9" scale="74"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116</vt:i4>
      </vt:variant>
    </vt:vector>
  </HeadingPairs>
  <TitlesOfParts>
    <vt:vector size="132" baseType="lpstr">
      <vt:lpstr>Summary</vt:lpstr>
      <vt:lpstr>PG3</vt:lpstr>
      <vt:lpstr>FxB</vt:lpstr>
      <vt:lpstr>PT1(UT)</vt:lpstr>
      <vt:lpstr>PT2(CT)</vt:lpstr>
      <vt:lpstr>Others</vt:lpstr>
      <vt:lpstr>CH</vt:lpstr>
      <vt:lpstr>Legend</vt:lpstr>
      <vt:lpstr>Project Size</vt:lpstr>
      <vt:lpstr>御見積前提条件</vt:lpstr>
      <vt:lpstr>RQ</vt:lpstr>
      <vt:lpstr>BD</vt:lpstr>
      <vt:lpstr>DD</vt:lpstr>
      <vt:lpstr>PG1</vt:lpstr>
      <vt:lpstr>PG2</vt:lpstr>
      <vt:lpstr>PT2(ST)</vt:lpstr>
      <vt:lpstr>AvgBugCT</vt:lpstr>
      <vt:lpstr>AvgBugST</vt:lpstr>
      <vt:lpstr>AvgBugUT</vt:lpstr>
      <vt:lpstr>AvgCTBugKLOC</vt:lpstr>
      <vt:lpstr>AvgSTBugKLOC</vt:lpstr>
      <vt:lpstr>AvgUTBugKLOC</vt:lpstr>
      <vt:lpstr>BD_Base</vt:lpstr>
      <vt:lpstr>BD_Review_Complexity</vt:lpstr>
      <vt:lpstr>BD_Unit</vt:lpstr>
      <vt:lpstr>BDLookupRange</vt:lpstr>
      <vt:lpstr>CTLatentDefect</vt:lpstr>
      <vt:lpstr>CTLookupRange</vt:lpstr>
      <vt:lpstr>DD_Base</vt:lpstr>
      <vt:lpstr>DD_Review_Complexity</vt:lpstr>
      <vt:lpstr>DD_Unit</vt:lpstr>
      <vt:lpstr>DDLookupRange</vt:lpstr>
      <vt:lpstr>Fix1CTBugFUP</vt:lpstr>
      <vt:lpstr>Fix1STBugFUP</vt:lpstr>
      <vt:lpstr>Fix1UTBugFUP</vt:lpstr>
      <vt:lpstr>FxBLookupRange</vt:lpstr>
      <vt:lpstr>GUILOCConvRate</vt:lpstr>
      <vt:lpstr>IsEstimateBD</vt:lpstr>
      <vt:lpstr>IsEstimateCT</vt:lpstr>
      <vt:lpstr>IsEstimateDD</vt:lpstr>
      <vt:lpstr>IsEstimateDP</vt:lpstr>
      <vt:lpstr>IsEstimatePG</vt:lpstr>
      <vt:lpstr>IsEstimateRQ</vt:lpstr>
      <vt:lpstr>IsEstimateST</vt:lpstr>
      <vt:lpstr>IsEstimateUT</vt:lpstr>
      <vt:lpstr>Language_Rate_PG2</vt:lpstr>
      <vt:lpstr>Language_Rate_PG3</vt:lpstr>
      <vt:lpstr>Management_Rate</vt:lpstr>
      <vt:lpstr>MM_Rate</vt:lpstr>
      <vt:lpstr>Module_List</vt:lpstr>
      <vt:lpstr>NEW_CaseRate</vt:lpstr>
      <vt:lpstr>NEW2_CaseRate_CT</vt:lpstr>
      <vt:lpstr>NEW2_CaseRate_ST</vt:lpstr>
      <vt:lpstr>PG1_Base</vt:lpstr>
      <vt:lpstr>PG1_Review_Complexity</vt:lpstr>
      <vt:lpstr>PG1_Unit</vt:lpstr>
      <vt:lpstr>PG1LookupRange</vt:lpstr>
      <vt:lpstr>PG2_Base</vt:lpstr>
      <vt:lpstr>PG2_Review_Complexity</vt:lpstr>
      <vt:lpstr>PG2_Unit</vt:lpstr>
      <vt:lpstr>PG2LookupRange</vt:lpstr>
      <vt:lpstr>PG3_Base</vt:lpstr>
      <vt:lpstr>PG3_Review_Complexity</vt:lpstr>
      <vt:lpstr>PG3_Unit</vt:lpstr>
      <vt:lpstr>PG3LookupRange</vt:lpstr>
      <vt:lpstr>BD!Print_Area</vt:lpstr>
      <vt:lpstr>CH!Print_Area</vt:lpstr>
      <vt:lpstr>DD!Print_Area</vt:lpstr>
      <vt:lpstr>FxB!Print_Area</vt:lpstr>
      <vt:lpstr>Others!Print_Area</vt:lpstr>
      <vt:lpstr>'PG1'!Print_Area</vt:lpstr>
      <vt:lpstr>'PG2'!Print_Area</vt:lpstr>
      <vt:lpstr>'PG3'!Print_Area</vt:lpstr>
      <vt:lpstr>'Project Size'!Print_Area</vt:lpstr>
      <vt:lpstr>'PT1(UT)'!Print_Area</vt:lpstr>
      <vt:lpstr>'PT2(CT)'!Print_Area</vt:lpstr>
      <vt:lpstr>'PT2(ST)'!Print_Area</vt:lpstr>
      <vt:lpstr>RQ!Print_Area</vt:lpstr>
      <vt:lpstr>Summary!Print_Area</vt:lpstr>
      <vt:lpstr>御見積前提条件!Print_Area</vt:lpstr>
      <vt:lpstr>BD!Print_Titles</vt:lpstr>
      <vt:lpstr>CH!Print_Titles</vt:lpstr>
      <vt:lpstr>DD!Print_Titles</vt:lpstr>
      <vt:lpstr>FxB!Print_Titles</vt:lpstr>
      <vt:lpstr>Others!Print_Titles</vt:lpstr>
      <vt:lpstr>'PG1'!Print_Titles</vt:lpstr>
      <vt:lpstr>'PG2'!Print_Titles</vt:lpstr>
      <vt:lpstr>'PG3'!Print_Titles</vt:lpstr>
      <vt:lpstr>'Project Size'!Print_Titles</vt:lpstr>
      <vt:lpstr>'PT1(UT)'!Print_Titles</vt:lpstr>
      <vt:lpstr>'PT2(CT)'!Print_Titles</vt:lpstr>
      <vt:lpstr>'PT2(ST)'!Print_Titles</vt:lpstr>
      <vt:lpstr>RQ!Print_Titles</vt:lpstr>
      <vt:lpstr>Summary!Print_Titles</vt:lpstr>
      <vt:lpstr>ProgrammingLanguage</vt:lpstr>
      <vt:lpstr>ProgrammingLanguageList</vt:lpstr>
      <vt:lpstr>ProgrammingLanguageValue</vt:lpstr>
      <vt:lpstr>PT1_Base</vt:lpstr>
      <vt:lpstr>PT1_Unit</vt:lpstr>
      <vt:lpstr>PT2_CT_Base</vt:lpstr>
      <vt:lpstr>PT2_CT_Unit</vt:lpstr>
      <vt:lpstr>PT2_ST_Base</vt:lpstr>
      <vt:lpstr>PT2_ST_Unit</vt:lpstr>
      <vt:lpstr>REUSE_CaseRate</vt:lpstr>
      <vt:lpstr>REUSE2_CaseRate_CT</vt:lpstr>
      <vt:lpstr>REUSE2_CaseRate_ST</vt:lpstr>
      <vt:lpstr>Review_Rate</vt:lpstr>
      <vt:lpstr>Risk_Buffer</vt:lpstr>
      <vt:lpstr>RQ_Rate_toPG</vt:lpstr>
      <vt:lpstr>RQ_Review_Complexity</vt:lpstr>
      <vt:lpstr>RQ_Type</vt:lpstr>
      <vt:lpstr>RQ_Type_Value</vt:lpstr>
      <vt:lpstr>SampleLOCConvRate</vt:lpstr>
      <vt:lpstr>Source_Review_Rate</vt:lpstr>
      <vt:lpstr>STLatentDefect</vt:lpstr>
      <vt:lpstr>STLookupRange</vt:lpstr>
      <vt:lpstr>Support_Rate</vt:lpstr>
      <vt:lpstr>Test2Data_Rate_CT</vt:lpstr>
      <vt:lpstr>Test2Data_Rate_ST</vt:lpstr>
      <vt:lpstr>Test2Doc_Rate_CT</vt:lpstr>
      <vt:lpstr>Test2Doc_Rate_ST</vt:lpstr>
      <vt:lpstr>Test2Evidence_Rate_CT</vt:lpstr>
      <vt:lpstr>Test2Evidence_Rate_ST</vt:lpstr>
      <vt:lpstr>Test2Execute_Rate_CT</vt:lpstr>
      <vt:lpstr>Test2Execute_Rate_ST</vt:lpstr>
      <vt:lpstr>TestData_Rate</vt:lpstr>
      <vt:lpstr>TestDoc_Rate</vt:lpstr>
      <vt:lpstr>TestEvidence_Rate</vt:lpstr>
      <vt:lpstr>TestExecute_Rate</vt:lpstr>
      <vt:lpstr>UnitPoint_Effort_Rate</vt:lpstr>
      <vt:lpstr>UTLatentDefect</vt:lpstr>
      <vt:lpstr>UTLookupRange</vt:lpstr>
    </vt:vector>
  </TitlesOfParts>
  <Company>FUJINET Co.,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Dang Phu</dc:creator>
  <cp:lastModifiedBy>Test</cp:lastModifiedBy>
  <cp:lastPrinted>2011-11-18T03:03:37Z</cp:lastPrinted>
  <dcterms:created xsi:type="dcterms:W3CDTF">2002-04-03T03:06:29Z</dcterms:created>
  <dcterms:modified xsi:type="dcterms:W3CDTF">2017-08-30T10:05:17Z</dcterms:modified>
</cp:coreProperties>
</file>