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3256" windowHeight="13176" tabRatio="600" firstSheet="0" activeTab="0" autoFilterDateGrouping="1"/>
  </bookViews>
  <sheets>
    <sheet xmlns:r="http://schemas.openxmlformats.org/officeDocument/2006/relationships" name="FSA" sheetId="1" state="visible" r:id="rId1"/>
    <sheet xmlns:r="http://schemas.openxmlformats.org/officeDocument/2006/relationships" name="Stress test" sheetId="2" state="hidden" r:id="rId2"/>
    <sheet xmlns:r="http://schemas.openxmlformats.org/officeDocument/2006/relationships" name="%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5" sheetId="5" state="hidden" r:id="rId5"/>
    <sheet xmlns:r="http://schemas.openxmlformats.org/officeDocument/2006/relationships" name="BS" sheetId="6" state="hidden" r:id="rId6"/>
    <sheet xmlns:r="http://schemas.openxmlformats.org/officeDocument/2006/relationships" name="BS.data" sheetId="7" state="visible" r:id="rId7"/>
    <sheet xmlns:r="http://schemas.openxmlformats.org/officeDocument/2006/relationships" name="PL" sheetId="8" state="hidden" r:id="rId8"/>
    <sheet xmlns:r="http://schemas.openxmlformats.org/officeDocument/2006/relationships" name="PL.data" sheetId="9" state="visible" r:id="rId9"/>
    <sheet xmlns:r="http://schemas.openxmlformats.org/officeDocument/2006/relationships" name="CF" sheetId="10" state="hidden" r:id="rId10"/>
    <sheet xmlns:r="http://schemas.openxmlformats.org/officeDocument/2006/relationships" name="CF.data" sheetId="11" state="visible" r:id="rId11"/>
  </sheets>
  <definedNames>
    <definedName name="capital">'Stress test'!$C$13</definedName>
    <definedName name="test">'Stress test'!$C$8</definedName>
  </definedNames>
  <calcPr calcId="144525" fullCalcOnLoad="1" calcOnSave="0" concurrentCalc="0"/>
</workbook>
</file>

<file path=xl/styles.xml><?xml version="1.0" encoding="utf-8"?>
<styleSheet xmlns="http://schemas.openxmlformats.org/spreadsheetml/2006/main">
  <numFmts count="12"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89">
    <font>
      <name val="Calibri"/>
      <family val="2"/>
      <color theme="1"/>
      <sz val="11"/>
      <scheme val="minor"/>
    </font>
    <font>
      <name val="Lato"/>
      <family val="2"/>
      <color theme="1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indexed="17"/>
      <sz val="11"/>
    </font>
    <font>
      <name val="Arial"/>
      <family val="2"/>
      <sz val="10"/>
    </font>
    <font>
      <name val="Arial"/>
      <family val="2"/>
      <i val="1"/>
      <sz val="10"/>
    </font>
    <font>
      <name val="Arial"/>
      <family val="2"/>
      <b val="1"/>
      <color rgb="FFFFFFFF"/>
      <sz val="9"/>
    </font>
    <font>
      <name val="Arial"/>
      <family val="2"/>
      <sz val="8"/>
    </font>
    <font>
      <name val="Arial"/>
      <family val="2"/>
      <b val="1"/>
      <sz val="10"/>
    </font>
    <font>
      <name val="Microsoft Sans Serif"/>
      <family val="2"/>
      <sz val="10"/>
    </font>
    <font>
      <name val="Arial"/>
      <family val="2"/>
      <b val="1"/>
      <i val="1"/>
      <sz val="10"/>
    </font>
    <font>
      <name val="Arial"/>
      <family val="2"/>
      <b val="1"/>
      <i val="1"/>
      <color theme="1"/>
      <sz val="10"/>
    </font>
    <font>
      <name val="Calibri Light"/>
      <family val="2"/>
      <b val="1"/>
      <color theme="3"/>
      <sz val="18"/>
      <scheme val="major"/>
    </font>
    <font>
      <name val="Calibri"/>
      <family val="2"/>
      <color rgb="FF9C6500"/>
      <sz val="11"/>
      <scheme val="minor"/>
    </font>
    <font>
      <name val="Verdana"/>
      <family val="2"/>
      <sz val="8"/>
    </font>
    <font>
      <name val="Arial"/>
      <family val="2"/>
      <b val="1"/>
      <sz val="18"/>
    </font>
    <font>
      <name val="Arial"/>
      <family val="2"/>
      <b val="1"/>
      <color rgb="FFFF0000"/>
      <sz val="18"/>
    </font>
    <font>
      <name val="Arial"/>
      <family val="2"/>
      <color rgb="FFFF0000"/>
      <sz val="10"/>
    </font>
    <font>
      <name val="Arial"/>
      <family val="2"/>
      <b val="1"/>
      <color theme="0"/>
      <sz val="11"/>
    </font>
    <font>
      <name val="Arial"/>
      <family val="2"/>
      <i val="1"/>
      <sz val="8"/>
    </font>
    <font>
      <name val="Arial"/>
      <family val="2"/>
      <color indexed="63"/>
      <sz val="8"/>
    </font>
    <font>
      <name val="Arial"/>
      <family val="2"/>
      <i val="1"/>
      <color theme="1"/>
      <sz val="10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1"/>
      <b val="1"/>
      <color indexed="8"/>
      <sz val="11"/>
      <scheme val="minor"/>
    </font>
    <font>
      <name val="Calibri"/>
      <family val="2"/>
      <b val="1"/>
      <i val="1"/>
      <color theme="1"/>
      <sz val="20"/>
      <scheme val="minor"/>
    </font>
    <font>
      <name val="Calibri"/>
      <family val="2"/>
      <b val="1"/>
      <color rgb="FF000000"/>
      <sz val="10"/>
      <scheme val="minor"/>
    </font>
    <font>
      <name val="Calibri"/>
      <family val="1"/>
      <b val="1"/>
      <color indexed="8"/>
      <sz val="14"/>
      <scheme val="minor"/>
    </font>
    <font>
      <name val="Calibri Light"/>
      <family val="1"/>
      <b val="1"/>
      <color theme="1"/>
      <sz val="11"/>
      <scheme val="major"/>
    </font>
    <font>
      <name val="Calibri Light"/>
      <family val="1"/>
      <color theme="1"/>
      <sz val="11"/>
      <scheme val="major"/>
    </font>
    <font>
      <name val="Calibri Light"/>
      <family val="1"/>
      <sz val="11"/>
      <scheme val="major"/>
    </font>
    <font>
      <name val="Calibri Light"/>
      <family val="1"/>
      <i val="1"/>
      <sz val="11"/>
      <scheme val="major"/>
    </font>
    <font>
      <name val="Calibri Light"/>
      <family val="1"/>
      <color rgb="FF000000"/>
      <sz val="11"/>
      <scheme val="major"/>
    </font>
    <font>
      <name val="Calibri"/>
      <family val="1"/>
      <b val="1"/>
      <i val="1"/>
      <color indexed="8"/>
      <sz val="14"/>
      <scheme val="minor"/>
    </font>
    <font>
      <name val="Calibri"/>
      <family val="2"/>
      <b val="1"/>
      <color indexed="8"/>
      <sz val="14"/>
      <scheme val="minor"/>
    </font>
    <font>
      <name val="Calibri"/>
      <family val="1"/>
      <i val="1"/>
      <color indexed="8"/>
      <sz val="11"/>
      <scheme val="minor"/>
    </font>
    <font>
      <name val="Calibri Light"/>
      <family val="1"/>
      <i val="1"/>
      <color theme="1"/>
      <sz val="11"/>
      <scheme val="major"/>
    </font>
    <font>
      <name val="Calibri"/>
      <charset val="163"/>
      <family val="2"/>
      <color theme="1"/>
      <sz val="11"/>
      <scheme val="minor"/>
    </font>
    <font>
      <name val="Calibri"/>
      <charset val="163"/>
      <family val="2"/>
      <b val="1"/>
      <color rgb="FF000000"/>
      <sz val="11"/>
      <scheme val="minor"/>
    </font>
    <font>
      <name val="Calibri"/>
      <charset val="163"/>
      <family val="2"/>
      <b val="1"/>
      <color theme="1"/>
      <sz val="11"/>
      <scheme val="minor"/>
    </font>
    <font>
      <name val="Calibri"/>
      <family val="2"/>
      <b val="1"/>
      <color indexed="17"/>
      <sz val="11"/>
    </font>
    <font>
      <name val="Calibri"/>
      <charset val="163"/>
      <family val="2"/>
      <b val="1"/>
      <color indexed="8"/>
      <sz val="11"/>
      <scheme val="minor"/>
    </font>
    <font>
      <name val="Arial"/>
      <charset val="163"/>
      <family val="2"/>
      <b val="1"/>
      <sz val="10"/>
    </font>
    <font>
      <name val="Arial"/>
      <charset val="163"/>
      <family val="2"/>
      <sz val="10"/>
    </font>
    <font>
      <name val="Arial"/>
      <charset val="163"/>
      <family val="2"/>
      <b val="1"/>
      <i val="1"/>
      <sz val="10"/>
    </font>
    <font>
      <name val="Arial"/>
      <charset val="163"/>
      <family val="2"/>
      <i val="1"/>
      <sz val="10"/>
    </font>
    <font>
      <name val="Calibri"/>
      <family val="2"/>
      <color rgb="FFFF0000"/>
      <sz val="10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rgb="FF444444"/>
      <sz val="11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color rgb="FF000000"/>
      <sz val="10"/>
    </font>
    <font>
      <name val="Arial"/>
      <family val="2"/>
      <color theme="1"/>
      <sz val="10"/>
    </font>
    <font>
      <name val="Tahoma"/>
      <family val="2"/>
      <b val="1"/>
      <color rgb="FF000000"/>
      <sz val="10"/>
    </font>
    <font>
      <name val="Calibri Light"/>
      <family val="2"/>
      <sz val="11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sz val="11"/>
      <scheme val="major"/>
    </font>
    <font>
      <name val="Lato"/>
      <family val="2"/>
      <b val="1"/>
      <sz val="10"/>
    </font>
    <font>
      <name val="Lato"/>
      <family val="2"/>
      <sz val="10"/>
    </font>
    <font>
      <name val="Lato"/>
      <family val="2"/>
      <b val="1"/>
      <color rgb="FFFF0000"/>
      <sz val="10"/>
    </font>
    <font>
      <name val="Lato"/>
      <family val="2"/>
      <color rgb="FFFF0000"/>
      <sz val="10"/>
    </font>
    <font>
      <name val="Lato"/>
      <family val="2"/>
      <b val="1"/>
      <color theme="0"/>
      <sz val="10"/>
    </font>
    <font>
      <name val="Lato"/>
      <family val="2"/>
      <i val="1"/>
      <sz val="10"/>
    </font>
    <font>
      <name val="Lato"/>
      <family val="2"/>
      <b val="1"/>
      <i val="1"/>
      <sz val="10"/>
    </font>
    <font>
      <name val="Lato"/>
      <family val="2"/>
      <i val="1"/>
      <color theme="1"/>
      <sz val="10"/>
    </font>
    <font>
      <name val="Lato"/>
      <family val="2"/>
      <b val="1"/>
      <color theme="1"/>
      <sz val="10"/>
    </font>
    <font>
      <name val="Lato"/>
      <family val="2"/>
      <color indexed="63"/>
      <sz val="10"/>
    </font>
    <font>
      <name val="Cambria"/>
      <family val="1"/>
      <b val="1"/>
      <i val="1"/>
      <color theme="1"/>
      <sz val="20"/>
    </font>
    <font>
      <name val="Cambria"/>
      <family val="1"/>
      <color theme="1"/>
      <sz val="11"/>
    </font>
    <font>
      <name val="Cambria"/>
      <family val="1"/>
      <b val="1"/>
      <color theme="1"/>
      <sz val="11"/>
    </font>
    <font>
      <name val="Cambria"/>
      <family val="1"/>
      <b val="1"/>
      <i val="1"/>
      <color theme="1"/>
      <sz val="11"/>
    </font>
  </fonts>
  <fills count="4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9">
    <xf numFmtId="0" fontId="3" fillId="0" borderId="0"/>
    <xf numFmtId="0" fontId="4" fillId="0" borderId="1"/>
    <xf numFmtId="0" fontId="5" fillId="0" borderId="2"/>
    <xf numFmtId="0" fontId="6" fillId="0" borderId="3"/>
    <xf numFmtId="0" fontId="6" fillId="0" borderId="0"/>
    <xf numFmtId="0" fontId="7" fillId="2" borderId="0"/>
    <xf numFmtId="0" fontId="8" fillId="3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3" fillId="8" borderId="8"/>
    <xf numFmtId="0" fontId="15" fillId="0" borderId="0"/>
    <xf numFmtId="0" fontId="16" fillId="0" borderId="9"/>
    <xf numFmtId="0" fontId="17" fillId="9" borderId="0"/>
    <xf numFmtId="0" fontId="3" fillId="10" borderId="0"/>
    <xf numFmtId="0" fontId="3" fillId="11" borderId="0"/>
    <xf numFmtId="0" fontId="17" fillId="13" borderId="0"/>
    <xf numFmtId="0" fontId="3" fillId="14" borderId="0"/>
    <xf numFmtId="0" fontId="3" fillId="15" borderId="0"/>
    <xf numFmtId="0" fontId="17" fillId="17" borderId="0"/>
    <xf numFmtId="0" fontId="3" fillId="18" borderId="0"/>
    <xf numFmtId="0" fontId="3" fillId="19" borderId="0"/>
    <xf numFmtId="0" fontId="17" fillId="21" borderId="0"/>
    <xf numFmtId="0" fontId="3" fillId="22" borderId="0"/>
    <xf numFmtId="0" fontId="3" fillId="23" borderId="0"/>
    <xf numFmtId="0" fontId="17" fillId="25" borderId="0"/>
    <xf numFmtId="0" fontId="3" fillId="26" borderId="0"/>
    <xf numFmtId="0" fontId="3" fillId="27" borderId="0"/>
    <xf numFmtId="0" fontId="17" fillId="29" borderId="0"/>
    <xf numFmtId="0" fontId="3" fillId="30" borderId="0"/>
    <xf numFmtId="0" fontId="3" fillId="31" borderId="0"/>
    <xf numFmtId="0" fontId="18" fillId="0" borderId="0" applyAlignment="1">
      <alignment vertical="top"/>
    </xf>
    <xf numFmtId="0" fontId="19" fillId="0" borderId="0"/>
    <xf numFmtId="0" fontId="21" fillId="33" borderId="0" applyAlignment="1">
      <alignment horizontal="right" vertical="center"/>
    </xf>
    <xf numFmtId="0" fontId="22" fillId="34" borderId="0" applyAlignment="1">
      <alignment horizontal="left"/>
    </xf>
    <xf numFmtId="175" fontId="3" fillId="0" borderId="0"/>
    <xf numFmtId="0" fontId="19" fillId="0" borderId="0"/>
    <xf numFmtId="0" fontId="24" fillId="0" borderId="0" applyAlignment="1">
      <alignment vertical="top"/>
    </xf>
    <xf numFmtId="43" fontId="19" fillId="0" borderId="0"/>
    <xf numFmtId="0" fontId="27" fillId="0" borderId="0"/>
    <xf numFmtId="0" fontId="28" fillId="4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29" fillId="0" borderId="0" applyAlignment="1">
      <alignment vertical="top"/>
    </xf>
    <xf numFmtId="0" fontId="29" fillId="0" borderId="0" applyAlignment="1">
      <alignment vertical="top"/>
    </xf>
    <xf numFmtId="0" fontId="29" fillId="0" borderId="0" applyAlignment="1">
      <alignment vertical="top"/>
    </xf>
    <xf numFmtId="0" fontId="29" fillId="0" borderId="0" applyAlignment="1">
      <alignment vertical="top"/>
    </xf>
    <xf numFmtId="0" fontId="29" fillId="0" borderId="0" applyAlignment="1">
      <alignment vertical="top"/>
    </xf>
    <xf numFmtId="43" fontId="3" fillId="0" borderId="0"/>
    <xf numFmtId="9" fontId="3" fillId="0" borderId="0"/>
    <xf numFmtId="0" fontId="2" fillId="16" borderId="0"/>
    <xf numFmtId="0" fontId="19" fillId="0" borderId="0"/>
  </cellStyleXfs>
  <cellXfs count="492">
    <xf numFmtId="0" fontId="0" fillId="0" borderId="0" pivotButton="0" quotePrefix="0" xfId="0"/>
    <xf numFmtId="0" fontId="0" fillId="0" borderId="10" pivotButton="0" quotePrefix="0" xfId="0"/>
    <xf numFmtId="0" fontId="0" fillId="0" borderId="10" pivotButton="0" quotePrefix="1" xfId="0"/>
    <xf numFmtId="0" fontId="0" fillId="0" borderId="0" applyAlignment="1" pivotButton="0" quotePrefix="0" xfId="0">
      <alignment wrapText="1"/>
    </xf>
    <xf numFmtId="0" fontId="16" fillId="0" borderId="0" applyAlignment="1" pivotButton="0" quotePrefix="0" xfId="0">
      <alignment wrapText="1"/>
    </xf>
    <xf numFmtId="0" fontId="23" fillId="0" borderId="11" applyAlignment="1" pivotButton="0" quotePrefix="0" xfId="35">
      <alignment horizontal="left"/>
    </xf>
    <xf numFmtId="0" fontId="25" fillId="0" borderId="11" applyAlignment="1" pivotButton="0" quotePrefix="0" xfId="35">
      <alignment horizontal="left"/>
    </xf>
    <xf numFmtId="0" fontId="19" fillId="0" borderId="11" applyAlignment="1" pivotButton="0" quotePrefix="0" xfId="35">
      <alignment horizontal="left"/>
    </xf>
    <xf numFmtId="0" fontId="20" fillId="0" borderId="12" pivotButton="0" quotePrefix="0" xfId="35"/>
    <xf numFmtId="0" fontId="23" fillId="0" borderId="0" applyAlignment="1" pivotButton="0" quotePrefix="0" xfId="35">
      <alignment horizontal="left"/>
    </xf>
    <xf numFmtId="0" fontId="25" fillId="0" borderId="0" applyAlignment="1" pivotButton="0" quotePrefix="0" xfId="35">
      <alignment horizontal="left"/>
    </xf>
    <xf numFmtId="0" fontId="19" fillId="0" borderId="0" applyAlignment="1" pivotButton="0" quotePrefix="0" xfId="35">
      <alignment horizontal="left"/>
    </xf>
    <xf numFmtId="0" fontId="23" fillId="0" borderId="12" applyAlignment="1" pivotButton="0" quotePrefix="0" xfId="35">
      <alignment horizontal="left"/>
    </xf>
    <xf numFmtId="0" fontId="26" fillId="0" borderId="11" applyAlignment="1" pivotButton="0" quotePrefix="0" xfId="0">
      <alignment horizontal="left"/>
    </xf>
    <xf numFmtId="0" fontId="20" fillId="0" borderId="11" applyAlignment="1" pivotButton="0" quotePrefix="1" xfId="35">
      <alignment horizontal="left"/>
    </xf>
    <xf numFmtId="0" fontId="23" fillId="0" borderId="12" pivotButton="0" quotePrefix="0" xfId="35"/>
    <xf numFmtId="0" fontId="16" fillId="0" borderId="0" pivotButton="0" quotePrefix="0" xfId="0"/>
    <xf numFmtId="0" fontId="25" fillId="0" borderId="12" pivotButton="0" quotePrefix="0" xfId="35"/>
    <xf numFmtId="164" fontId="30" fillId="0" borderId="0" pivotButton="0" quotePrefix="0" xfId="55"/>
    <xf numFmtId="164" fontId="31" fillId="0" borderId="0" pivotButton="0" quotePrefix="0" xfId="55"/>
    <xf numFmtId="164" fontId="32" fillId="0" borderId="0" applyAlignment="1" pivotButton="0" quotePrefix="0" xfId="55">
      <alignment horizontal="center"/>
    </xf>
    <xf numFmtId="0" fontId="32" fillId="0" borderId="0" pivotButton="0" quotePrefix="0" xfId="0"/>
    <xf numFmtId="165" fontId="19" fillId="0" borderId="0" pivotButton="0" quotePrefix="0" xfId="55"/>
    <xf numFmtId="164" fontId="33" fillId="35" borderId="0" pivotButton="0" quotePrefix="0" xfId="55"/>
    <xf numFmtId="166" fontId="33" fillId="35" borderId="0" applyAlignment="1" pivotButton="0" quotePrefix="0" xfId="55">
      <alignment horizontal="right"/>
    </xf>
    <xf numFmtId="166" fontId="23" fillId="0" borderId="0" pivotButton="0" quotePrefix="0" xfId="55"/>
    <xf numFmtId="166" fontId="19" fillId="0" borderId="0" pivotButton="0" quotePrefix="0" xfId="55"/>
    <xf numFmtId="164" fontId="19" fillId="0" borderId="0" applyAlignment="1" pivotButton="0" quotePrefix="0" xfId="55">
      <alignment horizontal="center"/>
    </xf>
    <xf numFmtId="164" fontId="23" fillId="0" borderId="0" pivotButton="0" quotePrefix="0" xfId="55"/>
    <xf numFmtId="164" fontId="23" fillId="0" borderId="0" pivotButton="0" quotePrefix="0" xfId="55"/>
    <xf numFmtId="0" fontId="23" fillId="0" borderId="0" pivotButton="0" quotePrefix="0" xfId="0"/>
    <xf numFmtId="164" fontId="19" fillId="0" borderId="0" pivotButton="0" quotePrefix="0" xfId="55"/>
    <xf numFmtId="3" fontId="0" fillId="0" borderId="0" pivotButton="0" quotePrefix="0" xfId="0"/>
    <xf numFmtId="164" fontId="23" fillId="0" borderId="0" applyAlignment="1" pivotButton="0" quotePrefix="0" xfId="55">
      <alignment horizontal="left" indent="1"/>
    </xf>
    <xf numFmtId="165" fontId="23" fillId="0" borderId="0" pivotButton="0" quotePrefix="0" xfId="55"/>
    <xf numFmtId="164" fontId="20" fillId="0" borderId="0" pivotButton="0" quotePrefix="0" xfId="55"/>
    <xf numFmtId="164" fontId="19" fillId="0" borderId="0" applyAlignment="1" pivotButton="0" quotePrefix="0" xfId="55">
      <alignment horizontal="left" indent="1"/>
    </xf>
    <xf numFmtId="164" fontId="0" fillId="0" borderId="0" pivotButton="0" quotePrefix="0" xfId="55"/>
    <xf numFmtId="0" fontId="23" fillId="0" borderId="0" applyAlignment="1" pivotButton="0" quotePrefix="0" xfId="0">
      <alignment horizontal="left" indent="1"/>
    </xf>
    <xf numFmtId="165" fontId="0" fillId="0" borderId="0" pivotButton="0" quotePrefix="0" xfId="0"/>
    <xf numFmtId="0" fontId="19" fillId="0" borderId="0" pivotButton="0" quotePrefix="0" xfId="0"/>
    <xf numFmtId="164" fontId="23" fillId="0" borderId="14" pivotButton="0" quotePrefix="0" xfId="55"/>
    <xf numFmtId="165" fontId="23" fillId="0" borderId="14" pivotButton="0" quotePrefix="0" xfId="55"/>
    <xf numFmtId="167" fontId="0" fillId="0" borderId="0" pivotButton="0" quotePrefix="0" xfId="0"/>
    <xf numFmtId="164" fontId="0" fillId="0" borderId="0" pivotButton="0" quotePrefix="0" xfId="55"/>
    <xf numFmtId="164" fontId="23" fillId="0" borderId="14" pivotButton="0" quotePrefix="0" xfId="55"/>
    <xf numFmtId="164" fontId="19" fillId="0" borderId="0" pivotButton="0" quotePrefix="0" xfId="55"/>
    <xf numFmtId="0" fontId="20" fillId="0" borderId="0" pivotButton="0" quotePrefix="0" xfId="0"/>
    <xf numFmtId="164" fontId="25" fillId="0" borderId="0" pivotButton="0" quotePrefix="0" xfId="55"/>
    <xf numFmtId="165" fontId="20" fillId="0" borderId="0" pivotButton="0" quotePrefix="0" xfId="55"/>
    <xf numFmtId="0" fontId="25" fillId="0" borderId="0" pivotButton="0" quotePrefix="0" xfId="0"/>
    <xf numFmtId="164" fontId="23" fillId="0" borderId="0" pivotButton="0" quotePrefix="0" xfId="55"/>
    <xf numFmtId="164" fontId="23" fillId="0" borderId="0" pivotButton="0" quotePrefix="0" xfId="55"/>
    <xf numFmtId="166" fontId="23" fillId="0" borderId="0" applyAlignment="1" pivotButton="0" quotePrefix="0" xfId="55">
      <alignment horizontal="center"/>
    </xf>
    <xf numFmtId="167" fontId="19" fillId="0" borderId="0" pivotButton="0" quotePrefix="0" xfId="55"/>
    <xf numFmtId="9" fontId="0" fillId="0" borderId="0" pivotButton="0" quotePrefix="0" xfId="56"/>
    <xf numFmtId="9" fontId="19" fillId="0" borderId="0" pivotButton="0" quotePrefix="0" xfId="56"/>
    <xf numFmtId="164" fontId="19" fillId="0" borderId="0" pivotButton="0" quotePrefix="0" xfId="55"/>
    <xf numFmtId="1" fontId="0" fillId="0" borderId="0" pivotButton="0" quotePrefix="0" xfId="0"/>
    <xf numFmtId="167" fontId="23" fillId="0" borderId="0" pivotButton="0" quotePrefix="0" xfId="55"/>
    <xf numFmtId="168" fontId="19" fillId="0" borderId="0" pivotButton="0" quotePrefix="0" xfId="55"/>
    <xf numFmtId="9" fontId="23" fillId="0" borderId="0" pivotButton="0" quotePrefix="0" xfId="56"/>
    <xf numFmtId="9" fontId="19" fillId="0" borderId="0" pivotButton="0" quotePrefix="0" xfId="56"/>
    <xf numFmtId="164" fontId="19" fillId="0" borderId="0" pivotButton="0" quotePrefix="0" xfId="55"/>
    <xf numFmtId="169" fontId="19" fillId="0" borderId="0" pivotButton="0" quotePrefix="0" xfId="55"/>
    <xf numFmtId="164" fontId="34" fillId="0" borderId="0" pivotButton="0" quotePrefix="0" xfId="55"/>
    <xf numFmtId="164" fontId="34" fillId="0" borderId="0" pivotButton="0" quotePrefix="0" xfId="55"/>
    <xf numFmtId="164" fontId="0" fillId="0" borderId="0" pivotButton="0" quotePrefix="1" xfId="55"/>
    <xf numFmtId="164" fontId="35" fillId="0" borderId="0" pivotButton="0" quotePrefix="0" xfId="55"/>
    <xf numFmtId="164" fontId="22" fillId="0" borderId="0" pivotButton="0" quotePrefix="0" xfId="55"/>
    <xf numFmtId="164" fontId="22" fillId="0" borderId="0" pivotButton="0" quotePrefix="0" xfId="55"/>
    <xf numFmtId="164" fontId="22" fillId="0" borderId="0" pivotButton="0" quotePrefix="0" xfId="55"/>
    <xf numFmtId="164" fontId="22" fillId="0" borderId="0" pivotButton="0" quotePrefix="0" xfId="55"/>
    <xf numFmtId="0" fontId="36" fillId="0" borderId="11" applyAlignment="1" pivotButton="0" quotePrefix="0" xfId="0">
      <alignment horizontal="left"/>
    </xf>
    <xf numFmtId="38" fontId="0" fillId="0" borderId="0" pivotButton="0" quotePrefix="0" xfId="0"/>
    <xf numFmtId="4" fontId="19" fillId="0" borderId="0" pivotButton="0" quotePrefix="0" xfId="55"/>
    <xf numFmtId="0" fontId="37" fillId="0" borderId="0" pivotButton="0" quotePrefix="0" xfId="0"/>
    <xf numFmtId="0" fontId="38" fillId="0" borderId="0" pivotButton="0" quotePrefix="0" xfId="0"/>
    <xf numFmtId="170" fontId="37" fillId="0" borderId="0" pivotButton="0" quotePrefix="0" xfId="55"/>
    <xf numFmtId="170" fontId="37" fillId="0" borderId="0" pivotButton="0" quotePrefix="0" xfId="0"/>
    <xf numFmtId="0" fontId="37" fillId="38" borderId="0" pivotButton="0" quotePrefix="0" xfId="0"/>
    <xf numFmtId="170" fontId="37" fillId="38" borderId="0" pivotButton="0" quotePrefix="0" xfId="55"/>
    <xf numFmtId="171" fontId="23" fillId="0" borderId="14" pivotButton="0" quotePrefix="0" xfId="55"/>
    <xf numFmtId="171" fontId="0" fillId="0" borderId="0" pivotButton="0" quotePrefix="0" xfId="0"/>
    <xf numFmtId="0" fontId="0" fillId="37" borderId="0" pivotButton="0" quotePrefix="0" xfId="0"/>
    <xf numFmtId="3" fontId="16" fillId="0" borderId="0" pivotButton="0" quotePrefix="0" xfId="0"/>
    <xf numFmtId="170" fontId="0" fillId="0" borderId="0" pivotButton="0" quotePrefix="0" xfId="0"/>
    <xf numFmtId="170" fontId="0" fillId="0" borderId="0" pivotButton="0" quotePrefix="0" xfId="55"/>
    <xf numFmtId="170" fontId="0" fillId="39" borderId="0" pivotButton="0" quotePrefix="0" xfId="0"/>
    <xf numFmtId="170" fontId="39" fillId="0" borderId="0" pivotButton="0" quotePrefix="0" xfId="0"/>
    <xf numFmtId="170" fontId="39" fillId="0" borderId="0" pivotButton="0" quotePrefix="0" xfId="55"/>
    <xf numFmtId="170" fontId="16" fillId="0" borderId="0" pivotButton="0" quotePrefix="0" xfId="55"/>
    <xf numFmtId="170" fontId="16" fillId="0" borderId="0" pivotButton="0" quotePrefix="0" xfId="0"/>
    <xf numFmtId="170" fontId="0" fillId="0" borderId="0" pivotButton="0" quotePrefix="0" xfId="55"/>
    <xf numFmtId="43" fontId="0" fillId="0" borderId="0" pivotButton="0" quotePrefix="0" xfId="0"/>
    <xf numFmtId="0" fontId="0" fillId="36" borderId="0" pivotButton="0" quotePrefix="0" xfId="0"/>
    <xf numFmtId="0" fontId="20" fillId="0" borderId="0" applyAlignment="1" pivotButton="0" quotePrefix="0" xfId="35">
      <alignment horizontal="left"/>
    </xf>
    <xf numFmtId="0" fontId="20" fillId="0" borderId="0" pivotButton="0" quotePrefix="0" xfId="35"/>
    <xf numFmtId="0" fontId="36" fillId="0" borderId="0" applyAlignment="1" pivotButton="0" quotePrefix="0" xfId="0">
      <alignment horizontal="left"/>
    </xf>
    <xf numFmtId="0" fontId="20" fillId="0" borderId="0" applyAlignment="1" pivotButton="0" quotePrefix="1" xfId="35">
      <alignment horizontal="left"/>
    </xf>
    <xf numFmtId="0" fontId="18" fillId="0" borderId="15" pivotButton="0" quotePrefix="0" xfId="34"/>
    <xf numFmtId="0" fontId="40" fillId="0" borderId="15" pivotButton="0" quotePrefix="0" xfId="34"/>
    <xf numFmtId="0" fontId="41" fillId="0" borderId="0" pivotButton="0" quotePrefix="0" xfId="0"/>
    <xf numFmtId="0" fontId="42" fillId="0" borderId="15" pivotButton="0" quotePrefix="0" xfId="34"/>
    <xf numFmtId="0" fontId="18" fillId="0" borderId="0" pivotButton="0" quotePrefix="0" xfId="34"/>
    <xf numFmtId="0" fontId="43" fillId="36" borderId="16" pivotButton="0" quotePrefix="0" xfId="0"/>
    <xf numFmtId="0" fontId="0" fillId="36" borderId="17" pivotButton="0" quotePrefix="0" xfId="0"/>
    <xf numFmtId="0" fontId="44" fillId="40" borderId="18" applyAlignment="1" pivotButton="0" quotePrefix="0" xfId="0">
      <alignment horizontal="right"/>
    </xf>
    <xf numFmtId="0" fontId="45" fillId="0" borderId="10" applyAlignment="1" pivotButton="0" quotePrefix="0" xfId="34">
      <alignment horizontal="center"/>
    </xf>
    <xf numFmtId="0" fontId="46" fillId="0" borderId="0" pivotButton="0" quotePrefix="0" xfId="0"/>
    <xf numFmtId="0" fontId="45" fillId="0" borderId="10" pivotButton="0" quotePrefix="0" xfId="34"/>
    <xf numFmtId="170" fontId="41" fillId="0" borderId="0" pivotButton="0" quotePrefix="0" xfId="0"/>
    <xf numFmtId="0" fontId="40" fillId="0" borderId="10" pivotButton="0" quotePrefix="0" xfId="34"/>
    <xf numFmtId="170" fontId="41" fillId="0" borderId="0" pivotButton="0" quotePrefix="0" xfId="55"/>
    <xf numFmtId="0" fontId="18" fillId="0" borderId="10" pivotButton="0" quotePrefix="0" xfId="34"/>
    <xf numFmtId="0" fontId="47" fillId="0" borderId="0" pivotButton="0" quotePrefix="0" xfId="0"/>
    <xf numFmtId="164" fontId="48" fillId="0" borderId="0" pivotButton="0" quotePrefix="0" xfId="55"/>
    <xf numFmtId="164" fontId="47" fillId="0" borderId="0" pivotButton="0" quotePrefix="0" xfId="55"/>
    <xf numFmtId="164" fontId="46" fillId="0" borderId="0" pivotButton="0" quotePrefix="0" xfId="55"/>
    <xf numFmtId="164" fontId="50" fillId="0" borderId="0" pivotButton="0" quotePrefix="0" xfId="0"/>
    <xf numFmtId="0" fontId="42" fillId="0" borderId="19" pivotButton="0" quotePrefix="0" xfId="34"/>
    <xf numFmtId="0" fontId="51" fillId="0" borderId="20" pivotButton="0" quotePrefix="0" xfId="34"/>
    <xf numFmtId="0" fontId="46" fillId="0" borderId="13" pivotButton="0" quotePrefix="0" xfId="0"/>
    <xf numFmtId="0" fontId="51" fillId="0" borderId="10" pivotButton="0" quotePrefix="0" xfId="34"/>
    <xf numFmtId="0" fontId="47" fillId="36" borderId="21" pivotButton="0" quotePrefix="0" xfId="0"/>
    <xf numFmtId="170" fontId="41" fillId="0" borderId="0" pivotButton="0" quotePrefix="0" xfId="55"/>
    <xf numFmtId="164" fontId="48" fillId="0" borderId="0" pivotButton="0" quotePrefix="0" xfId="55"/>
    <xf numFmtId="164" fontId="47" fillId="0" borderId="0" pivotButton="0" quotePrefix="0" xfId="55"/>
    <xf numFmtId="0" fontId="52" fillId="0" borderId="10" pivotButton="0" quotePrefix="0" xfId="34"/>
    <xf numFmtId="0" fontId="53" fillId="0" borderId="10" pivotButton="0" quotePrefix="0" xfId="34"/>
    <xf numFmtId="0" fontId="42" fillId="0" borderId="10" pivotButton="0" quotePrefix="0" xfId="34"/>
    <xf numFmtId="0" fontId="56" fillId="0" borderId="0" pivotButton="0" quotePrefix="0" xfId="0"/>
    <xf numFmtId="0" fontId="57" fillId="0" borderId="0" applyAlignment="1" pivotButton="0" quotePrefix="0" xfId="0">
      <alignment wrapText="1"/>
    </xf>
    <xf numFmtId="170" fontId="57" fillId="0" borderId="0" pivotButton="0" quotePrefix="0" xfId="55"/>
    <xf numFmtId="43" fontId="57" fillId="0" borderId="0" pivotButton="0" quotePrefix="0" xfId="0"/>
    <xf numFmtId="0" fontId="57" fillId="0" borderId="0" pivotButton="0" quotePrefix="0" xfId="0"/>
    <xf numFmtId="0" fontId="58" fillId="0" borderId="15" pivotButton="0" quotePrefix="0" xfId="34"/>
    <xf numFmtId="43" fontId="16" fillId="0" borderId="0" pivotButton="0" quotePrefix="0" xfId="0"/>
    <xf numFmtId="0" fontId="59" fillId="0" borderId="15" pivotButton="0" quotePrefix="0" xfId="34"/>
    <xf numFmtId="0" fontId="57" fillId="0" borderId="10" pivotButton="0" quotePrefix="0" xfId="0"/>
    <xf numFmtId="3" fontId="57" fillId="0" borderId="0" pivotButton="0" quotePrefix="0" xfId="0"/>
    <xf numFmtId="0" fontId="62" fillId="0" borderId="22" applyAlignment="1" pivotButton="0" quotePrefix="0" xfId="0">
      <alignment vertical="top" wrapText="1"/>
    </xf>
    <xf numFmtId="0" fontId="62" fillId="0" borderId="23" applyAlignment="1" pivotButton="0" quotePrefix="0" xfId="0">
      <alignment vertical="top" wrapText="1"/>
    </xf>
    <xf numFmtId="0" fontId="62" fillId="0" borderId="24" applyAlignment="1" pivotButton="0" quotePrefix="0" xfId="0">
      <alignment vertical="top" wrapText="1"/>
    </xf>
    <xf numFmtId="0" fontId="63" fillId="0" borderId="22" applyAlignment="1" pivotButton="0" quotePrefix="0" xfId="0">
      <alignment vertical="top" wrapText="1"/>
    </xf>
    <xf numFmtId="0" fontId="63" fillId="0" borderId="23" applyAlignment="1" pivotButton="0" quotePrefix="0" xfId="0">
      <alignment vertical="top" wrapText="1"/>
    </xf>
    <xf numFmtId="0" fontId="63" fillId="0" borderId="24" applyAlignment="1" pivotButton="0" quotePrefix="0" xfId="0">
      <alignment vertical="top" wrapText="1"/>
    </xf>
    <xf numFmtId="0" fontId="61" fillId="0" borderId="22" applyAlignment="1" pivotButton="0" quotePrefix="0" xfId="0">
      <alignment vertical="top" wrapText="1"/>
    </xf>
    <xf numFmtId="0" fontId="61" fillId="0" borderId="23" applyAlignment="1" pivotButton="0" quotePrefix="0" xfId="0">
      <alignment vertical="top" wrapText="1"/>
    </xf>
    <xf numFmtId="0" fontId="61" fillId="0" borderId="24" applyAlignment="1" pivotButton="0" quotePrefix="0" xfId="0">
      <alignment vertical="top" wrapText="1"/>
    </xf>
    <xf numFmtId="0" fontId="0" fillId="0" borderId="22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0" fontId="0" fillId="0" borderId="22" applyAlignment="1" pivotButton="0" quotePrefix="0" xfId="0">
      <alignment wrapText="1"/>
    </xf>
    <xf numFmtId="0" fontId="0" fillId="0" borderId="23" applyAlignment="1" pivotButton="0" quotePrefix="0" xfId="0">
      <alignment wrapText="1"/>
    </xf>
    <xf numFmtId="0" fontId="0" fillId="0" borderId="24" applyAlignment="1" pivotButton="0" quotePrefix="0" xfId="0">
      <alignment wrapText="1"/>
    </xf>
    <xf numFmtId="0" fontId="60" fillId="0" borderId="22" applyAlignment="1" pivotButton="0" quotePrefix="0" xfId="0">
      <alignment vertical="top" wrapText="1"/>
    </xf>
    <xf numFmtId="0" fontId="60" fillId="0" borderId="23" applyAlignment="1" pivotButton="0" quotePrefix="0" xfId="0">
      <alignment vertical="top" wrapText="1"/>
    </xf>
    <xf numFmtId="0" fontId="60" fillId="0" borderId="24" applyAlignment="1" pivotButton="0" quotePrefix="0" xfId="0">
      <alignment vertical="top" wrapText="1"/>
    </xf>
    <xf numFmtId="164" fontId="55" fillId="0" borderId="0" pivotButton="0" quotePrefix="0" xfId="55"/>
    <xf numFmtId="165" fontId="61" fillId="0" borderId="0" pivotButton="0" quotePrefix="0" xfId="55"/>
    <xf numFmtId="0" fontId="14" fillId="0" borderId="0" pivotButton="0" quotePrefix="0" xfId="0"/>
    <xf numFmtId="164" fontId="14" fillId="0" borderId="0" pivotButton="0" quotePrefix="0" xfId="55"/>
    <xf numFmtId="9" fontId="14" fillId="0" borderId="0" pivotButton="0" quotePrefix="0" xfId="0"/>
    <xf numFmtId="9" fontId="0" fillId="0" borderId="0" pivotButton="0" quotePrefix="0" xfId="56"/>
    <xf numFmtId="172" fontId="0" fillId="0" borderId="0" pivotButton="0" quotePrefix="0" xfId="0"/>
    <xf numFmtId="165" fontId="20" fillId="0" borderId="0" pivotButton="0" quotePrefix="0" xfId="0"/>
    <xf numFmtId="15" fontId="19" fillId="0" borderId="0" applyAlignment="1" pivotButton="0" quotePrefix="0" xfId="55">
      <alignment horizontal="left"/>
    </xf>
    <xf numFmtId="0" fontId="65" fillId="0" borderId="0" pivotButton="0" quotePrefix="0" xfId="0"/>
    <xf numFmtId="3" fontId="65" fillId="0" borderId="0" pivotButton="0" quotePrefix="0" xfId="0"/>
    <xf numFmtId="3" fontId="23" fillId="0" borderId="0" pivotButton="0" quotePrefix="0" xfId="0"/>
    <xf numFmtId="0" fontId="66" fillId="0" borderId="0" pivotButton="0" quotePrefix="0" xfId="0"/>
    <xf numFmtId="9" fontId="65" fillId="0" borderId="0" pivotButton="0" quotePrefix="0" xfId="0"/>
    <xf numFmtId="0" fontId="64" fillId="0" borderId="0" applyAlignment="1" pivotButton="0" quotePrefix="0" xfId="0">
      <alignment horizontal="left"/>
    </xf>
    <xf numFmtId="9" fontId="0" fillId="0" borderId="0" pivotButton="0" quotePrefix="0" xfId="0"/>
    <xf numFmtId="9" fontId="19" fillId="0" borderId="0" pivotButton="0" quotePrefix="0" xfId="55"/>
    <xf numFmtId="167" fontId="65" fillId="0" borderId="0" pivotButton="0" quotePrefix="0" xfId="0"/>
    <xf numFmtId="9" fontId="32" fillId="0" borderId="0" pivotButton="0" quotePrefix="0" xfId="55"/>
    <xf numFmtId="9" fontId="9" fillId="5" borderId="4" pivotButton="0" quotePrefix="0" xfId="7"/>
    <xf numFmtId="3" fontId="9" fillId="5" borderId="4" pivotButton="0" quotePrefix="0" xfId="7"/>
    <xf numFmtId="170" fontId="9" fillId="5" borderId="4" applyAlignment="1" pivotButton="0" quotePrefix="0" xfId="7">
      <alignment horizontal="center"/>
    </xf>
    <xf numFmtId="3" fontId="11" fillId="6" borderId="4" pivotButton="0" quotePrefix="0" xfId="9"/>
    <xf numFmtId="165" fontId="11" fillId="6" borderId="4" pivotButton="0" quotePrefix="0" xfId="9"/>
    <xf numFmtId="165" fontId="25" fillId="0" borderId="0" pivotButton="0" quotePrefix="0" xfId="0"/>
    <xf numFmtId="9" fontId="19" fillId="0" borderId="0" pivotButton="0" quotePrefix="0" xfId="55"/>
    <xf numFmtId="9" fontId="10" fillId="6" borderId="5" pivotButton="0" quotePrefix="0" xfId="8"/>
    <xf numFmtId="1" fontId="10" fillId="6" borderId="5" pivotButton="0" quotePrefix="0" xfId="8"/>
    <xf numFmtId="4" fontId="10" fillId="6" borderId="5" pivotButton="0" quotePrefix="0" xfId="8"/>
    <xf numFmtId="169" fontId="10" fillId="6" borderId="5" pivotButton="0" quotePrefix="0" xfId="8"/>
    <xf numFmtId="165" fontId="10" fillId="6" borderId="5" pivotButton="0" quotePrefix="0" xfId="8"/>
    <xf numFmtId="170" fontId="10" fillId="6" borderId="5" pivotButton="0" quotePrefix="0" xfId="8"/>
    <xf numFmtId="0" fontId="16" fillId="0" borderId="25" pivotButton="0" quotePrefix="0" xfId="0"/>
    <xf numFmtId="0" fontId="0" fillId="0" borderId="25" pivotButton="0" quotePrefix="0" xfId="0"/>
    <xf numFmtId="0" fontId="23" fillId="0" borderId="25" pivotButton="0" quotePrefix="0" xfId="53"/>
    <xf numFmtId="0" fontId="70" fillId="0" borderId="25" applyAlignment="1" pivotButton="0" quotePrefix="0" xfId="58">
      <alignment horizontal="center" vertical="center"/>
    </xf>
    <xf numFmtId="166" fontId="33" fillId="35" borderId="25" applyAlignment="1" pivotButton="0" quotePrefix="0" xfId="55">
      <alignment horizontal="right"/>
    </xf>
    <xf numFmtId="164" fontId="19" fillId="0" borderId="25" pivotButton="0" quotePrefix="0" xfId="55"/>
    <xf numFmtId="170" fontId="2" fillId="16" borderId="25" applyAlignment="1" pivotButton="0" quotePrefix="0" xfId="57">
      <alignment horizontal="right"/>
    </xf>
    <xf numFmtId="170" fontId="70" fillId="0" borderId="25" applyAlignment="1" pivotButton="0" quotePrefix="0" xfId="38">
      <alignment horizontal="right"/>
    </xf>
    <xf numFmtId="1" fontId="0" fillId="0" borderId="25" pivotButton="0" quotePrefix="0" xfId="0"/>
    <xf numFmtId="0" fontId="19" fillId="0" borderId="26" applyAlignment="1" pivotButton="0" quotePrefix="0" xfId="58">
      <alignment horizontal="left" indent="1"/>
    </xf>
    <xf numFmtId="0" fontId="19" fillId="0" borderId="27" applyAlignment="1" pivotButton="0" quotePrefix="0" xfId="58">
      <alignment horizontal="left" indent="1"/>
    </xf>
    <xf numFmtId="170" fontId="19" fillId="0" borderId="27" applyAlignment="1" pivotButton="0" quotePrefix="0" xfId="38">
      <alignment horizontal="center"/>
    </xf>
    <xf numFmtId="170" fontId="3" fillId="16" borderId="28" applyAlignment="1" pivotButton="0" quotePrefix="0" xfId="55">
      <alignment horizontal="right"/>
    </xf>
    <xf numFmtId="170" fontId="19" fillId="0" borderId="29" applyAlignment="1" pivotButton="0" quotePrefix="0" xfId="38">
      <alignment horizontal="center"/>
    </xf>
    <xf numFmtId="164" fontId="19" fillId="0" borderId="30" pivotButton="0" quotePrefix="0" xfId="55"/>
    <xf numFmtId="0" fontId="19" fillId="0" borderId="0" applyAlignment="1" pivotButton="0" quotePrefix="0" xfId="58">
      <alignment horizontal="left" indent="1"/>
    </xf>
    <xf numFmtId="170" fontId="19" fillId="0" borderId="0" applyAlignment="1" pivotButton="0" quotePrefix="0" xfId="38">
      <alignment horizontal="center"/>
    </xf>
    <xf numFmtId="170" fontId="3" fillId="16" borderId="31" applyAlignment="1" pivotButton="0" quotePrefix="0" xfId="55">
      <alignment horizontal="right"/>
    </xf>
    <xf numFmtId="0" fontId="0" fillId="0" borderId="30" pivotButton="0" quotePrefix="0" xfId="0"/>
    <xf numFmtId="167" fontId="2" fillId="16" borderId="25" applyAlignment="1" pivotButton="0" quotePrefix="0" xfId="57">
      <alignment horizontal="right"/>
    </xf>
    <xf numFmtId="0" fontId="0" fillId="0" borderId="32" pivotButton="0" quotePrefix="0" xfId="0"/>
    <xf numFmtId="0" fontId="0" fillId="0" borderId="33" pivotButton="0" quotePrefix="0" xfId="0"/>
    <xf numFmtId="0" fontId="2" fillId="16" borderId="34" applyAlignment="1" pivotButton="0" quotePrefix="0" xfId="57">
      <alignment horizontal="right"/>
    </xf>
    <xf numFmtId="170" fontId="0" fillId="0" borderId="33" pivotButton="0" quotePrefix="0" xfId="0"/>
    <xf numFmtId="170" fontId="0" fillId="0" borderId="35" pivotButton="0" quotePrefix="0" xfId="0"/>
    <xf numFmtId="170" fontId="3" fillId="16" borderId="36" pivotButton="0" quotePrefix="0" xfId="55"/>
    <xf numFmtId="170" fontId="3" fillId="16" borderId="28" pivotButton="0" quotePrefix="0" xfId="55"/>
    <xf numFmtId="170" fontId="3" fillId="0" borderId="28" applyAlignment="1" pivotButton="0" quotePrefix="0" xfId="55">
      <alignment horizontal="right"/>
    </xf>
    <xf numFmtId="170" fontId="3" fillId="0" borderId="37" applyAlignment="1" pivotButton="0" quotePrefix="0" xfId="55">
      <alignment horizontal="right"/>
    </xf>
    <xf numFmtId="170" fontId="3" fillId="16" borderId="38" pivotButton="0" quotePrefix="0" xfId="55"/>
    <xf numFmtId="170" fontId="3" fillId="16" borderId="25" pivotButton="0" quotePrefix="0" xfId="55"/>
    <xf numFmtId="170" fontId="3" fillId="16" borderId="25" applyAlignment="1" pivotButton="0" quotePrefix="0" xfId="55">
      <alignment horizontal="right"/>
    </xf>
    <xf numFmtId="170" fontId="3" fillId="0" borderId="25" applyAlignment="1" pivotButton="0" quotePrefix="0" xfId="55">
      <alignment horizontal="right"/>
    </xf>
    <xf numFmtId="170" fontId="3" fillId="0" borderId="39" applyAlignment="1" pivotButton="0" quotePrefix="0" xfId="55">
      <alignment horizontal="right"/>
    </xf>
    <xf numFmtId="164" fontId="19" fillId="0" borderId="30" pivotButton="0" quotePrefix="0" xfId="55"/>
    <xf numFmtId="0" fontId="19" fillId="0" borderId="32" applyAlignment="1" pivotButton="0" quotePrefix="0" xfId="58">
      <alignment vertical="center" wrapText="1"/>
    </xf>
    <xf numFmtId="170" fontId="19" fillId="0" borderId="10" applyAlignment="1" pivotButton="0" quotePrefix="0" xfId="38">
      <alignment horizontal="center"/>
    </xf>
    <xf numFmtId="170" fontId="0" fillId="0" borderId="10" pivotButton="0" quotePrefix="0" xfId="0"/>
    <xf numFmtId="0" fontId="18" fillId="0" borderId="15" applyAlignment="1" pivotButton="0" quotePrefix="0" xfId="34">
      <alignment horizontal="left"/>
    </xf>
    <xf numFmtId="0" fontId="40" fillId="0" borderId="15" applyAlignment="1" pivotButton="0" quotePrefix="0" xfId="34">
      <alignment horizontal="left"/>
    </xf>
    <xf numFmtId="164" fontId="72" fillId="0" borderId="0" pivotButton="0" quotePrefix="0" xfId="55"/>
    <xf numFmtId="164" fontId="72" fillId="0" borderId="0" applyAlignment="1" pivotButton="0" quotePrefix="0" xfId="55">
      <alignment horizontal="left"/>
    </xf>
    <xf numFmtId="164" fontId="73" fillId="0" borderId="0" applyAlignment="1" pivotButton="0" quotePrefix="0" xfId="55">
      <alignment horizontal="left"/>
    </xf>
    <xf numFmtId="164" fontId="73" fillId="0" borderId="0" pivotButton="0" quotePrefix="0" xfId="55"/>
    <xf numFmtId="164" fontId="72" fillId="0" borderId="0" pivotButton="0" quotePrefix="0" xfId="55"/>
    <xf numFmtId="164" fontId="75" fillId="0" borderId="0" pivotButton="0" quotePrefix="0" xfId="55"/>
    <xf numFmtId="0" fontId="1" fillId="0" borderId="0" pivotButton="0" quotePrefix="0" xfId="0"/>
    <xf numFmtId="164" fontId="76" fillId="0" borderId="0" pivotButton="0" quotePrefix="0" xfId="55"/>
    <xf numFmtId="164" fontId="76" fillId="0" borderId="0" applyAlignment="1" pivotButton="0" quotePrefix="0" xfId="55">
      <alignment horizontal="left"/>
    </xf>
    <xf numFmtId="164" fontId="77" fillId="0" borderId="0" pivotButton="0" quotePrefix="0" xfId="55"/>
    <xf numFmtId="164" fontId="78" fillId="0" borderId="0" applyAlignment="1" pivotButton="0" quotePrefix="0" xfId="55">
      <alignment horizontal="center"/>
    </xf>
    <xf numFmtId="0" fontId="78" fillId="0" borderId="0" pivotButton="0" quotePrefix="0" xfId="0"/>
    <xf numFmtId="15" fontId="76" fillId="0" borderId="0" applyAlignment="1" pivotButton="0" quotePrefix="0" xfId="55">
      <alignment horizontal="left"/>
    </xf>
    <xf numFmtId="164" fontId="79" fillId="35" borderId="0" pivotButton="0" quotePrefix="0" xfId="55"/>
    <xf numFmtId="166" fontId="79" fillId="35" borderId="0" applyAlignment="1" pivotButton="0" quotePrefix="0" xfId="55">
      <alignment horizontal="right"/>
    </xf>
    <xf numFmtId="166" fontId="75" fillId="0" borderId="0" pivotButton="0" quotePrefix="0" xfId="55"/>
    <xf numFmtId="166" fontId="76" fillId="0" borderId="0" pivotButton="0" quotePrefix="0" xfId="55"/>
    <xf numFmtId="164" fontId="76" fillId="0" borderId="0" applyAlignment="1" pivotButton="0" quotePrefix="0" xfId="55">
      <alignment horizontal="center"/>
    </xf>
    <xf numFmtId="164" fontId="75" fillId="0" borderId="0" applyAlignment="1" pivotButton="0" quotePrefix="0" xfId="55">
      <alignment horizontal="left"/>
    </xf>
    <xf numFmtId="164" fontId="75" fillId="0" borderId="0" pivotButton="0" quotePrefix="0" xfId="55"/>
    <xf numFmtId="165" fontId="75" fillId="0" borderId="0" pivotButton="0" quotePrefix="0" xfId="55"/>
    <xf numFmtId="38" fontId="1" fillId="0" borderId="0" pivotButton="0" quotePrefix="0" xfId="0"/>
    <xf numFmtId="0" fontId="75" fillId="0" borderId="0" pivotButton="0" quotePrefix="0" xfId="0"/>
    <xf numFmtId="164" fontId="76" fillId="0" borderId="0" applyAlignment="1" pivotButton="0" quotePrefix="0" xfId="55">
      <alignment horizontal="left" indent="1"/>
    </xf>
    <xf numFmtId="164" fontId="1" fillId="0" borderId="0" pivotButton="0" quotePrefix="0" xfId="55"/>
    <xf numFmtId="165" fontId="76" fillId="0" borderId="0" pivotButton="0" quotePrefix="0" xfId="55"/>
    <xf numFmtId="164" fontId="80" fillId="0" borderId="0" pivotButton="0" quotePrefix="0" xfId="55"/>
    <xf numFmtId="164" fontId="76" fillId="0" borderId="0" applyAlignment="1" pivotButton="0" quotePrefix="0" xfId="55">
      <alignment horizontal="left" indent="1"/>
    </xf>
    <xf numFmtId="164" fontId="1" fillId="0" borderId="0" applyAlignment="1" pivotButton="0" quotePrefix="0" xfId="55">
      <alignment horizontal="left" indent="1"/>
    </xf>
    <xf numFmtId="171" fontId="1" fillId="0" borderId="0" pivotButton="0" quotePrefix="0" xfId="0"/>
    <xf numFmtId="0" fontId="75" fillId="0" borderId="0" applyAlignment="1" pivotButton="0" quotePrefix="0" xfId="0">
      <alignment horizontal="left"/>
    </xf>
    <xf numFmtId="0" fontId="76" fillId="0" borderId="0" pivotButton="0" quotePrefix="0" xfId="0"/>
    <xf numFmtId="164" fontId="75" fillId="0" borderId="0" pivotButton="0" quotePrefix="0" xfId="55"/>
    <xf numFmtId="165" fontId="75" fillId="0" borderId="0" pivotButton="0" quotePrefix="0" xfId="55"/>
    <xf numFmtId="164" fontId="1" fillId="0" borderId="0" pivotButton="0" quotePrefix="0" xfId="55"/>
    <xf numFmtId="165" fontId="75" fillId="0" borderId="0" pivotButton="0" quotePrefix="0" xfId="0"/>
    <xf numFmtId="9" fontId="76" fillId="0" borderId="0" pivotButton="0" quotePrefix="0" xfId="56"/>
    <xf numFmtId="0" fontId="80" fillId="0" borderId="0" pivotButton="0" quotePrefix="0" xfId="0"/>
    <xf numFmtId="164" fontId="81" fillId="0" borderId="0" pivotButton="0" quotePrefix="0" xfId="55"/>
    <xf numFmtId="164" fontId="76" fillId="0" borderId="0" applyAlignment="1" pivotButton="0" quotePrefix="0" xfId="55">
      <alignment horizontal="left" indent="1"/>
    </xf>
    <xf numFmtId="165" fontId="1" fillId="0" borderId="0" pivotButton="0" quotePrefix="0" xfId="0"/>
    <xf numFmtId="165" fontId="80" fillId="0" borderId="0" pivotButton="0" quotePrefix="0" xfId="55"/>
    <xf numFmtId="164" fontId="75" fillId="0" borderId="14" pivotButton="0" quotePrefix="0" xfId="55"/>
    <xf numFmtId="171" fontId="75" fillId="0" borderId="14" pivotButton="0" quotePrefix="0" xfId="55"/>
    <xf numFmtId="0" fontId="81" fillId="0" borderId="0" pivotButton="0" quotePrefix="0" xfId="0"/>
    <xf numFmtId="165" fontId="75" fillId="0" borderId="14" pivotButton="0" quotePrefix="0" xfId="55"/>
    <xf numFmtId="0" fontId="82" fillId="0" borderId="0" pivotButton="0" quotePrefix="0" xfId="0"/>
    <xf numFmtId="165" fontId="82" fillId="0" borderId="0" pivotButton="0" quotePrefix="0" xfId="0"/>
    <xf numFmtId="164" fontId="75" fillId="0" borderId="0" pivotButton="0" quotePrefix="0" xfId="55"/>
    <xf numFmtId="166" fontId="75" fillId="0" borderId="0" applyAlignment="1" pivotButton="0" quotePrefix="0" xfId="55">
      <alignment horizontal="center"/>
    </xf>
    <xf numFmtId="164" fontId="76" fillId="0" borderId="0" pivotButton="0" quotePrefix="0" xfId="55"/>
    <xf numFmtId="167" fontId="76" fillId="0" borderId="0" pivotButton="0" quotePrefix="0" xfId="55"/>
    <xf numFmtId="167" fontId="1" fillId="0" borderId="0" pivotButton="0" quotePrefix="0" xfId="0"/>
    <xf numFmtId="164" fontId="76" fillId="0" borderId="0" pivotButton="0" quotePrefix="0" xfId="55"/>
    <xf numFmtId="1" fontId="1" fillId="0" borderId="0" applyAlignment="1" pivotButton="0" quotePrefix="0" xfId="0">
      <alignment horizontal="right"/>
    </xf>
    <xf numFmtId="173" fontId="76" fillId="0" borderId="0" pivotButton="0" quotePrefix="0" xfId="55"/>
    <xf numFmtId="173" fontId="1" fillId="0" borderId="0" pivotButton="0" quotePrefix="0" xfId="56"/>
    <xf numFmtId="173" fontId="76" fillId="0" borderId="0" pivotButton="0" quotePrefix="0" xfId="56"/>
    <xf numFmtId="164" fontId="76" fillId="0" borderId="0" pivotButton="0" quotePrefix="0" xfId="55"/>
    <xf numFmtId="173" fontId="1" fillId="0" borderId="0" pivotButton="0" quotePrefix="0" xfId="0"/>
    <xf numFmtId="1" fontId="1" fillId="0" borderId="0" pivotButton="0" quotePrefix="0" xfId="0"/>
    <xf numFmtId="167" fontId="75" fillId="0" borderId="0" pivotButton="0" quotePrefix="0" xfId="55"/>
    <xf numFmtId="170" fontId="76" fillId="0" borderId="0" pivotButton="0" quotePrefix="0" xfId="55"/>
    <xf numFmtId="0" fontId="1" fillId="0" borderId="0" applyAlignment="1" pivotButton="0" quotePrefix="0" xfId="0">
      <alignment horizontal="right"/>
    </xf>
    <xf numFmtId="9" fontId="1" fillId="0" borderId="0" pivotButton="0" quotePrefix="0" xfId="0"/>
    <xf numFmtId="168" fontId="76" fillId="0" borderId="0" pivotButton="0" quotePrefix="0" xfId="55"/>
    <xf numFmtId="9" fontId="1" fillId="0" borderId="0" pivotButton="0" quotePrefix="0" xfId="56"/>
    <xf numFmtId="0" fontId="83" fillId="0" borderId="0" pivotButton="0" quotePrefix="0" xfId="0"/>
    <xf numFmtId="9" fontId="75" fillId="0" borderId="0" pivotButton="0" quotePrefix="0" xfId="56"/>
    <xf numFmtId="9" fontId="76" fillId="0" borderId="0" pivotButton="0" quotePrefix="0" xfId="55"/>
    <xf numFmtId="9" fontId="76" fillId="0" borderId="0" pivotButton="0" quotePrefix="0" xfId="56"/>
    <xf numFmtId="169" fontId="76" fillId="0" borderId="0" pivotButton="0" quotePrefix="0" xfId="55"/>
    <xf numFmtId="167" fontId="83" fillId="0" borderId="0" pivotButton="0" quotePrefix="0" xfId="0"/>
    <xf numFmtId="164" fontId="80" fillId="0" borderId="0" pivotButton="0" quotePrefix="0" xfId="55"/>
    <xf numFmtId="164" fontId="1" fillId="0" borderId="0" pivotButton="0" quotePrefix="1" xfId="55"/>
    <xf numFmtId="164" fontId="84" fillId="0" borderId="0" pivotButton="0" quotePrefix="0" xfId="55"/>
    <xf numFmtId="164" fontId="78" fillId="0" borderId="0" pivotButton="0" quotePrefix="0" xfId="55"/>
    <xf numFmtId="9" fontId="1" fillId="0" borderId="0" pivotButton="0" quotePrefix="0" xfId="56"/>
    <xf numFmtId="9" fontId="78" fillId="0" borderId="0" pivotButton="0" quotePrefix="0" xfId="0"/>
    <xf numFmtId="174" fontId="76" fillId="0" borderId="0" pivotButton="0" quotePrefix="0" xfId="55"/>
    <xf numFmtId="2" fontId="1" fillId="0" borderId="0" pivotButton="0" quotePrefix="0" xfId="0"/>
    <xf numFmtId="169" fontId="76" fillId="0" borderId="0" applyAlignment="1" pivotButton="0" quotePrefix="0" xfId="55">
      <alignment horizontal="right"/>
    </xf>
    <xf numFmtId="0" fontId="78" fillId="0" borderId="0" applyAlignment="1" pivotButton="0" quotePrefix="0" xfId="0">
      <alignment horizontal="left"/>
    </xf>
    <xf numFmtId="170" fontId="1" fillId="0" borderId="0" pivotButton="0" quotePrefix="0" xfId="55"/>
    <xf numFmtId="172" fontId="1" fillId="0" borderId="0" pivotButton="0" quotePrefix="0" xfId="0"/>
    <xf numFmtId="9" fontId="75" fillId="0" borderId="0" pivotButton="0" quotePrefix="0" xfId="55"/>
    <xf numFmtId="165" fontId="80" fillId="0" borderId="0" pivotButton="0" quotePrefix="0" xfId="0"/>
    <xf numFmtId="9" fontId="80" fillId="0" borderId="0" pivotButton="0" quotePrefix="0" xfId="55"/>
    <xf numFmtId="0" fontId="87" fillId="0" borderId="41" applyAlignment="1" pivotButton="0" quotePrefix="0" xfId="0">
      <alignment horizontal="justify" vertical="center" wrapText="1"/>
    </xf>
    <xf numFmtId="0" fontId="87" fillId="0" borderId="45" applyAlignment="1" pivotButton="0" quotePrefix="0" xfId="0">
      <alignment horizontal="justify" vertical="center" wrapText="1"/>
    </xf>
    <xf numFmtId="0" fontId="87" fillId="0" borderId="43" applyAlignment="1" pivotButton="0" quotePrefix="0" xfId="0">
      <alignment horizontal="justify" vertical="center" wrapText="1"/>
    </xf>
    <xf numFmtId="0" fontId="86" fillId="0" borderId="43" applyAlignment="1" pivotButton="0" quotePrefix="0" xfId="0">
      <alignment horizontal="justify" vertical="center" wrapText="1"/>
    </xf>
    <xf numFmtId="0" fontId="88" fillId="0" borderId="43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right"/>
    </xf>
    <xf numFmtId="0" fontId="43" fillId="36" borderId="16" applyAlignment="1" pivotButton="0" quotePrefix="0" xfId="0">
      <alignment horizontal="right"/>
    </xf>
    <xf numFmtId="0" fontId="0" fillId="0" borderId="15" applyAlignment="1" pivotButton="0" quotePrefix="0" xfId="0">
      <alignment horizontal="right"/>
    </xf>
    <xf numFmtId="0" fontId="18" fillId="0" borderId="15" applyAlignment="1" pivotButton="0" quotePrefix="0" xfId="34">
      <alignment horizontal="right"/>
    </xf>
    <xf numFmtId="49" fontId="18" fillId="0" borderId="15" applyAlignment="1" pivotButton="0" quotePrefix="0" xfId="34">
      <alignment horizontal="right"/>
    </xf>
    <xf numFmtId="0" fontId="41" fillId="0" borderId="0" applyAlignment="1" pivotButton="0" quotePrefix="0" xfId="0">
      <alignment horizontal="right"/>
    </xf>
    <xf numFmtId="0" fontId="42" fillId="0" borderId="15" applyAlignment="1" pivotButton="0" quotePrefix="0" xfId="34">
      <alignment horizontal="right"/>
    </xf>
    <xf numFmtId="0" fontId="85" fillId="36" borderId="16" applyAlignment="1" pivotButton="0" quotePrefix="0" xfId="0">
      <alignment horizontal="right"/>
    </xf>
    <xf numFmtId="0" fontId="86" fillId="0" borderId="40" applyAlignment="1" pivotButton="0" quotePrefix="0" xfId="0">
      <alignment horizontal="right" vertical="center" wrapText="1"/>
    </xf>
    <xf numFmtId="0" fontId="86" fillId="0" borderId="42" applyAlignment="1" pivotButton="0" quotePrefix="0" xfId="0">
      <alignment horizontal="right" vertical="center" wrapText="1"/>
    </xf>
    <xf numFmtId="0" fontId="88" fillId="0" borderId="42" applyAlignment="1" pivotButton="0" quotePrefix="0" xfId="0">
      <alignment horizontal="right" vertical="center" wrapText="1"/>
    </xf>
    <xf numFmtId="0" fontId="87" fillId="0" borderId="42" applyAlignment="1" pivotButton="0" quotePrefix="0" xfId="0">
      <alignment horizontal="right" vertical="center" wrapText="1"/>
    </xf>
    <xf numFmtId="0" fontId="87" fillId="0" borderId="44" applyAlignment="1" pivotButton="0" quotePrefix="0" xfId="0">
      <alignment horizontal="right" vertical="center" wrapText="1"/>
    </xf>
    <xf numFmtId="0" fontId="0" fillId="0" borderId="0" pivotButton="0" quotePrefix="0" xfId="0"/>
    <xf numFmtId="0" fontId="0" fillId="36" borderId="17" pivotButton="0" quotePrefix="0" xfId="0"/>
    <xf numFmtId="0" fontId="47" fillId="36" borderId="21" pivotButton="0" quotePrefix="0" xfId="0"/>
    <xf numFmtId="0" fontId="47" fillId="0" borderId="0" pivotButton="0" quotePrefix="0" xfId="0"/>
    <xf numFmtId="170" fontId="0" fillId="0" borderId="0" pivotButton="0" quotePrefix="0" xfId="55"/>
    <xf numFmtId="164" fontId="20" fillId="0" borderId="0" pivotButton="0" quotePrefix="0" xfId="55"/>
    <xf numFmtId="0" fontId="49" fillId="0" borderId="0" pivotButton="0" quotePrefix="0" xfId="0"/>
    <xf numFmtId="0" fontId="54" fillId="0" borderId="0" pivotButton="0" quotePrefix="0" xfId="0"/>
    <xf numFmtId="0" fontId="46" fillId="0" borderId="0" pivotButton="0" quotePrefix="0" xfId="0"/>
    <xf numFmtId="170" fontId="41" fillId="0" borderId="0" pivotButton="0" quotePrefix="0" xfId="55"/>
    <xf numFmtId="0" fontId="41" fillId="0" borderId="0" pivotButton="0" quotePrefix="0" xfId="0"/>
    <xf numFmtId="164" fontId="19" fillId="0" borderId="0" pivotButton="0" quotePrefix="0" xfId="55"/>
    <xf numFmtId="164" fontId="19" fillId="0" borderId="0" pivotButton="0" quotePrefix="0" xfId="55"/>
    <xf numFmtId="164" fontId="70" fillId="0" borderId="0" pivotButton="0" quotePrefix="0" xfId="55"/>
    <xf numFmtId="0" fontId="86" fillId="36" borderId="17" pivotButton="0" quotePrefix="0" xfId="0"/>
    <xf numFmtId="0" fontId="16" fillId="0" borderId="19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164" fontId="75" fillId="0" borderId="0" pivotButton="0" quotePrefix="0" xfId="55"/>
    <xf numFmtId="164" fontId="76" fillId="0" borderId="0" pivotButton="0" quotePrefix="0" xfId="55"/>
    <xf numFmtId="164" fontId="76" fillId="0" borderId="0" applyAlignment="1" pivotButton="0" quotePrefix="0" xfId="55">
      <alignment horizontal="left"/>
    </xf>
    <xf numFmtId="164" fontId="77" fillId="0" borderId="0" pivotButton="0" quotePrefix="0" xfId="55"/>
    <xf numFmtId="164" fontId="78" fillId="0" borderId="0" applyAlignment="1" pivotButton="0" quotePrefix="0" xfId="55">
      <alignment horizontal="center"/>
    </xf>
    <xf numFmtId="164" fontId="79" fillId="35" borderId="0" pivotButton="0" quotePrefix="0" xfId="55"/>
    <xf numFmtId="166" fontId="79" fillId="35" borderId="0" applyAlignment="1" pivotButton="0" quotePrefix="0" xfId="55">
      <alignment horizontal="right"/>
    </xf>
    <xf numFmtId="166" fontId="75" fillId="0" borderId="0" pivotButton="0" quotePrefix="0" xfId="55"/>
    <xf numFmtId="166" fontId="76" fillId="0" borderId="0" pivotButton="0" quotePrefix="0" xfId="55"/>
    <xf numFmtId="164" fontId="76" fillId="0" borderId="0" applyAlignment="1" pivotButton="0" quotePrefix="0" xfId="55">
      <alignment horizontal="center"/>
    </xf>
    <xf numFmtId="164" fontId="75" fillId="0" borderId="0" applyAlignment="1" pivotButton="0" quotePrefix="0" xfId="55">
      <alignment horizontal="left"/>
    </xf>
    <xf numFmtId="165" fontId="75" fillId="0" borderId="0" pivotButton="0" quotePrefix="0" xfId="55"/>
    <xf numFmtId="164" fontId="76" fillId="0" borderId="0" applyAlignment="1" pivotButton="0" quotePrefix="0" xfId="55">
      <alignment horizontal="left" indent="1"/>
    </xf>
    <xf numFmtId="164" fontId="1" fillId="0" borderId="0" pivotButton="0" quotePrefix="0" xfId="55"/>
    <xf numFmtId="165" fontId="76" fillId="0" borderId="0" pivotButton="0" quotePrefix="0" xfId="55"/>
    <xf numFmtId="164" fontId="80" fillId="0" borderId="0" pivotButton="0" quotePrefix="0" xfId="55"/>
    <xf numFmtId="164" fontId="1" fillId="0" borderId="0" applyAlignment="1" pivotButton="0" quotePrefix="0" xfId="55">
      <alignment horizontal="left" indent="1"/>
    </xf>
    <xf numFmtId="171" fontId="1" fillId="0" borderId="0" pivotButton="0" quotePrefix="0" xfId="0"/>
    <xf numFmtId="165" fontId="75" fillId="0" borderId="0" pivotButton="0" quotePrefix="0" xfId="0"/>
    <xf numFmtId="164" fontId="81" fillId="0" borderId="0" pivotButton="0" quotePrefix="0" xfId="55"/>
    <xf numFmtId="165" fontId="1" fillId="0" borderId="0" pivotButton="0" quotePrefix="0" xfId="0"/>
    <xf numFmtId="165" fontId="80" fillId="0" borderId="0" pivotButton="0" quotePrefix="0" xfId="55"/>
    <xf numFmtId="164" fontId="75" fillId="0" borderId="14" pivotButton="0" quotePrefix="0" xfId="55"/>
    <xf numFmtId="171" fontId="75" fillId="0" borderId="14" pivotButton="0" quotePrefix="0" xfId="55"/>
    <xf numFmtId="165" fontId="75" fillId="0" borderId="14" pivotButton="0" quotePrefix="0" xfId="55"/>
    <xf numFmtId="165" fontId="82" fillId="0" borderId="0" pivotButton="0" quotePrefix="0" xfId="0"/>
    <xf numFmtId="166" fontId="75" fillId="0" borderId="0" applyAlignment="1" pivotButton="0" quotePrefix="0" xfId="55">
      <alignment horizontal="center"/>
    </xf>
    <xf numFmtId="167" fontId="76" fillId="0" borderId="0" pivotButton="0" quotePrefix="0" xfId="55"/>
    <xf numFmtId="167" fontId="1" fillId="0" borderId="0" pivotButton="0" quotePrefix="0" xfId="0"/>
    <xf numFmtId="173" fontId="76" fillId="0" borderId="0" pivotButton="0" quotePrefix="0" xfId="55"/>
    <xf numFmtId="173" fontId="1" fillId="0" borderId="0" pivotButton="0" quotePrefix="0" xfId="56"/>
    <xf numFmtId="173" fontId="76" fillId="0" borderId="0" pivotButton="0" quotePrefix="0" xfId="56"/>
    <xf numFmtId="173" fontId="1" fillId="0" borderId="0" pivotButton="0" quotePrefix="0" xfId="0"/>
    <xf numFmtId="167" fontId="75" fillId="0" borderId="0" pivotButton="0" quotePrefix="0" xfId="55"/>
    <xf numFmtId="170" fontId="76" fillId="0" borderId="0" pivotButton="0" quotePrefix="0" xfId="55"/>
    <xf numFmtId="168" fontId="76" fillId="0" borderId="0" pivotButton="0" quotePrefix="0" xfId="55"/>
    <xf numFmtId="169" fontId="76" fillId="0" borderId="0" pivotButton="0" quotePrefix="0" xfId="55"/>
    <xf numFmtId="167" fontId="83" fillId="0" borderId="0" pivotButton="0" quotePrefix="0" xfId="0"/>
    <xf numFmtId="164" fontId="1" fillId="0" borderId="0" pivotButton="0" quotePrefix="1" xfId="55"/>
    <xf numFmtId="164" fontId="84" fillId="0" borderId="0" pivotButton="0" quotePrefix="0" xfId="55"/>
    <xf numFmtId="164" fontId="78" fillId="0" borderId="0" pivotButton="0" quotePrefix="0" xfId="55"/>
    <xf numFmtId="174" fontId="76" fillId="0" borderId="0" pivotButton="0" quotePrefix="0" xfId="55"/>
    <xf numFmtId="169" fontId="76" fillId="0" borderId="0" applyAlignment="1" pivotButton="0" quotePrefix="0" xfId="55">
      <alignment horizontal="right"/>
    </xf>
    <xf numFmtId="170" fontId="1" fillId="0" borderId="0" pivotButton="0" quotePrefix="0" xfId="55"/>
    <xf numFmtId="164" fontId="23" fillId="0" borderId="0" pivotButton="0" quotePrefix="0" xfId="55"/>
    <xf numFmtId="166" fontId="33" fillId="35" borderId="0" applyAlignment="1" pivotButton="0" quotePrefix="0" xfId="55">
      <alignment horizontal="right"/>
    </xf>
    <xf numFmtId="165" fontId="0" fillId="0" borderId="0" pivotButton="0" quotePrefix="0" xfId="0"/>
    <xf numFmtId="164" fontId="32" fillId="0" borderId="0" applyAlignment="1" pivotButton="0" quotePrefix="0" xfId="55">
      <alignment horizontal="center"/>
    </xf>
    <xf numFmtId="165" fontId="11" fillId="6" borderId="4" pivotButton="0" quotePrefix="0" xfId="9"/>
    <xf numFmtId="170" fontId="9" fillId="5" borderId="4" applyAlignment="1" pivotButton="0" quotePrefix="0" xfId="7">
      <alignment horizontal="center"/>
    </xf>
    <xf numFmtId="172" fontId="0" fillId="0" borderId="0" pivotButton="0" quotePrefix="0" xfId="0"/>
    <xf numFmtId="164" fontId="19" fillId="0" borderId="0" pivotButton="0" quotePrefix="0" xfId="55"/>
    <xf numFmtId="164" fontId="30" fillId="0" borderId="0" pivotButton="0" quotePrefix="0" xfId="55"/>
    <xf numFmtId="164" fontId="31" fillId="0" borderId="0" pivotButton="0" quotePrefix="0" xfId="55"/>
    <xf numFmtId="164" fontId="33" fillId="35" borderId="0" pivotButton="0" quotePrefix="0" xfId="55"/>
    <xf numFmtId="166" fontId="23" fillId="0" borderId="0" pivotButton="0" quotePrefix="0" xfId="55"/>
    <xf numFmtId="166" fontId="19" fillId="0" borderId="0" pivotButton="0" quotePrefix="0" xfId="55"/>
    <xf numFmtId="164" fontId="19" fillId="0" borderId="0" applyAlignment="1" pivotButton="0" quotePrefix="0" xfId="55">
      <alignment horizontal="center"/>
    </xf>
    <xf numFmtId="164" fontId="23" fillId="0" borderId="0" applyAlignment="1" pivotButton="0" quotePrefix="0" xfId="55">
      <alignment horizontal="left" indent="1"/>
    </xf>
    <xf numFmtId="165" fontId="23" fillId="0" borderId="0" pivotButton="0" quotePrefix="0" xfId="55"/>
    <xf numFmtId="164" fontId="19" fillId="0" borderId="0" applyAlignment="1" pivotButton="0" quotePrefix="0" xfId="55">
      <alignment horizontal="left" indent="1"/>
    </xf>
    <xf numFmtId="164" fontId="55" fillId="0" borderId="0" pivotButton="0" quotePrefix="0" xfId="55"/>
    <xf numFmtId="165" fontId="61" fillId="0" borderId="0" pivotButton="0" quotePrefix="0" xfId="55"/>
    <xf numFmtId="164" fontId="20" fillId="0" borderId="0" pivotButton="0" quotePrefix="0" xfId="55"/>
    <xf numFmtId="165" fontId="19" fillId="0" borderId="0" pivotButton="0" quotePrefix="0" xfId="55"/>
    <xf numFmtId="164" fontId="0" fillId="0" borderId="0" pivotButton="0" quotePrefix="0" xfId="55"/>
    <xf numFmtId="171" fontId="0" fillId="0" borderId="0" pivotButton="0" quotePrefix="0" xfId="0"/>
    <xf numFmtId="165" fontId="20" fillId="0" borderId="0" pivotButton="0" quotePrefix="0" xfId="0"/>
    <xf numFmtId="164" fontId="23" fillId="0" borderId="14" pivotButton="0" quotePrefix="0" xfId="55"/>
    <xf numFmtId="165" fontId="23" fillId="0" borderId="14" pivotButton="0" quotePrefix="0" xfId="55"/>
    <xf numFmtId="165" fontId="25" fillId="0" borderId="0" pivotButton="0" quotePrefix="0" xfId="0"/>
    <xf numFmtId="171" fontId="23" fillId="0" borderId="14" pivotButton="0" quotePrefix="0" xfId="55"/>
    <xf numFmtId="164" fontId="25" fillId="0" borderId="0" pivotButton="0" quotePrefix="0" xfId="55"/>
    <xf numFmtId="165" fontId="20" fillId="0" borderId="0" pivotButton="0" quotePrefix="0" xfId="55"/>
    <xf numFmtId="167" fontId="0" fillId="0" borderId="0" pivotButton="0" quotePrefix="0" xfId="0"/>
    <xf numFmtId="166" fontId="23" fillId="0" borderId="0" applyAlignment="1" pivotButton="0" quotePrefix="0" xfId="55">
      <alignment horizontal="center"/>
    </xf>
    <xf numFmtId="167" fontId="19" fillId="0" borderId="0" pivotButton="0" quotePrefix="0" xfId="55"/>
    <xf numFmtId="167" fontId="23" fillId="0" borderId="0" pivotButton="0" quotePrefix="0" xfId="55"/>
    <xf numFmtId="168" fontId="19" fillId="0" borderId="0" pivotButton="0" quotePrefix="0" xfId="55"/>
    <xf numFmtId="167" fontId="65" fillId="0" borderId="0" pivotButton="0" quotePrefix="0" xfId="0"/>
    <xf numFmtId="169" fontId="19" fillId="0" borderId="0" pivotButton="0" quotePrefix="0" xfId="55"/>
    <xf numFmtId="169" fontId="10" fillId="6" borderId="5" pivotButton="0" quotePrefix="0" xfId="8"/>
    <xf numFmtId="164" fontId="34" fillId="0" borderId="0" pivotButton="0" quotePrefix="0" xfId="55"/>
    <xf numFmtId="164" fontId="22" fillId="0" borderId="0" pivotButton="0" quotePrefix="0" xfId="55"/>
    <xf numFmtId="164" fontId="0" fillId="0" borderId="0" pivotButton="0" quotePrefix="1" xfId="55"/>
    <xf numFmtId="164" fontId="35" fillId="0" borderId="0" pivotButton="0" quotePrefix="0" xfId="55"/>
    <xf numFmtId="164" fontId="14" fillId="0" borderId="0" pivotButton="0" quotePrefix="0" xfId="55"/>
    <xf numFmtId="165" fontId="10" fillId="6" borderId="5" pivotButton="0" quotePrefix="0" xfId="8"/>
    <xf numFmtId="170" fontId="0" fillId="0" borderId="0" pivotButton="0" quotePrefix="0" xfId="55"/>
    <xf numFmtId="170" fontId="10" fillId="6" borderId="5" pivotButton="0" quotePrefix="0" xfId="8"/>
    <xf numFmtId="172" fontId="1" fillId="0" borderId="0" pivotButton="0" quotePrefix="0" xfId="0"/>
    <xf numFmtId="165" fontId="80" fillId="0" borderId="0" pivotButton="0" quotePrefix="0" xfId="0"/>
    <xf numFmtId="0" fontId="0" fillId="0" borderId="13" pivotButton="0" quotePrefix="0" xfId="0"/>
    <xf numFmtId="166" fontId="33" fillId="35" borderId="25" applyAlignment="1" pivotButton="0" quotePrefix="0" xfId="55">
      <alignment horizontal="right"/>
    </xf>
    <xf numFmtId="164" fontId="19" fillId="0" borderId="25" pivotButton="0" quotePrefix="0" xfId="55"/>
    <xf numFmtId="170" fontId="2" fillId="16" borderId="25" applyAlignment="1" pivotButton="0" quotePrefix="0" xfId="57">
      <alignment horizontal="right"/>
    </xf>
    <xf numFmtId="170" fontId="70" fillId="0" borderId="25" applyAlignment="1" pivotButton="0" quotePrefix="0" xfId="38">
      <alignment horizontal="right"/>
    </xf>
    <xf numFmtId="170" fontId="19" fillId="0" borderId="27" applyAlignment="1" pivotButton="0" quotePrefix="0" xfId="38">
      <alignment horizontal="center"/>
    </xf>
    <xf numFmtId="170" fontId="3" fillId="16" borderId="28" applyAlignment="1" pivotButton="0" quotePrefix="0" xfId="55">
      <alignment horizontal="right"/>
    </xf>
    <xf numFmtId="170" fontId="19" fillId="0" borderId="29" applyAlignment="1" pivotButton="0" quotePrefix="0" xfId="38">
      <alignment horizontal="center"/>
    </xf>
    <xf numFmtId="164" fontId="19" fillId="0" borderId="30" pivotButton="0" quotePrefix="0" xfId="55"/>
    <xf numFmtId="170" fontId="19" fillId="0" borderId="0" applyAlignment="1" pivotButton="0" quotePrefix="0" xfId="38">
      <alignment horizontal="center"/>
    </xf>
    <xf numFmtId="170" fontId="3" fillId="16" borderId="31" applyAlignment="1" pivotButton="0" quotePrefix="0" xfId="55">
      <alignment horizontal="right"/>
    </xf>
    <xf numFmtId="170" fontId="19" fillId="0" borderId="10" applyAlignment="1" pivotButton="0" quotePrefix="0" xfId="38">
      <alignment horizontal="center"/>
    </xf>
    <xf numFmtId="167" fontId="2" fillId="16" borderId="25" applyAlignment="1" pivotButton="0" quotePrefix="0" xfId="57">
      <alignment horizontal="right"/>
    </xf>
    <xf numFmtId="170" fontId="0" fillId="0" borderId="0" pivotButton="0" quotePrefix="0" xfId="0"/>
    <xf numFmtId="170" fontId="0" fillId="0" borderId="10" pivotButton="0" quotePrefix="0" xfId="0"/>
    <xf numFmtId="170" fontId="0" fillId="0" borderId="33" pivotButton="0" quotePrefix="0" xfId="0"/>
    <xf numFmtId="170" fontId="0" fillId="0" borderId="35" pivotButton="0" quotePrefix="0" xfId="0"/>
    <xf numFmtId="170" fontId="3" fillId="16" borderId="36" pivotButton="0" quotePrefix="0" xfId="55"/>
    <xf numFmtId="170" fontId="3" fillId="16" borderId="28" pivotButton="0" quotePrefix="0" xfId="55"/>
    <xf numFmtId="170" fontId="3" fillId="0" borderId="28" applyAlignment="1" pivotButton="0" quotePrefix="0" xfId="55">
      <alignment horizontal="right"/>
    </xf>
    <xf numFmtId="170" fontId="3" fillId="0" borderId="37" applyAlignment="1" pivotButton="0" quotePrefix="0" xfId="55">
      <alignment horizontal="right"/>
    </xf>
    <xf numFmtId="170" fontId="3" fillId="16" borderId="38" pivotButton="0" quotePrefix="0" xfId="55"/>
    <xf numFmtId="170" fontId="3" fillId="16" borderId="25" pivotButton="0" quotePrefix="0" xfId="55"/>
    <xf numFmtId="170" fontId="3" fillId="16" borderId="25" applyAlignment="1" pivotButton="0" quotePrefix="0" xfId="55">
      <alignment horizontal="right"/>
    </xf>
    <xf numFmtId="170" fontId="3" fillId="0" borderId="25" applyAlignment="1" pivotButton="0" quotePrefix="0" xfId="55">
      <alignment horizontal="right"/>
    </xf>
    <xf numFmtId="170" fontId="3" fillId="0" borderId="39" applyAlignment="1" pivotButton="0" quotePrefix="0" xfId="55">
      <alignment horizontal="right"/>
    </xf>
    <xf numFmtId="170" fontId="0" fillId="39" borderId="0" pivotButton="0" quotePrefix="0" xfId="0"/>
    <xf numFmtId="170" fontId="37" fillId="0" borderId="0" pivotButton="0" quotePrefix="0" xfId="55"/>
    <xf numFmtId="170" fontId="37" fillId="0" borderId="0" pivotButton="0" quotePrefix="0" xfId="0"/>
    <xf numFmtId="170" fontId="39" fillId="0" borderId="0" pivotButton="0" quotePrefix="0" xfId="0"/>
    <xf numFmtId="170" fontId="37" fillId="38" borderId="0" pivotButton="0" quotePrefix="0" xfId="55"/>
    <xf numFmtId="170" fontId="39" fillId="0" borderId="0" pivotButton="0" quotePrefix="0" xfId="55"/>
    <xf numFmtId="170" fontId="41" fillId="0" borderId="0" pivotButton="0" quotePrefix="0" xfId="0"/>
    <xf numFmtId="164" fontId="72" fillId="0" borderId="0" pivotButton="0" quotePrefix="0" xfId="55"/>
    <xf numFmtId="170" fontId="41" fillId="0" borderId="0" pivotButton="0" quotePrefix="0" xfId="55"/>
    <xf numFmtId="164" fontId="48" fillId="0" borderId="0" pivotButton="0" quotePrefix="0" xfId="55"/>
    <xf numFmtId="164" fontId="47" fillId="0" borderId="0" pivotButton="0" quotePrefix="0" xfId="55"/>
    <xf numFmtId="164" fontId="73" fillId="0" borderId="0" pivotButton="0" quotePrefix="0" xfId="55"/>
    <xf numFmtId="164" fontId="50" fillId="0" borderId="0" pivotButton="0" quotePrefix="0" xfId="0"/>
    <xf numFmtId="164" fontId="46" fillId="0" borderId="0" pivotButton="0" quotePrefix="0" xfId="55"/>
    <xf numFmtId="170" fontId="16" fillId="0" borderId="0" pivotButton="0" quotePrefix="0" xfId="55"/>
    <xf numFmtId="170" fontId="16" fillId="0" borderId="0" pivotButton="0" quotePrefix="0" xfId="0"/>
    <xf numFmtId="170" fontId="57" fillId="0" borderId="0" pivotButton="0" quotePrefix="0" xfId="55"/>
    <xf numFmtId="164" fontId="72" fillId="0" borderId="0" applyAlignment="1" pivotButton="0" quotePrefix="0" xfId="55">
      <alignment horizontal="left"/>
    </xf>
    <xf numFmtId="164" fontId="73" fillId="0" borderId="0" applyAlignment="1" pivotButton="0" quotePrefix="0" xfId="55">
      <alignment horizontal="left"/>
    </xf>
    <xf numFmtId="164" fontId="70" fillId="0" borderId="0" pivotButton="0" quotePrefix="0" xfId="55"/>
  </cellXfs>
  <cellStyles count="59">
    <cellStyle name="Normal" xfId="0" builtinId="0"/>
    <cellStyle name="Heading 1" xfId="1" builtinId="16"/>
    <cellStyle name="Heading 2" xfId="2" builtinId="17"/>
    <cellStyle name="Heading 3" xfId="3" builtinId="18"/>
    <cellStyle name="Heading 4" xfId="4" builtinId="19"/>
    <cellStyle name="Good" xfId="5" builtinId="26"/>
    <cellStyle name="Bad" xfId="6" builtinId="27"/>
    <cellStyle name="Input" xfId="7" builtinId="20"/>
    <cellStyle name="Output" xfId="8" builtinId="21"/>
    <cellStyle name="Calculation" xfId="9" builtinId="22"/>
    <cellStyle name="Linked Cell" xfId="10" builtinId="24"/>
    <cellStyle name="Check Cell" xfId="11" builtinId="23"/>
    <cellStyle name="Warning Text" xfId="12" builtinId="11"/>
    <cellStyle name="Note" xfId="13" builtinId="10"/>
    <cellStyle name="Explanatory Text" xfId="14" builtinId="53"/>
    <cellStyle name="Total" xfId="15" builtinId="25"/>
    <cellStyle name="Accent1" xfId="16" builtinId="29"/>
    <cellStyle name="20% - Accent1" xfId="17" builtinId="30"/>
    <cellStyle name="40% - Accent1" xfId="18" builtinId="31"/>
    <cellStyle name="Accent2" xfId="19" builtinId="33"/>
    <cellStyle name="20% - Accent2" xfId="20" builtinId="34"/>
    <cellStyle name="40% - Accent2" xfId="21" builtinId="35"/>
    <cellStyle name="Accent3" xfId="22" builtinId="37"/>
    <cellStyle name="20% - Accent3" xfId="23" builtinId="38"/>
    <cellStyle name="40% - Accent3" xfId="24" builtinId="39"/>
    <cellStyle name="Accent4" xfId="25" builtinId="41"/>
    <cellStyle name="20% - Accent4" xfId="26" builtinId="42"/>
    <cellStyle name="40% - Accent4" xfId="27" builtinId="43"/>
    <cellStyle name="Accent5" xfId="28" builtinId="45"/>
    <cellStyle name="20% - Accent5" xfId="29" builtinId="46"/>
    <cellStyle name="40% - Accent5" xfId="30" builtinId="47"/>
    <cellStyle name="Accent6" xfId="31" builtinId="49"/>
    <cellStyle name="20% - Accent6" xfId="32" builtinId="50"/>
    <cellStyle name="40% - Accent6" xfId="33" builtinId="51"/>
    <cellStyle name="Normal 2" xfId="34"/>
    <cellStyle name="Normal_FS 31 Dec 2006" xfId="35"/>
    <cellStyle name="Single Cell Column Heading" xfId="36"/>
    <cellStyle name="Text Level 2" xfId="37"/>
    <cellStyle name="Comma 2" xfId="38"/>
    <cellStyle name="Normal 173" xfId="39"/>
    <cellStyle name="Normal 118" xfId="40"/>
    <cellStyle name="Comma 10" xfId="41"/>
    <cellStyle name="Title 2" xfId="42"/>
    <cellStyle name="Neutral 2" xfId="43"/>
    <cellStyle name="60% - Accent1 2" xfId="44"/>
    <cellStyle name="60% - Accent2 2" xfId="45"/>
    <cellStyle name="60% - Accent3 2" xfId="46"/>
    <cellStyle name="60% - Accent4 2" xfId="47"/>
    <cellStyle name="60% - Accent5 2" xfId="48"/>
    <cellStyle name="60% - Accent6 2" xfId="49"/>
    <cellStyle name="Normal 3" xfId="50"/>
    <cellStyle name="Normal 4" xfId="51"/>
    <cellStyle name="Normal 5" xfId="52"/>
    <cellStyle name="Normal 6" xfId="53"/>
    <cellStyle name="Normal 7" xfId="54"/>
    <cellStyle name="Comma" xfId="55" builtinId="3"/>
    <cellStyle name="Percent" xfId="56" builtinId="5"/>
    <cellStyle name="60% - Accent2" xfId="57" builtinId="36"/>
    <cellStyle name="Normal - Style1 10" xfId="5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omments/comment1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</text>
    </comment>
    <comment ref="A59" authorId="1" shapeId="0">
      <text>
        <t>Cuong Tran Chi:
only for SBT</t>
      </text>
    </comment>
  </commentList>
</comments>
</file>

<file path=xl/comments/comment2.xml><?xml version="1.0" encoding="utf-8"?>
<comments xmlns="http://schemas.openxmlformats.org/spreadsheetml/2006/main">
  <authors>
    <author>Cuong Tran</author>
  </authors>
  <commentList>
    <comment ref="G5" authorId="0" shapeId="0">
      <text>
        <t>Cuong Tran:
trung bình số ngày phải thu</t>
      </text>
    </comment>
    <comment ref="G6" authorId="0" shapeId="0">
      <text>
        <t>Cuong Tran:
số ngày cuối kỳ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92"/>
  <sheetViews>
    <sheetView tabSelected="1" zoomScale="83" zoomScaleNormal="83" workbookViewId="0">
      <selection activeCell="H5" sqref="H5:J5"/>
    </sheetView>
  </sheetViews>
  <sheetFormatPr baseColWidth="8" defaultColWidth="8.6640625" defaultRowHeight="13.2" outlineLevelCol="0"/>
  <cols>
    <col width="32.109375" customWidth="1" style="237" min="1" max="1"/>
    <col width="15.44140625" customWidth="1" style="237" min="2" max="2"/>
    <col width="11" customWidth="1" style="237" min="3" max="3"/>
    <col width="10.44140625" customWidth="1" style="237" min="4" max="5"/>
    <col width="12.33203125" customWidth="1" style="237" min="6" max="6"/>
    <col width="12.5546875" customWidth="1" style="237" min="7" max="9"/>
    <col width="12.33203125" customWidth="1" style="237" min="10" max="10"/>
    <col width="10.109375" customWidth="1" style="237" min="11" max="11"/>
    <col width="39" bestFit="1" customWidth="1" style="237" min="12" max="12"/>
    <col width="8.6640625" customWidth="1" style="237" min="13" max="13"/>
    <col width="11" bestFit="1" customWidth="1" style="237" min="14" max="14"/>
    <col width="12.5546875" bestFit="1" customWidth="1" style="237" min="15" max="16"/>
    <col width="12" bestFit="1" customWidth="1" style="237" min="17" max="18"/>
    <col width="11" bestFit="1" customWidth="1" style="237" min="19" max="20"/>
    <col width="12.5546875" bestFit="1" customWidth="1" style="237" min="21" max="21"/>
    <col width="8.6640625" customWidth="1" style="237" min="22" max="16384"/>
  </cols>
  <sheetData>
    <row r="1">
      <c r="A1" s="354" t="inlineStr">
        <is>
          <t>Company</t>
        </is>
      </c>
      <c r="B1" s="354" t="inlineStr">
        <is>
          <t>ITA</t>
        </is>
      </c>
    </row>
    <row r="2">
      <c r="A2" s="355" t="inlineStr">
        <is>
          <t>Analyst</t>
        </is>
      </c>
      <c r="B2" s="356" t="n"/>
      <c r="C2" s="354" t="n"/>
      <c r="D2" s="357" t="n"/>
      <c r="E2" s="357" t="n"/>
      <c r="F2" s="357" t="n"/>
      <c r="G2" s="358" t="n"/>
      <c r="H2" s="358" t="n"/>
      <c r="I2" s="358" t="n"/>
      <c r="J2" s="358" t="n"/>
      <c r="K2" s="242" t="n"/>
    </row>
    <row r="3">
      <c r="A3" s="355" t="inlineStr">
        <is>
          <t>Day</t>
        </is>
      </c>
      <c r="B3" s="243" t="n"/>
      <c r="C3" s="354" t="n"/>
      <c r="D3" s="357" t="n"/>
      <c r="E3" s="357" t="n"/>
      <c r="F3" s="357" t="n"/>
      <c r="G3" s="358" t="n"/>
      <c r="H3" s="358" t="n"/>
      <c r="I3" s="358" t="n"/>
      <c r="J3" s="358" t="n"/>
      <c r="K3" s="242" t="n"/>
    </row>
    <row r="4">
      <c r="A4" s="355" t="n"/>
      <c r="B4" s="243" t="n"/>
      <c r="C4" s="354" t="n"/>
      <c r="D4" s="357" t="n"/>
      <c r="E4" s="357" t="n"/>
      <c r="F4" s="357" t="n"/>
      <c r="G4" s="358" t="n"/>
      <c r="H4" s="358" t="n"/>
      <c r="I4" s="358" t="n"/>
      <c r="J4" s="358" t="n"/>
      <c r="K4" s="242" t="n"/>
    </row>
    <row r="5">
      <c r="A5" s="359" t="inlineStr">
        <is>
          <t>PROFIT/LOSS</t>
        </is>
      </c>
      <c r="B5" s="359" t="inlineStr">
        <is>
          <t>YE  31 Dec</t>
        </is>
      </c>
      <c r="C5" s="360">
        <f>+BS.data!E2</f>
        <v/>
      </c>
      <c r="D5" s="360">
        <f>+BS.data!F2</f>
        <v/>
      </c>
      <c r="E5" s="360">
        <f>+BS.data!G2</f>
        <v/>
      </c>
      <c r="F5" s="360">
        <f>+BS.data!H2</f>
        <v/>
      </c>
      <c r="G5" s="360">
        <f>+BS.data!I2</f>
        <v/>
      </c>
      <c r="H5" s="360">
        <f>+BS.data!J2</f>
        <v/>
      </c>
      <c r="I5" s="360">
        <f>+BS.data!K2</f>
        <v/>
      </c>
      <c r="J5" s="360">
        <f>+BS.data!L2</f>
        <v/>
      </c>
      <c r="L5" s="359" t="inlineStr">
        <is>
          <t xml:space="preserve">CASH FLOW </t>
        </is>
      </c>
      <c r="M5" s="359" t="n"/>
      <c r="N5" s="360" t="n">
        <v>2015</v>
      </c>
      <c r="O5" s="360" t="n">
        <v>2016</v>
      </c>
      <c r="P5" s="360" t="n">
        <v>2017</v>
      </c>
      <c r="Q5" s="360" t="n">
        <v>2018</v>
      </c>
      <c r="R5" s="360" t="n">
        <v>2019</v>
      </c>
      <c r="S5" s="360" t="n">
        <v>2020</v>
      </c>
      <c r="T5" s="360" t="n">
        <v>2021</v>
      </c>
      <c r="U5" s="360" t="n">
        <v>2022</v>
      </c>
    </row>
    <row r="6">
      <c r="A6" s="361" t="inlineStr">
        <is>
          <t>VND Millions</t>
        </is>
      </c>
      <c r="B6" s="361" t="n"/>
      <c r="C6" s="362" t="n"/>
      <c r="D6" s="362" t="n"/>
      <c r="E6" s="362" t="n"/>
      <c r="F6" s="362" t="n"/>
      <c r="G6" s="363" t="n"/>
      <c r="H6" s="363" t="n"/>
      <c r="I6" s="363" t="n"/>
      <c r="J6" s="363" t="n"/>
      <c r="L6" s="364" t="inlineStr">
        <is>
          <t>EBITDA</t>
        </is>
      </c>
      <c r="M6" s="354" t="n"/>
      <c r="N6" s="365">
        <f>C25</f>
        <v/>
      </c>
      <c r="O6" s="365">
        <f>D25</f>
        <v/>
      </c>
      <c r="P6" s="365">
        <f>E25</f>
        <v/>
      </c>
      <c r="Q6" s="365">
        <f>F25</f>
        <v/>
      </c>
      <c r="R6" s="365">
        <f>G25</f>
        <v/>
      </c>
      <c r="S6" s="365">
        <f>H25</f>
        <v/>
      </c>
      <c r="T6" s="365">
        <f>I25</f>
        <v/>
      </c>
      <c r="U6" s="365">
        <f>J25</f>
        <v/>
      </c>
    </row>
    <row r="7" customFormat="1" s="253">
      <c r="A7" s="355" t="inlineStr">
        <is>
          <t>Sales</t>
        </is>
      </c>
      <c r="B7" s="355" t="n"/>
      <c r="C7" s="252">
        <f>SUMIF(PL.data!$D$3:$D$25, FSA!$A7, PL.data!E$3:E$25)</f>
        <v/>
      </c>
      <c r="D7" s="252">
        <f>SUMIF(PL.data!$D$3:$D$25, FSA!$A7, PL.data!F$3:F$25)</f>
        <v/>
      </c>
      <c r="E7" s="252">
        <f>SUMIF(PL.data!$D$3:$D$25, FSA!$A7, PL.data!G$3:G$25)</f>
        <v/>
      </c>
      <c r="F7" s="252">
        <f>SUMIF(PL.data!$D$3:$D$25, FSA!$A7, PL.data!H$3:H$25)</f>
        <v/>
      </c>
      <c r="G7" s="252">
        <f>SUMIF(PL.data!$D$3:$D$25, FSA!$A7, PL.data!I$3:I$25)</f>
        <v/>
      </c>
      <c r="H7" s="252">
        <f>SUMIF(PL.data!$D$3:$D$25, FSA!$A7, PL.data!J$3:J$25)</f>
        <v/>
      </c>
      <c r="I7" s="252">
        <f>SUMIF(PL.data!$D$3:$D$25, FSA!$A7, PL.data!K$3:K$25)</f>
        <v/>
      </c>
      <c r="J7" s="252">
        <f>SUMIF(PL.data!$D$3:$D$25, FSA!$A7, PL.data!L$3:L$25)</f>
        <v/>
      </c>
      <c r="L7" s="366" t="inlineStr">
        <is>
          <t>Other Non-Cash charges</t>
        </is>
      </c>
      <c r="M7" s="367" t="n"/>
      <c r="N7" s="368">
        <f>C23</f>
        <v/>
      </c>
      <c r="O7" s="368">
        <f>D23</f>
        <v/>
      </c>
      <c r="P7" s="368">
        <f>E23</f>
        <v/>
      </c>
      <c r="Q7" s="368">
        <f>F23</f>
        <v/>
      </c>
      <c r="R7" s="368">
        <f>G23</f>
        <v/>
      </c>
      <c r="S7" s="368">
        <f>H23</f>
        <v/>
      </c>
      <c r="T7" s="368">
        <f>I23</f>
        <v/>
      </c>
      <c r="U7" s="368">
        <f>J23</f>
        <v/>
      </c>
    </row>
    <row r="8">
      <c r="A8" s="355" t="inlineStr">
        <is>
          <t>Cost of Goods Sold</t>
        </is>
      </c>
      <c r="B8" s="369" t="n"/>
      <c r="C8" s="252">
        <f>SUMIF(PL.data!$D$3:$D$25, FSA!$A8, PL.data!E$3:E$25)</f>
        <v/>
      </c>
      <c r="D8" s="252">
        <f>SUMIF(PL.data!$D$3:$D$25, FSA!$A8, PL.data!F$3:F$25)</f>
        <v/>
      </c>
      <c r="E8" s="252">
        <f>SUMIF(PL.data!$D$3:$D$25, FSA!$A8, PL.data!G$3:G$25)</f>
        <v/>
      </c>
      <c r="F8" s="252">
        <f>SUMIF(PL.data!$D$3:$D$25, FSA!$A8, PL.data!H$3:H$25)</f>
        <v/>
      </c>
      <c r="G8" s="252">
        <f>SUMIF(PL.data!$D$3:$D$25, FSA!$A8, PL.data!I$3:I$25)</f>
        <v/>
      </c>
      <c r="H8" s="252">
        <f>SUMIF(PL.data!$D$3:$D$25, FSA!$A8, PL.data!J$3:J$25)</f>
        <v/>
      </c>
      <c r="I8" s="252">
        <f>SUMIF(PL.data!$D$3:$D$25, FSA!$A8, PL.data!K$3:K$25)</f>
        <v/>
      </c>
      <c r="J8" s="252">
        <f>SUMIF(PL.data!$D$3:$D$25, FSA!$A8, PL.data!L$3:L$25)</f>
        <v/>
      </c>
      <c r="L8" s="366" t="inlineStr">
        <is>
          <t>Total Interest Paid</t>
        </is>
      </c>
      <c r="M8" s="253" t="n"/>
      <c r="N8" s="368">
        <f>SUMIF(CF.data!$D$4:$D$43, $L8, CF.data!E$4:E$43)</f>
        <v/>
      </c>
      <c r="O8" s="368">
        <f>SUMIF(CF.data!$D$4:$D$43, $L8, CF.data!F$4:F$43)</f>
        <v/>
      </c>
      <c r="P8" s="368">
        <f>SUMIF(CF.data!$D$4:$D$43, $L8, CF.data!G$4:G$43)</f>
        <v/>
      </c>
      <c r="Q8" s="368">
        <f>SUMIF(CF.data!$D$4:$D$43, $L8, CF.data!H$4:H$43)</f>
        <v/>
      </c>
      <c r="R8" s="368">
        <f>SUMIF(CF.data!$D$4:$D$43, $L8, CF.data!I$4:I$43)</f>
        <v/>
      </c>
      <c r="S8" s="368">
        <f>SUMIF(CF.data!$D$4:$D$43, $L8, CF.data!J$4:J$43)</f>
        <v/>
      </c>
      <c r="T8" s="368">
        <f>SUMIF(CF.data!$D$4:$D$43, $L8, CF.data!K$4:K$43)</f>
        <v/>
      </c>
      <c r="U8" s="368">
        <f>SUMIF(CF.data!$D$4:$D$43, $L8, CF.data!L$4:L$43)</f>
        <v/>
      </c>
    </row>
    <row r="9" customFormat="1" s="253">
      <c r="A9" s="354" t="inlineStr">
        <is>
          <t>Gross Profit</t>
        </is>
      </c>
      <c r="B9" s="354" t="n"/>
      <c r="C9" s="365">
        <f>C7+C8</f>
        <v/>
      </c>
      <c r="D9" s="365">
        <f>D7+D8</f>
        <v/>
      </c>
      <c r="E9" s="365">
        <f>E7+E8</f>
        <v/>
      </c>
      <c r="F9" s="365">
        <f>F7+F8</f>
        <v/>
      </c>
      <c r="G9" s="365">
        <f>G7+G8</f>
        <v/>
      </c>
      <c r="H9" s="365">
        <f>H7+H8</f>
        <v/>
      </c>
      <c r="I9" s="365">
        <f>I7+I8</f>
        <v/>
      </c>
      <c r="J9" s="365">
        <f>J7+J8</f>
        <v/>
      </c>
      <c r="L9" s="370" t="inlineStr">
        <is>
          <t>Total Tax Paid</t>
        </is>
      </c>
      <c r="M9" s="237" t="n"/>
      <c r="N9" s="368">
        <f>SUMIF(CF.data!$D$4:$D$43, $L9, CF.data!E$4:E$43)</f>
        <v/>
      </c>
      <c r="O9" s="368">
        <f>SUMIF(CF.data!$D$4:$D$43, $L9, CF.data!F$4:F$43)</f>
        <v/>
      </c>
      <c r="P9" s="368">
        <f>SUMIF(CF.data!$D$4:$D$43, $L9, CF.data!G$4:G$43)</f>
        <v/>
      </c>
      <c r="Q9" s="368">
        <f>SUMIF(CF.data!$D$4:$D$43, $L9, CF.data!H$4:H$43)</f>
        <v/>
      </c>
      <c r="R9" s="368">
        <f>SUMIF(CF.data!$D$4:$D$43, $L9, CF.data!I$4:I$43)</f>
        <v/>
      </c>
      <c r="S9" s="368">
        <f>SUMIF(CF.data!$D$4:$D$43, $L9, CF.data!J$4:J$43)</f>
        <v/>
      </c>
      <c r="T9" s="368">
        <f>SUMIF(CF.data!$D$4:$D$43, $L9, CF.data!K$4:K$43)</f>
        <v/>
      </c>
      <c r="U9" s="368">
        <f>SUMIF(CF.data!$D$4:$D$43, $L9, CF.data!L$4:L$43)</f>
        <v/>
      </c>
    </row>
    <row r="10">
      <c r="A10" s="355" t="inlineStr">
        <is>
          <t>SG and A Expenses</t>
        </is>
      </c>
      <c r="B10" s="369" t="n"/>
      <c r="C10" s="252">
        <f>SUMIF(PL.data!$D$3:$D$25, FSA!$A10, PL.data!E$3:E$25)</f>
        <v/>
      </c>
      <c r="D10" s="252">
        <f>SUMIF(PL.data!$D$3:$D$25, FSA!$A10, PL.data!F$3:F$25)</f>
        <v/>
      </c>
      <c r="E10" s="252">
        <f>SUMIF(PL.data!$D$3:$D$25, FSA!$A10, PL.data!G$3:G$25)</f>
        <v/>
      </c>
      <c r="F10" s="252">
        <f>SUMIF(PL.data!$D$3:$D$25, FSA!$A10, PL.data!H$3:H$25)</f>
        <v/>
      </c>
      <c r="G10" s="252">
        <f>SUMIF(PL.data!$D$3:$D$25, FSA!$A10, PL.data!I$3:I$25)</f>
        <v/>
      </c>
      <c r="H10" s="252">
        <f>SUMIF(PL.data!$D$3:$D$25, FSA!$A10, PL.data!J$3:J$25)</f>
        <v/>
      </c>
      <c r="I10" s="252">
        <f>SUMIF(PL.data!$D$3:$D$25, FSA!$A10, PL.data!K$3:K$25)</f>
        <v/>
      </c>
      <c r="J10" s="252">
        <f>SUMIF(PL.data!$D$3:$D$25, FSA!$A10, PL.data!L$3:L$25)</f>
        <v/>
      </c>
      <c r="K10" s="371" t="n"/>
      <c r="L10" s="261" t="inlineStr">
        <is>
          <t>Funds from Operations (FFO)</t>
        </is>
      </c>
      <c r="M10" s="253" t="n"/>
      <c r="N10" s="365">
        <f>SUM(N6:N9)</f>
        <v/>
      </c>
      <c r="O10" s="365">
        <f>SUM(O6:O9)</f>
        <v/>
      </c>
      <c r="P10" s="365">
        <f>SUM(P6:P9)</f>
        <v/>
      </c>
      <c r="Q10" s="365">
        <f>SUM(Q6:Q9)</f>
        <v/>
      </c>
      <c r="R10" s="365">
        <f>SUM(R6:R9)</f>
        <v/>
      </c>
      <c r="S10" s="365">
        <f>SUM(S6:S9)</f>
        <v/>
      </c>
      <c r="T10" s="365">
        <f>SUM(T6:T9)</f>
        <v/>
      </c>
      <c r="U10" s="365">
        <f>SUM(U6:U9)</f>
        <v/>
      </c>
    </row>
    <row r="11" customFormat="1" s="253">
      <c r="A11" s="262" t="inlineStr">
        <is>
          <t>Other Operating items</t>
        </is>
      </c>
      <c r="C11" s="368" t="n"/>
      <c r="D11" s="368" t="n"/>
      <c r="E11" s="368" t="n"/>
      <c r="F11" s="368" t="n"/>
      <c r="G11" s="368" t="n"/>
      <c r="H11" s="368" t="n"/>
      <c r="I11" s="368" t="n"/>
      <c r="J11" s="368" t="n"/>
      <c r="L11" s="366" t="inlineStr">
        <is>
          <t xml:space="preserve">Changes in Net Working Capital </t>
        </is>
      </c>
      <c r="M11" s="367" t="n"/>
      <c r="N11" s="368">
        <f>SUM(B30:B33)-SUM(C30:C33)+SUM(C40:C43)-SUM(B40:B43)</f>
        <v/>
      </c>
      <c r="O11" s="368">
        <f>SUM(C30:C33)-SUM(D30:D33)+SUM(D40:D43)-SUM(C40:C43)</f>
        <v/>
      </c>
      <c r="P11" s="368">
        <f>SUM(D30:D33)-SUM(E30:E33)+SUM(E40:E43)-SUM(D40:D43)</f>
        <v/>
      </c>
      <c r="Q11" s="368">
        <f>SUM(E30:E33)-SUM(F30:F33)+SUM(F40:F43)-SUM(E40:E43)</f>
        <v/>
      </c>
      <c r="R11" s="368">
        <f>SUM(F30:F33)-SUM(G30:G33)+SUM(G40:G43)-SUM(F40:F43)</f>
        <v/>
      </c>
      <c r="S11" s="368">
        <f>SUM(G30:G33)-SUM(H30:H33)+SUM(H40:H43)-SUM(G40:G43)</f>
        <v/>
      </c>
      <c r="T11" s="368">
        <f>SUM(H30:H33)-SUM(I30:I33)+SUM(I40:I43)-SUM(H40:H43)</f>
        <v/>
      </c>
      <c r="U11" s="368">
        <f>SUM(I30:I33)-SUM(J30:J33)+SUM(J40:J43)-SUM(I40:I43)</f>
        <v/>
      </c>
    </row>
    <row r="12">
      <c r="A12" s="354" t="inlineStr">
        <is>
          <t>EBIT (Operating Profit)</t>
        </is>
      </c>
      <c r="B12" s="354" t="n"/>
      <c r="C12" s="365">
        <f>SUM(C9:C11)</f>
        <v/>
      </c>
      <c r="D12" s="365">
        <f>SUM(D9:D11)</f>
        <v/>
      </c>
      <c r="E12" s="365">
        <f>SUM(E9:E11)</f>
        <v/>
      </c>
      <c r="F12" s="365">
        <f>SUM(F9:F11)</f>
        <v/>
      </c>
      <c r="G12" s="365">
        <f>SUM(G9:G11)</f>
        <v/>
      </c>
      <c r="H12" s="365">
        <f>SUM(H9:H11)</f>
        <v/>
      </c>
      <c r="I12" s="365">
        <f>SUM(I9:I11)</f>
        <v/>
      </c>
      <c r="J12" s="365">
        <f>SUM(J9:J11)</f>
        <v/>
      </c>
      <c r="K12" s="371" t="n"/>
      <c r="L12" s="354" t="inlineStr">
        <is>
          <t>Operating Cash Flow (OCF)</t>
        </is>
      </c>
      <c r="M12" s="354" t="n"/>
      <c r="N12" s="365">
        <f>SUM(N10:N11)</f>
        <v/>
      </c>
      <c r="O12" s="365">
        <f>SUM(O10:O11)</f>
        <v/>
      </c>
      <c r="P12" s="365">
        <f>SUM(P10:P11)</f>
        <v/>
      </c>
      <c r="Q12" s="365">
        <f>SUM(Q10:Q11)</f>
        <v/>
      </c>
      <c r="R12" s="365">
        <f>SUM(R10:R11)</f>
        <v/>
      </c>
      <c r="S12" s="365">
        <f>SUM(S10:S11)</f>
        <v/>
      </c>
      <c r="T12" s="365">
        <f>SUM(T10:T11)</f>
        <v/>
      </c>
      <c r="U12" s="365">
        <f>SUM(U10:U11)</f>
        <v/>
      </c>
    </row>
    <row r="13">
      <c r="A13" s="355" t="inlineStr">
        <is>
          <t>Non-operating Items</t>
        </is>
      </c>
      <c r="B13" s="354" t="n"/>
      <c r="C13" s="252">
        <f>SUMIF(PL.data!$D$3:$D$25, FSA!$A13, PL.data!E$3:E$25)</f>
        <v/>
      </c>
      <c r="D13" s="252">
        <f>SUMIF(PL.data!$D$3:$D$25, FSA!$A13, PL.data!F$3:F$25)</f>
        <v/>
      </c>
      <c r="E13" s="252">
        <f>SUMIF(PL.data!$D$3:$D$25, FSA!$A13, PL.data!G$3:G$25)</f>
        <v/>
      </c>
      <c r="F13" s="252">
        <f>SUMIF(PL.data!$D$3:$D$25, FSA!$A13, PL.data!H$3:H$25)</f>
        <v/>
      </c>
      <c r="G13" s="252">
        <f>SUMIF(PL.data!$D$3:$D$25, FSA!$A13, PL.data!I$3:I$25)</f>
        <v/>
      </c>
      <c r="H13" s="252">
        <f>SUMIF(PL.data!$D$3:$D$25, FSA!$A13, PL.data!J$3:J$25)</f>
        <v/>
      </c>
      <c r="I13" s="252">
        <f>SUMIF(PL.data!$D$3:$D$25, FSA!$A13, PL.data!K$3:K$25)</f>
        <v/>
      </c>
      <c r="J13" s="252">
        <f>SUMIF(PL.data!$D$3:$D$25, FSA!$A13, PL.data!L$3:L$25)</f>
        <v/>
      </c>
      <c r="L13" s="366" t="inlineStr">
        <is>
          <t>Purchases Fixed assets, intangible assets</t>
        </is>
      </c>
      <c r="M13" s="369" t="n"/>
      <c r="N13" s="368">
        <f>SUMIF(CF.data!$D$4:$D$43, $L13, CF.data!E$4:E$43)</f>
        <v/>
      </c>
      <c r="O13" s="368">
        <f>SUMIF(CF.data!$D$4:$D$43, $L13, CF.data!F$4:F$43)</f>
        <v/>
      </c>
      <c r="P13" s="368">
        <f>SUMIF(CF.data!$D$4:$D$43, $L13, CF.data!G$4:G$43)</f>
        <v/>
      </c>
      <c r="Q13" s="368">
        <f>SUMIF(CF.data!$D$4:$D$43, $L13, CF.data!H$4:H$43)</f>
        <v/>
      </c>
      <c r="R13" s="368">
        <f>SUMIF(CF.data!$D$4:$D$43, $L13, CF.data!I$4:I$43)</f>
        <v/>
      </c>
      <c r="S13" s="368">
        <f>SUMIF(CF.data!$D$4:$D$43, $L13, CF.data!J$4:J$43)</f>
        <v/>
      </c>
      <c r="T13" s="368">
        <f>SUMIF(CF.data!$D$4:$D$43, $L13, CF.data!K$4:K$43)</f>
        <v/>
      </c>
      <c r="U13" s="368">
        <f>SUMIF(CF.data!$D$4:$D$43, $L13, CF.data!L$4:L$43)</f>
        <v/>
      </c>
    </row>
    <row r="14">
      <c r="A14" s="367" t="inlineStr">
        <is>
          <t>Total Interest Expense</t>
        </is>
      </c>
      <c r="B14" s="369" t="n"/>
      <c r="C14" s="252">
        <f>SUMIF(PL.data!$D$3:$D$25, FSA!$A14, PL.data!E$3:E$25)</f>
        <v/>
      </c>
      <c r="D14" s="252">
        <f>SUMIF(PL.data!$D$3:$D$25, FSA!$A14, PL.data!F$3:F$25)</f>
        <v/>
      </c>
      <c r="E14" s="252">
        <f>SUMIF(PL.data!$D$3:$D$25, FSA!$A14, PL.data!G$3:G$25)</f>
        <v/>
      </c>
      <c r="F14" s="252">
        <f>SUMIF(PL.data!$D$3:$D$25, FSA!$A14, PL.data!H$3:H$25)</f>
        <v/>
      </c>
      <c r="G14" s="252">
        <f>SUMIF(PL.data!$D$3:$D$25, FSA!$A14, PL.data!I$3:I$25)</f>
        <v/>
      </c>
      <c r="H14" s="252">
        <f>SUMIF(PL.data!$D$3:$D$25, FSA!$A14, PL.data!J$3:J$25)</f>
        <v/>
      </c>
      <c r="I14" s="252">
        <f>SUMIF(PL.data!$D$3:$D$25, FSA!$A14, PL.data!K$3:K$25)</f>
        <v/>
      </c>
      <c r="J14" s="252">
        <f>SUMIF(PL.data!$D$3:$D$25, FSA!$A14, PL.data!L$3:L$25)</f>
        <v/>
      </c>
      <c r="L14" s="354" t="inlineStr">
        <is>
          <t>Free Operating Cash Flow (FOCF)</t>
        </is>
      </c>
      <c r="M14" s="369" t="n"/>
      <c r="N14" s="365">
        <f>SUM(N12:N13)</f>
        <v/>
      </c>
      <c r="O14" s="365">
        <f>SUM(O12:O13)</f>
        <v/>
      </c>
      <c r="P14" s="365">
        <f>SUM(P12:P13)</f>
        <v/>
      </c>
      <c r="Q14" s="365">
        <f>SUM(Q12:Q13)</f>
        <v/>
      </c>
      <c r="R14" s="365">
        <f>SUM(R12:R13)</f>
        <v/>
      </c>
      <c r="S14" s="365">
        <f>SUM(S12:S13)</f>
        <v/>
      </c>
      <c r="T14" s="365">
        <f>SUM(T12:T13)</f>
        <v/>
      </c>
      <c r="U14" s="365">
        <f>SUM(U12:U13)</f>
        <v/>
      </c>
    </row>
    <row r="15" customFormat="1" s="253">
      <c r="A15" s="355" t="inlineStr">
        <is>
          <t>Interest income and other financial Income / expenses</t>
        </is>
      </c>
      <c r="B15" s="367" t="n"/>
      <c r="C15" s="252">
        <f>SUMIF(PL.data!$D$3:$D$25, FSA!$A15, PL.data!E$3:E$25)</f>
        <v/>
      </c>
      <c r="D15" s="252">
        <f>SUMIF(PL.data!$D$3:$D$25, FSA!$A15, PL.data!F$3:F$25)</f>
        <v/>
      </c>
      <c r="E15" s="252">
        <f>SUMIF(PL.data!$D$3:$D$25, FSA!$A15, PL.data!G$3:G$25)</f>
        <v/>
      </c>
      <c r="F15" s="252">
        <f>SUMIF(PL.data!$D$3:$D$25, FSA!$A15, PL.data!H$3:H$25)</f>
        <v/>
      </c>
      <c r="G15" s="252">
        <f>SUMIF(PL.data!$D$3:$D$25, FSA!$A15, PL.data!I$3:I$25)</f>
        <v/>
      </c>
      <c r="H15" s="252">
        <f>SUMIF(PL.data!$D$3:$D$25, FSA!$A15, PL.data!J$3:J$25)</f>
        <v/>
      </c>
      <c r="I15" s="252">
        <f>SUMIF(PL.data!$D$3:$D$25, FSA!$A15, PL.data!K$3:K$25)</f>
        <v/>
      </c>
      <c r="J15" s="252">
        <f>SUMIF(PL.data!$D$3:$D$25, FSA!$A15, PL.data!L$3:L$25)</f>
        <v/>
      </c>
      <c r="L15" s="366" t="inlineStr">
        <is>
          <t xml:space="preserve">Interest, Dividend  and FX results </t>
        </is>
      </c>
      <c r="M15" s="355" t="n"/>
      <c r="N15" s="368">
        <f>SUMIF(CF.data!$D$4:$D$43, $L15, CF.data!E$4:E$43)</f>
        <v/>
      </c>
      <c r="O15" s="368">
        <f>SUMIF(CF.data!$D$4:$D$43, $L15, CF.data!F$4:F$43)</f>
        <v/>
      </c>
      <c r="P15" s="368">
        <f>SUMIF(CF.data!$D$4:$D$43, $L15, CF.data!G$4:G$43)</f>
        <v/>
      </c>
      <c r="Q15" s="368">
        <f>SUMIF(CF.data!$D$4:$D$43, $L15, CF.data!H$4:H$43)</f>
        <v/>
      </c>
      <c r="R15" s="368">
        <f>SUMIF(CF.data!$D$4:$D$43, $L15, CF.data!I$4:I$43)</f>
        <v/>
      </c>
      <c r="S15" s="368">
        <f>SUMIF(CF.data!$D$4:$D$43, $L15, CF.data!J$4:J$43)</f>
        <v/>
      </c>
      <c r="T15" s="368">
        <f>SUMIF(CF.data!$D$4:$D$43, $L15, CF.data!K$4:K$43)</f>
        <v/>
      </c>
      <c r="U15" s="368">
        <f>SUMIF(CF.data!$D$4:$D$43, $L15, CF.data!L$4:L$43)</f>
        <v/>
      </c>
    </row>
    <row r="16">
      <c r="A16" s="354" t="inlineStr">
        <is>
          <t>Profit before Tax</t>
        </is>
      </c>
      <c r="B16" s="354" t="n"/>
      <c r="C16" s="365">
        <f>SUM(C12:C15)</f>
        <v/>
      </c>
      <c r="D16" s="365">
        <f>SUM(D12:D15)</f>
        <v/>
      </c>
      <c r="E16" s="365">
        <f>SUM(E12:E15)</f>
        <v/>
      </c>
      <c r="F16" s="365">
        <f>SUM(F12:F15)</f>
        <v/>
      </c>
      <c r="G16" s="365">
        <f>SUM(G12:G15)</f>
        <v/>
      </c>
      <c r="H16" s="365">
        <f>SUM(H12:H15)</f>
        <v/>
      </c>
      <c r="I16" s="365">
        <f>SUM(I12:I15)</f>
        <v/>
      </c>
      <c r="J16" s="365">
        <f>SUM(J12:J15)</f>
        <v/>
      </c>
      <c r="L16" s="370" t="inlineStr">
        <is>
          <t>Total Dividend Paid</t>
        </is>
      </c>
      <c r="M16" s="369" t="n"/>
      <c r="N16" s="368">
        <f>SUMIF(CF.data!$D$4:$D$43, $L16, CF.data!E$4:E$43)</f>
        <v/>
      </c>
      <c r="O16" s="368">
        <f>SUMIF(CF.data!$D$4:$D$43, $L16, CF.data!F$4:F$43)</f>
        <v/>
      </c>
      <c r="P16" s="368">
        <f>SUMIF(CF.data!$D$4:$D$43, $L16, CF.data!G$4:G$43)</f>
        <v/>
      </c>
      <c r="Q16" s="368">
        <f>SUMIF(CF.data!$D$4:$D$43, $L16, CF.data!H$4:H$43)</f>
        <v/>
      </c>
      <c r="R16" s="368">
        <f>SUMIF(CF.data!$D$4:$D$43, $L16, CF.data!I$4:I$43)</f>
        <v/>
      </c>
      <c r="S16" s="368">
        <f>SUMIF(CF.data!$D$4:$D$43, $L16, CF.data!J$4:J$43)</f>
        <v/>
      </c>
      <c r="T16" s="368">
        <f>SUMIF(CF.data!$D$4:$D$43, $L16, CF.data!K$4:K$43)</f>
        <v/>
      </c>
      <c r="U16" s="368">
        <f>SUMIF(CF.data!$D$4:$D$43, $L16, CF.data!L$4:L$43)</f>
        <v/>
      </c>
    </row>
    <row r="17" customFormat="1" s="253">
      <c r="A17" s="367" t="inlineStr">
        <is>
          <t>Taxation</t>
        </is>
      </c>
      <c r="B17" s="369" t="n"/>
      <c r="C17" s="252">
        <f>SUMIF(PL.data!$D$3:$D$25, FSA!$A17, PL.data!E$3:E$25)</f>
        <v/>
      </c>
      <c r="D17" s="252">
        <f>SUMIF(PL.data!$D$3:$D$25, FSA!$A17, PL.data!F$3:F$25)</f>
        <v/>
      </c>
      <c r="E17" s="252">
        <f>SUMIF(PL.data!$D$3:$D$25, FSA!$A17, PL.data!G$3:G$25)</f>
        <v/>
      </c>
      <c r="F17" s="252">
        <f>SUMIF(PL.data!$D$3:$D$25, FSA!$A17, PL.data!H$3:H$25)</f>
        <v/>
      </c>
      <c r="G17" s="252">
        <f>SUMIF(PL.data!$D$3:$D$25, FSA!$A17, PL.data!I$3:I$25)</f>
        <v/>
      </c>
      <c r="H17" s="252">
        <f>SUMIF(PL.data!$D$3:$D$25, FSA!$A17, PL.data!J$3:J$25)</f>
        <v/>
      </c>
      <c r="I17" s="252">
        <f>SUMIF(PL.data!$D$3:$D$25, FSA!$A17, PL.data!K$3:K$25)</f>
        <v/>
      </c>
      <c r="J17" s="252">
        <f>SUMIF(PL.data!$D$3:$D$25, FSA!$A17, PL.data!L$3:L$25)</f>
        <v/>
      </c>
      <c r="L17" s="253" t="inlineStr">
        <is>
          <t>Discretionary Cash Flow (DCF)</t>
        </is>
      </c>
      <c r="N17" s="372">
        <f>SUM(N14:N16)</f>
        <v/>
      </c>
      <c r="O17" s="372">
        <f>SUM(O14:O16)</f>
        <v/>
      </c>
      <c r="P17" s="372">
        <f>SUM(P14:P16)</f>
        <v/>
      </c>
      <c r="Q17" s="372">
        <f>SUM(Q14:Q16)</f>
        <v/>
      </c>
      <c r="R17" s="372">
        <f>SUM(R14:R16)</f>
        <v/>
      </c>
      <c r="S17" s="372">
        <f>SUM(S14:S16)</f>
        <v/>
      </c>
      <c r="T17" s="372">
        <f>SUM(T14:T16)</f>
        <v/>
      </c>
      <c r="U17" s="372">
        <f>SUM(U14:U16)</f>
        <v/>
      </c>
    </row>
    <row r="18">
      <c r="A18" s="354" t="inlineStr">
        <is>
          <t>Profit after Tax</t>
        </is>
      </c>
      <c r="B18" s="354" t="n"/>
      <c r="C18" s="365">
        <f>C16+C17</f>
        <v/>
      </c>
      <c r="D18" s="365">
        <f>D16+D17</f>
        <v/>
      </c>
      <c r="E18" s="365">
        <f>E16+E17</f>
        <v/>
      </c>
      <c r="F18" s="365">
        <f>F16+F17</f>
        <v/>
      </c>
      <c r="G18" s="365">
        <f>G16+G17</f>
        <v/>
      </c>
      <c r="H18" s="365">
        <f>H16+H17</f>
        <v/>
      </c>
      <c r="I18" s="365">
        <f>I16+I17</f>
        <v/>
      </c>
      <c r="J18" s="365">
        <f>J16+J17</f>
        <v/>
      </c>
      <c r="L18" s="366" t="inlineStr">
        <is>
          <t>Disposals Fixed assets, intangible assets</t>
        </is>
      </c>
      <c r="M18" s="354" t="n"/>
      <c r="N18" s="368">
        <f>SUMIF(CF.data!$D$4:$D$43, $L18, CF.data!E$4:E$43)</f>
        <v/>
      </c>
      <c r="O18" s="368">
        <f>SUMIF(CF.data!$D$4:$D$43, $L18, CF.data!F$4:F$43)</f>
        <v/>
      </c>
      <c r="P18" s="368">
        <f>SUMIF(CF.data!$D$4:$D$43, $L18, CF.data!G$4:G$43)</f>
        <v/>
      </c>
      <c r="Q18" s="368">
        <f>SUMIF(CF.data!$D$4:$D$43, $L18, CF.data!H$4:H$43)</f>
        <v/>
      </c>
      <c r="R18" s="368">
        <f>SUMIF(CF.data!$D$4:$D$43, $L18, CF.data!I$4:I$43)</f>
        <v/>
      </c>
      <c r="S18" s="368">
        <f>SUMIF(CF.data!$D$4:$D$43, $L18, CF.data!J$4:J$43)</f>
        <v/>
      </c>
      <c r="T18" s="368">
        <f>SUMIF(CF.data!$D$4:$D$43, $L18, CF.data!K$4:K$43)</f>
        <v/>
      </c>
      <c r="U18" s="368">
        <f>SUMIF(CF.data!$D$4:$D$43, $L18, CF.data!L$4:L$43)</f>
        <v/>
      </c>
    </row>
    <row r="19" customFormat="1" s="268">
      <c r="A19" s="354" t="n"/>
      <c r="B19" s="354" t="n"/>
      <c r="C19" s="301" t="n"/>
      <c r="D19" s="301" t="n"/>
      <c r="E19" s="301" t="n"/>
      <c r="F19" s="301" t="n"/>
      <c r="G19" s="301" t="n"/>
      <c r="H19" s="301" t="n"/>
      <c r="I19" s="301" t="n"/>
      <c r="J19" s="301" t="n"/>
      <c r="L19" s="366" t="inlineStr">
        <is>
          <t>Acquisitions, Investments net of Divestments</t>
        </is>
      </c>
      <c r="N19" s="368">
        <f>SUMIF(CF.data!$D$4:$D$43, $L19, CF.data!E$4:E$43)</f>
        <v/>
      </c>
      <c r="O19" s="368">
        <f>SUMIF(CF.data!$D$4:$D$43, $L19, CF.data!F$4:F$43)</f>
        <v/>
      </c>
      <c r="P19" s="368">
        <f>SUMIF(CF.data!$D$4:$D$43, $L19, CF.data!G$4:G$43)</f>
        <v/>
      </c>
      <c r="Q19" s="368">
        <f>SUMIF(CF.data!$D$4:$D$43, $L19, CF.data!H$4:H$43)</f>
        <v/>
      </c>
      <c r="R19" s="368">
        <f>SUMIF(CF.data!$D$4:$D$43, $L19, CF.data!I$4:I$43)</f>
        <v/>
      </c>
      <c r="S19" s="368">
        <f>SUMIF(CF.data!$D$4:$D$43, $L19, CF.data!J$4:J$43)</f>
        <v/>
      </c>
      <c r="T19" s="368">
        <f>SUMIF(CF.data!$D$4:$D$43, $L19, CF.data!K$4:K$43)</f>
        <v/>
      </c>
      <c r="U19" s="368">
        <f>SUMIF(CF.data!$D$4:$D$43, $L19, CF.data!L$4:L$43)</f>
        <v/>
      </c>
    </row>
    <row r="20" customFormat="1" s="268">
      <c r="A20" s="373" t="inlineStr">
        <is>
          <t>For info (included in operating profit)</t>
        </is>
      </c>
      <c r="C20" s="368" t="n"/>
      <c r="D20" s="368" t="n"/>
      <c r="E20" s="368" t="n"/>
      <c r="F20" s="368" t="n"/>
      <c r="G20" s="368" t="n"/>
      <c r="H20" s="368" t="n"/>
      <c r="I20" s="368" t="n"/>
      <c r="J20" s="368" t="n"/>
      <c r="L20" s="366" t="inlineStr">
        <is>
          <t>Other non-operating items</t>
        </is>
      </c>
      <c r="M20" s="237" t="n"/>
      <c r="N20" s="374">
        <f>CF.data!E22-FSA!N12</f>
        <v/>
      </c>
      <c r="O20" s="374">
        <f>CF.data!F22-FSA!O12</f>
        <v/>
      </c>
      <c r="P20" s="374">
        <f>CF.data!G22-FSA!P12</f>
        <v/>
      </c>
      <c r="Q20" s="374">
        <f>CF.data!H22-FSA!Q12</f>
        <v/>
      </c>
      <c r="R20" s="374">
        <f>CF.data!I22-FSA!R12</f>
        <v/>
      </c>
      <c r="S20" s="374">
        <f>CF.data!J22-FSA!S12</f>
        <v/>
      </c>
      <c r="T20" s="374">
        <f>CF.data!K22-FSA!T12</f>
        <v/>
      </c>
      <c r="U20" s="374">
        <f>CF.data!L22-FSA!U12</f>
        <v/>
      </c>
    </row>
    <row r="21" customFormat="1" s="268">
      <c r="A21" s="369" t="inlineStr">
        <is>
          <t>Depreciation</t>
        </is>
      </c>
      <c r="B21" s="369" t="n"/>
      <c r="C21" s="375">
        <f>SUMIF(CF.data!$D$4:$D$43, FSA!$A21, CF.data!E$4:E$43)</f>
        <v/>
      </c>
      <c r="D21" s="375">
        <f>SUMIF(CF.data!$D$4:$D$43, FSA!$A21, CF.data!F$4:F$43)</f>
        <v/>
      </c>
      <c r="E21" s="375">
        <f>SUMIF(CF.data!$D$4:$D$43, FSA!$A21, CF.data!G$4:G$43)</f>
        <v/>
      </c>
      <c r="F21" s="375">
        <f>SUMIF(CF.data!$D$4:$D$43, FSA!$A21, CF.data!H$4:H$43)</f>
        <v/>
      </c>
      <c r="G21" s="375">
        <f>SUMIF(CF.data!$D$4:$D$43, FSA!$A21, CF.data!I$4:I$43)</f>
        <v/>
      </c>
      <c r="H21" s="375">
        <f>SUMIF(CF.data!$D$4:$D$43, FSA!$A21, CF.data!J$4:J$43)</f>
        <v/>
      </c>
      <c r="I21" s="375">
        <f>SUMIF(CF.data!$D$4:$D$43, FSA!$A21, CF.data!K$4:K$43)</f>
        <v/>
      </c>
      <c r="J21" s="375">
        <f>SUMIF(CF.data!$D$4:$D$43, FSA!$A21, CF.data!L$4:L$43)</f>
        <v/>
      </c>
      <c r="L21" s="376" t="inlineStr">
        <is>
          <t>Prefinancing Cash Flow</t>
        </is>
      </c>
      <c r="M21" s="376" t="n"/>
      <c r="N21" s="377">
        <f>SUM(N17:N20)</f>
        <v/>
      </c>
      <c r="O21" s="377">
        <f>SUM(O17:O20)</f>
        <v/>
      </c>
      <c r="P21" s="377">
        <f>SUM(P17:P20)</f>
        <v/>
      </c>
      <c r="Q21" s="377">
        <f>SUM(Q17:Q20)</f>
        <v/>
      </c>
      <c r="R21" s="377">
        <f>SUM(R17:R20)</f>
        <v/>
      </c>
      <c r="S21" s="377">
        <f>SUM(S17:S20)</f>
        <v/>
      </c>
      <c r="T21" s="377">
        <f>SUM(T17:T20)</f>
        <v/>
      </c>
      <c r="U21" s="377">
        <f>SUM(U17:U20)</f>
        <v/>
      </c>
    </row>
    <row r="22" customFormat="1" s="268">
      <c r="A22" s="268" t="inlineStr">
        <is>
          <t>Amortisation</t>
        </is>
      </c>
      <c r="C22" s="375">
        <f>SUMIF(CF.data!$D$4:$D$43, FSA!$A22, CF.data!E$4:E$43)</f>
        <v/>
      </c>
      <c r="D22" s="375">
        <f>SUMIF(CF.data!$D$4:$D$43, FSA!$A22, CF.data!F$4:F$43)</f>
        <v/>
      </c>
      <c r="E22" s="375">
        <f>SUMIF(CF.data!$D$4:$D$43, FSA!$A22, CF.data!G$4:G$43)</f>
        <v/>
      </c>
      <c r="F22" s="375">
        <f>SUMIF(CF.data!$D$4:$D$43, FSA!$A22, CF.data!H$4:H$43)</f>
        <v/>
      </c>
      <c r="G22" s="375">
        <f>SUMIF(CF.data!$D$4:$D$43, FSA!$A22, CF.data!I$4:I$43)</f>
        <v/>
      </c>
      <c r="H22" s="375">
        <f>SUMIF(CF.data!$D$4:$D$43, FSA!$A22, CF.data!J$4:J$43)</f>
        <v/>
      </c>
      <c r="I22" s="375">
        <f>SUMIF(CF.data!$D$4:$D$43, FSA!$A22, CF.data!K$4:K$43)</f>
        <v/>
      </c>
      <c r="J22" s="375">
        <f>SUMIF(CF.data!$D$4:$D$43, FSA!$A22, CF.data!L$4:L$43)</f>
        <v/>
      </c>
      <c r="L22" s="370" t="inlineStr">
        <is>
          <t>Net Debt Drawings / Repayments</t>
        </is>
      </c>
      <c r="M22" s="367" t="n"/>
      <c r="N22" s="368">
        <f>SUMIF(CF.data!$D$4:$D$43, $L22, CF.data!E$4:E$43)</f>
        <v/>
      </c>
      <c r="O22" s="368">
        <f>SUMIF(CF.data!$D$4:$D$43, $L22, CF.data!F$4:F$43)</f>
        <v/>
      </c>
      <c r="P22" s="368">
        <f>SUMIF(CF.data!$D$4:$D$43, $L22, CF.data!G$4:G$43)</f>
        <v/>
      </c>
      <c r="Q22" s="368">
        <f>SUMIF(CF.data!$D$4:$D$43, $L22, CF.data!H$4:H$43)</f>
        <v/>
      </c>
      <c r="R22" s="368">
        <f>SUMIF(CF.data!$D$4:$D$43, $L22, CF.data!I$4:I$43)</f>
        <v/>
      </c>
      <c r="S22" s="368">
        <f>SUMIF(CF.data!$D$4:$D$43, $L22, CF.data!J$4:J$43)</f>
        <v/>
      </c>
      <c r="T22" s="368">
        <f>SUMIF(CF.data!$D$4:$D$43, $L22, CF.data!K$4:K$43)</f>
        <v/>
      </c>
      <c r="U22" s="368">
        <f>SUMIF(CF.data!$D$4:$D$43, $L22, CF.data!L$4:L$43)</f>
        <v/>
      </c>
    </row>
    <row r="23" customFormat="1" s="275">
      <c r="A23" s="268" t="inlineStr">
        <is>
          <t>Impairments</t>
        </is>
      </c>
      <c r="C23" s="375" t="n"/>
      <c r="D23" s="375" t="n"/>
      <c r="E23" s="375" t="n"/>
      <c r="F23" s="375" t="n"/>
      <c r="G23" s="375" t="n"/>
      <c r="H23" s="375" t="n"/>
      <c r="I23" s="375" t="n"/>
      <c r="J23" s="375" t="n"/>
      <c r="L23" s="370" t="inlineStr">
        <is>
          <t>Share Issues / Repurchases</t>
        </is>
      </c>
      <c r="M23" s="367" t="n"/>
      <c r="N23" s="368">
        <f>SUMIF(CF.data!$D$4:$D$43, $L23, CF.data!E$4:E$43)</f>
        <v/>
      </c>
      <c r="O23" s="368">
        <f>SUMIF(CF.data!$D$4:$D$43, $L23, CF.data!F$4:F$43)</f>
        <v/>
      </c>
      <c r="P23" s="368">
        <f>SUMIF(CF.data!$D$4:$D$43, $L23, CF.data!G$4:G$43)</f>
        <v/>
      </c>
      <c r="Q23" s="368">
        <f>SUMIF(CF.data!$D$4:$D$43, $L23, CF.data!H$4:H$43)</f>
        <v/>
      </c>
      <c r="R23" s="368">
        <f>SUMIF(CF.data!$D$4:$D$43, $L23, CF.data!I$4:I$43)</f>
        <v/>
      </c>
      <c r="S23" s="368">
        <f>SUMIF(CF.data!$D$4:$D$43, $L23, CF.data!J$4:J$43)</f>
        <v/>
      </c>
      <c r="T23" s="368">
        <f>SUMIF(CF.data!$D$4:$D$43, $L23, CF.data!K$4:K$43)</f>
        <v/>
      </c>
      <c r="U23" s="368">
        <f>SUMIF(CF.data!$D$4:$D$43, $L23, CF.data!L$4:L$43)</f>
        <v/>
      </c>
    </row>
    <row r="24">
      <c r="A24" s="369" t="inlineStr">
        <is>
          <t>Operating Leases</t>
        </is>
      </c>
      <c r="B24" s="369" t="n"/>
      <c r="C24" s="375" t="n"/>
      <c r="D24" s="375" t="n"/>
      <c r="E24" s="375" t="n"/>
      <c r="F24" s="375" t="n"/>
      <c r="G24" s="375" t="n"/>
      <c r="H24" s="375" t="n"/>
      <c r="I24" s="375" t="n"/>
      <c r="J24" s="375" t="n"/>
      <c r="L24" s="376" t="inlineStr">
        <is>
          <t>Net Cash Flow</t>
        </is>
      </c>
      <c r="M24" s="376" t="n"/>
      <c r="N24" s="378">
        <f>SUM(N21:N23)</f>
        <v/>
      </c>
      <c r="O24" s="378">
        <f>SUM(O21:O23)</f>
        <v/>
      </c>
      <c r="P24" s="378">
        <f>SUM(P21:P23)</f>
        <v/>
      </c>
      <c r="Q24" s="378">
        <f>SUM(Q21:Q23)</f>
        <v/>
      </c>
      <c r="R24" s="378">
        <f>SUM(R21:R23)</f>
        <v/>
      </c>
      <c r="S24" s="378">
        <f>SUM(S21:S23)</f>
        <v/>
      </c>
      <c r="T24" s="378">
        <f>SUM(T21:T23)</f>
        <v/>
      </c>
      <c r="U24" s="378">
        <f>SUM(U21:U23)</f>
        <v/>
      </c>
    </row>
    <row r="25">
      <c r="A25" s="373" t="inlineStr">
        <is>
          <t>EBITDA</t>
        </is>
      </c>
      <c r="B25" s="373" t="n"/>
      <c r="C25" s="375">
        <f>C12+C21+C22</f>
        <v/>
      </c>
      <c r="D25" s="375">
        <f>D12+D21+D22</f>
        <v/>
      </c>
      <c r="E25" s="375">
        <f>E12+E21+E22</f>
        <v/>
      </c>
      <c r="F25" s="375">
        <f>F12+F21+F22</f>
        <v/>
      </c>
      <c r="G25" s="375">
        <f>G12+G21+G22</f>
        <v/>
      </c>
      <c r="H25" s="375">
        <f>H12+H21+H22</f>
        <v/>
      </c>
      <c r="I25" s="375">
        <f>I12+I21+I22</f>
        <v/>
      </c>
      <c r="J25" s="375">
        <f>J12+J21+J22</f>
        <v/>
      </c>
      <c r="L25" s="277" t="inlineStr">
        <is>
          <t>Check</t>
        </is>
      </c>
      <c r="N25" s="379">
        <f>N24-CF.data!E40</f>
        <v/>
      </c>
      <c r="O25" s="379">
        <f>O24-CF.data!F40</f>
        <v/>
      </c>
      <c r="P25" s="379">
        <f>P24-CF.data!G40</f>
        <v/>
      </c>
      <c r="Q25" s="379">
        <f>Q24-CF.data!H40</f>
        <v/>
      </c>
      <c r="R25" s="379">
        <f>R24-CF.data!I40</f>
        <v/>
      </c>
      <c r="S25" s="379">
        <f>S24-CF.data!J40</f>
        <v/>
      </c>
      <c r="T25" s="379">
        <f>T24-CF.data!K40</f>
        <v/>
      </c>
      <c r="U25" s="379">
        <f>U24-CF.data!L40</f>
        <v/>
      </c>
    </row>
    <row r="26">
      <c r="A26" s="373" t="inlineStr">
        <is>
          <t>EBITDAR</t>
        </is>
      </c>
      <c r="B26" s="354" t="n"/>
      <c r="C26" s="375">
        <f>C25+C24</f>
        <v/>
      </c>
      <c r="D26" s="375">
        <f>D25+D24</f>
        <v/>
      </c>
      <c r="E26" s="375">
        <f>E25+E24</f>
        <v/>
      </c>
      <c r="F26" s="375">
        <f>F25+F24</f>
        <v/>
      </c>
      <c r="G26" s="375">
        <f>G25+G24</f>
        <v/>
      </c>
      <c r="H26" s="375">
        <f>H25+H24</f>
        <v/>
      </c>
      <c r="I26" s="375">
        <f>I25+I24</f>
        <v/>
      </c>
      <c r="J26" s="375">
        <f>J25+J24</f>
        <v/>
      </c>
    </row>
    <row r="27">
      <c r="A27" s="359" t="inlineStr">
        <is>
          <t>BALANCE SHEET</t>
        </is>
      </c>
      <c r="B27" s="359" t="n"/>
      <c r="C27" s="360">
        <f>C5</f>
        <v/>
      </c>
      <c r="D27" s="360">
        <f>D5</f>
        <v/>
      </c>
      <c r="E27" s="360">
        <f>E5</f>
        <v/>
      </c>
      <c r="F27" s="360">
        <f>F5</f>
        <v/>
      </c>
      <c r="G27" s="360">
        <f>G5</f>
        <v/>
      </c>
      <c r="H27" s="360">
        <f>H5</f>
        <v/>
      </c>
      <c r="I27" s="360">
        <f>I5</f>
        <v/>
      </c>
      <c r="J27" s="360">
        <f>J5</f>
        <v/>
      </c>
      <c r="L27" s="359" t="inlineStr">
        <is>
          <t>RATIOS</t>
        </is>
      </c>
      <c r="M27" s="359" t="n"/>
      <c r="N27" s="360" t="n">
        <v>2015</v>
      </c>
      <c r="O27" s="360" t="n">
        <v>2016</v>
      </c>
      <c r="P27" s="360" t="n">
        <v>2017</v>
      </c>
      <c r="Q27" s="360" t="n">
        <v>2018</v>
      </c>
      <c r="R27" s="360" t="n">
        <v>2019</v>
      </c>
      <c r="S27" s="360" t="n">
        <v>2020</v>
      </c>
      <c r="T27" s="360" t="n">
        <v>2021</v>
      </c>
      <c r="U27" s="360" t="n">
        <v>2022</v>
      </c>
    </row>
    <row r="28">
      <c r="A28" s="354" t="n"/>
      <c r="B28" s="354" t="n"/>
      <c r="C28" s="354" t="n"/>
      <c r="D28" s="354" t="n"/>
      <c r="E28" s="354" t="n"/>
      <c r="F28" s="354" t="n"/>
      <c r="G28" s="354" t="n"/>
      <c r="H28" s="354" t="n"/>
      <c r="I28" s="354" t="n"/>
      <c r="J28" s="354" t="n"/>
      <c r="L28" s="354" t="n"/>
      <c r="M28" s="354" t="n"/>
      <c r="N28" s="354" t="n"/>
      <c r="O28" s="354" t="n"/>
      <c r="P28" s="354" t="n"/>
      <c r="Q28" s="354" t="n"/>
      <c r="R28" s="380" t="n"/>
      <c r="S28" s="380" t="n"/>
      <c r="T28" s="380" t="n"/>
      <c r="U28" s="380" t="n"/>
    </row>
    <row r="29">
      <c r="A29" s="355" t="inlineStr">
        <is>
          <t>Cash and Marketable Securities</t>
        </is>
      </c>
      <c r="B29" s="367" t="n"/>
      <c r="C29" s="381">
        <f>SUMIF(BS.data!$D$5:$D$116,FSA!$A29,BS.data!E$5:E$116)</f>
        <v/>
      </c>
      <c r="D29" s="381">
        <f>SUMIF(BS.data!$D$5:$D$116,FSA!$A29,BS.data!F$5:F$116)</f>
        <v/>
      </c>
      <c r="E29" s="381">
        <f>SUMIF(BS.data!$D$5:$D$116,FSA!$A29,BS.data!G$5:G$116)</f>
        <v/>
      </c>
      <c r="F29" s="381">
        <f>SUMIF(BS.data!$D$5:$D$116,FSA!$A29,BS.data!H$5:H$116)</f>
        <v/>
      </c>
      <c r="G29" s="381">
        <f>SUMIF(BS.data!$D$5:$D$116,FSA!$A29,BS.data!I$5:I$116)</f>
        <v/>
      </c>
      <c r="H29" s="381">
        <f>SUMIF(BS.data!$D$5:$D$116,FSA!$A29,BS.data!J$5:J$116)</f>
        <v/>
      </c>
      <c r="I29" s="381">
        <f>SUMIF(BS.data!$D$5:$D$116,FSA!$A29,BS.data!K$5:K$116)</f>
        <v/>
      </c>
      <c r="J29" s="381">
        <f>SUMIF(BS.data!$D$5:$D$116,FSA!$A29,BS.data!L$5:L$116)</f>
        <v/>
      </c>
      <c r="L29" s="354" t="inlineStr">
        <is>
          <t>Business Risk:</t>
        </is>
      </c>
      <c r="M29" s="354" t="n"/>
      <c r="N29" s="354" t="n"/>
      <c r="O29" s="354" t="n"/>
      <c r="P29" s="354" t="n"/>
      <c r="Q29" s="354" t="n"/>
      <c r="R29" s="380" t="n"/>
      <c r="S29" s="380" t="n"/>
      <c r="T29" s="380" t="n"/>
      <c r="U29" s="380" t="n"/>
    </row>
    <row r="30">
      <c r="A30" s="355" t="inlineStr">
        <is>
          <t>Trade Debtors (Accounts Receivable)</t>
        </is>
      </c>
      <c r="B30" s="367" t="n"/>
      <c r="C30" s="381">
        <f>SUMIF(BS.data!$D$5:$D$116,FSA!$A30,BS.data!E$5:E$116)</f>
        <v/>
      </c>
      <c r="D30" s="381">
        <f>SUMIF(BS.data!$D$5:$D$116,FSA!$A30,BS.data!F$5:F$116)</f>
        <v/>
      </c>
      <c r="E30" s="381">
        <f>SUMIF(BS.data!$D$5:$D$116,FSA!$A30,BS.data!G$5:G$116)</f>
        <v/>
      </c>
      <c r="F30" s="381">
        <f>SUMIF(BS.data!$D$5:$D$116,FSA!$A30,BS.data!H$5:H$116)</f>
        <v/>
      </c>
      <c r="G30" s="381">
        <f>SUMIF(BS.data!$D$5:$D$116,FSA!$A30,BS.data!I$5:I$116)</f>
        <v/>
      </c>
      <c r="H30" s="381">
        <f>SUMIF(BS.data!$D$5:$D$116,FSA!$A30,BS.data!J$5:J$116)</f>
        <v/>
      </c>
      <c r="I30" s="381">
        <f>SUMIF(BS.data!$D$5:$D$116,FSA!$A30,BS.data!K$5:K$116)</f>
        <v/>
      </c>
      <c r="J30" s="381">
        <f>SUMIF(BS.data!$D$5:$D$116,FSA!$A30,BS.data!L$5:L$116)</f>
        <v/>
      </c>
      <c r="K30" s="382" t="n"/>
      <c r="L30" s="355" t="inlineStr">
        <is>
          <t>Sale growth</t>
        </is>
      </c>
      <c r="M30" s="355" t="n"/>
      <c r="N30" s="285" t="inlineStr">
        <is>
          <t>NA</t>
        </is>
      </c>
      <c r="O30" s="383">
        <f>D7/C7-1</f>
        <v/>
      </c>
      <c r="P30" s="383">
        <f>E7/D7-1</f>
        <v/>
      </c>
      <c r="Q30" s="383">
        <f>F7/E7-1</f>
        <v/>
      </c>
      <c r="R30" s="383">
        <f>G7/F7-1</f>
        <v/>
      </c>
      <c r="S30" s="383">
        <f>H7/G7-1</f>
        <v/>
      </c>
      <c r="T30" s="383">
        <f>I7/H7-1</f>
        <v/>
      </c>
      <c r="U30" s="383">
        <f>J7/I7-1</f>
        <v/>
      </c>
    </row>
    <row r="31">
      <c r="A31" s="367" t="inlineStr">
        <is>
          <t>Stock (Inventory) #</t>
        </is>
      </c>
      <c r="B31" s="367" t="n"/>
      <c r="C31" s="381">
        <f>SUMIF(BS.data!$D$5:$D$116,FSA!$A31,BS.data!E$5:E$116)</f>
        <v/>
      </c>
      <c r="D31" s="381">
        <f>SUMIF(BS.data!$D$5:$D$116,FSA!$A31,BS.data!F$5:F$116)</f>
        <v/>
      </c>
      <c r="E31" s="381">
        <f>SUMIF(BS.data!$D$5:$D$116,FSA!$A31,BS.data!G$5:G$116)</f>
        <v/>
      </c>
      <c r="F31" s="381">
        <f>SUMIF(BS.data!$D$5:$D$116,FSA!$A31,BS.data!H$5:H$116)</f>
        <v/>
      </c>
      <c r="G31" s="381">
        <f>SUMIF(BS.data!$D$5:$D$116,FSA!$A31,BS.data!I$5:I$116)</f>
        <v/>
      </c>
      <c r="H31" s="381">
        <f>SUMIF(BS.data!$D$5:$D$116,FSA!$A31,BS.data!J$5:J$116)</f>
        <v/>
      </c>
      <c r="I31" s="381">
        <f>SUMIF(BS.data!$D$5:$D$116,FSA!$A31,BS.data!K$5:K$116)</f>
        <v/>
      </c>
      <c r="J31" s="381">
        <f>SUMIF(BS.data!$D$5:$D$116,FSA!$A31,BS.data!L$5:L$116)</f>
        <v/>
      </c>
      <c r="K31" s="382" t="n"/>
      <c r="L31" s="262" t="inlineStr">
        <is>
          <t>Gross Profit / Sales</t>
        </is>
      </c>
      <c r="N31" s="384">
        <f>C9/C7</f>
        <v/>
      </c>
      <c r="O31" s="384">
        <f>D9/D7</f>
        <v/>
      </c>
      <c r="P31" s="384">
        <f>E9/E7</f>
        <v/>
      </c>
      <c r="Q31" s="384">
        <f>F9/F7</f>
        <v/>
      </c>
      <c r="R31" s="384">
        <f>G9/G7</f>
        <v/>
      </c>
      <c r="S31" s="384">
        <f>H9/H7</f>
        <v/>
      </c>
      <c r="T31" s="384">
        <f>I9/I7</f>
        <v/>
      </c>
      <c r="U31" s="384">
        <f>J9/J7</f>
        <v/>
      </c>
    </row>
    <row r="32">
      <c r="A32" s="237" t="inlineStr">
        <is>
          <t>Prepayment to Suppliers</t>
        </is>
      </c>
      <c r="C32" s="381">
        <f>SUMIF(BS.data!$D$5:$D$116,FSA!$A32,BS.data!E$5:E$116)</f>
        <v/>
      </c>
      <c r="D32" s="381">
        <f>SUMIF(BS.data!$D$5:$D$116,FSA!$A32,BS.data!F$5:F$116)</f>
        <v/>
      </c>
      <c r="E32" s="381">
        <f>SUMIF(BS.data!$D$5:$D$116,FSA!$A32,BS.data!G$5:G$116)</f>
        <v/>
      </c>
      <c r="F32" s="381">
        <f>SUMIF(BS.data!$D$5:$D$116,FSA!$A32,BS.data!H$5:H$116)</f>
        <v/>
      </c>
      <c r="G32" s="381">
        <f>SUMIF(BS.data!$D$5:$D$116,FSA!$A32,BS.data!I$5:I$116)</f>
        <v/>
      </c>
      <c r="H32" s="381">
        <f>SUMIF(BS.data!$D$5:$D$116,FSA!$A32,BS.data!J$5:J$116)</f>
        <v/>
      </c>
      <c r="I32" s="381">
        <f>SUMIF(BS.data!$D$5:$D$116,FSA!$A32,BS.data!K$5:K$116)</f>
        <v/>
      </c>
      <c r="J32" s="381">
        <f>SUMIF(BS.data!$D$5:$D$116,FSA!$A32,BS.data!L$5:L$116)</f>
        <v/>
      </c>
      <c r="L32" s="301" t="inlineStr">
        <is>
          <t>EBITDA / Sales</t>
        </is>
      </c>
      <c r="M32" s="301" t="n"/>
      <c r="N32" s="385">
        <f>C25/C7</f>
        <v/>
      </c>
      <c r="O32" s="385">
        <f>D25/D7</f>
        <v/>
      </c>
      <c r="P32" s="385">
        <f>E25/E7</f>
        <v/>
      </c>
      <c r="Q32" s="385">
        <f>F25/F7</f>
        <v/>
      </c>
      <c r="R32" s="385">
        <f>G25/G7</f>
        <v/>
      </c>
      <c r="S32" s="385">
        <f>H25/H7</f>
        <v/>
      </c>
      <c r="T32" s="385">
        <f>I25/I7</f>
        <v/>
      </c>
      <c r="U32" s="385">
        <f>J25/J7</f>
        <v/>
      </c>
    </row>
    <row r="33">
      <c r="A33" s="237" t="inlineStr">
        <is>
          <t>Prepaid Expenses</t>
        </is>
      </c>
      <c r="C33" s="381">
        <f>SUMIF(BS.data!$D$5:$D$116,FSA!$A33,BS.data!E$5:E$116)</f>
        <v/>
      </c>
      <c r="D33" s="381">
        <f>SUMIF(BS.data!$D$5:$D$116,FSA!$A33,BS.data!F$5:F$116)</f>
        <v/>
      </c>
      <c r="E33" s="381">
        <f>SUMIF(BS.data!$D$5:$D$116,FSA!$A33,BS.data!G$5:G$116)</f>
        <v/>
      </c>
      <c r="F33" s="381">
        <f>SUMIF(BS.data!$D$5:$D$116,FSA!$A33,BS.data!H$5:H$116)</f>
        <v/>
      </c>
      <c r="G33" s="381">
        <f>SUMIF(BS.data!$D$5:$D$116,FSA!$A33,BS.data!I$5:I$116)</f>
        <v/>
      </c>
      <c r="H33" s="381">
        <f>SUMIF(BS.data!$D$5:$D$116,FSA!$A33,BS.data!J$5:J$116)</f>
        <v/>
      </c>
      <c r="I33" s="381">
        <f>SUMIF(BS.data!$D$5:$D$116,FSA!$A33,BS.data!K$5:K$116)</f>
        <v/>
      </c>
      <c r="J33" s="381">
        <f>SUMIF(BS.data!$D$5:$D$116,FSA!$A33,BS.data!L$5:L$116)</f>
        <v/>
      </c>
      <c r="L33" s="355" t="inlineStr">
        <is>
          <t>FFO / Sales</t>
        </is>
      </c>
      <c r="N33" s="384">
        <f>N10/C7</f>
        <v/>
      </c>
      <c r="O33" s="384">
        <f>O10/D7</f>
        <v/>
      </c>
      <c r="P33" s="384">
        <f>P10/E7</f>
        <v/>
      </c>
      <c r="Q33" s="384">
        <f>Q10/F7</f>
        <v/>
      </c>
      <c r="R33" s="384">
        <f>R10/G7</f>
        <v/>
      </c>
      <c r="S33" s="384">
        <f>S10/H7</f>
        <v/>
      </c>
      <c r="T33" s="384">
        <f>T10/I7</f>
        <v/>
      </c>
      <c r="U33" s="384">
        <f>U10/J7</f>
        <v/>
      </c>
    </row>
    <row r="34">
      <c r="A34" s="367" t="inlineStr">
        <is>
          <t>Other debtors and other assets</t>
        </is>
      </c>
      <c r="B34" s="367" t="n"/>
      <c r="C34" s="381">
        <f>SUMIF(BS.data!$D$5:$D$116,FSA!$A34,BS.data!E$5:E$116)</f>
        <v/>
      </c>
      <c r="D34" s="381">
        <f>SUMIF(BS.data!$D$5:$D$116,FSA!$A34,BS.data!F$5:F$116)</f>
        <v/>
      </c>
      <c r="E34" s="381">
        <f>SUMIF(BS.data!$D$5:$D$116,FSA!$A34,BS.data!G$5:G$116)</f>
        <v/>
      </c>
      <c r="F34" s="381">
        <f>SUMIF(BS.data!$D$5:$D$116,FSA!$A34,BS.data!H$5:H$116)</f>
        <v/>
      </c>
      <c r="G34" s="381">
        <f>SUMIF(BS.data!$D$5:$D$116,FSA!$A34,BS.data!I$5:I$116)</f>
        <v/>
      </c>
      <c r="H34" s="381">
        <f>SUMIF(BS.data!$D$5:$D$116,FSA!$A34,BS.data!J$5:J$116)</f>
        <v/>
      </c>
      <c r="I34" s="381">
        <f>SUMIF(BS.data!$D$5:$D$116,FSA!$A34,BS.data!K$5:K$116)</f>
        <v/>
      </c>
      <c r="J34" s="381">
        <f>SUMIF(BS.data!$D$5:$D$116,FSA!$A34,BS.data!L$5:L$116)</f>
        <v/>
      </c>
      <c r="L34" s="237" t="inlineStr">
        <is>
          <t>ROC</t>
        </is>
      </c>
      <c r="N34" s="285" t="inlineStr">
        <is>
          <t>NA</t>
        </is>
      </c>
      <c r="O34" s="386">
        <f>D16/(AVERAGE(C48+C54,D48+D54))</f>
        <v/>
      </c>
      <c r="P34" s="386">
        <f>E16/(AVERAGE(D48+D54,E48+E54))</f>
        <v/>
      </c>
      <c r="Q34" s="386">
        <f>F16/(AVERAGE(E48+E54,F48+F54))</f>
        <v/>
      </c>
      <c r="R34" s="386">
        <f>G16/(AVERAGE(F48+F54,G48+G54))</f>
        <v/>
      </c>
      <c r="S34" s="386">
        <f>H16/(AVERAGE(G48+G54,H48+H54))</f>
        <v/>
      </c>
      <c r="T34" s="386">
        <f>I16/(AVERAGE(H48+H54,I48+I54))</f>
        <v/>
      </c>
      <c r="U34" s="386">
        <f>J16/(AVERAGE(I48+I54,J48+J54))</f>
        <v/>
      </c>
    </row>
    <row r="35">
      <c r="A35" s="355" t="inlineStr">
        <is>
          <t>Investments and assets for sale</t>
        </is>
      </c>
      <c r="B35" s="381" t="n"/>
      <c r="C35" s="381">
        <f>SUMIF(BS.data!$D$5:$D$116,FSA!$A35,BS.data!E$5:E$116)</f>
        <v/>
      </c>
      <c r="D35" s="381">
        <f>SUMIF(BS.data!$D$5:$D$116,FSA!$A35,BS.data!F$5:F$116)</f>
        <v/>
      </c>
      <c r="E35" s="381">
        <f>SUMIF(BS.data!$D$5:$D$116,FSA!$A35,BS.data!G$5:G$116)</f>
        <v/>
      </c>
      <c r="F35" s="381">
        <f>SUMIF(BS.data!$D$5:$D$116,FSA!$A35,BS.data!H$5:H$116)</f>
        <v/>
      </c>
      <c r="G35" s="381">
        <f>SUMIF(BS.data!$D$5:$D$116,FSA!$A35,BS.data!I$5:I$116)</f>
        <v/>
      </c>
      <c r="H35" s="381">
        <f>SUMIF(BS.data!$D$5:$D$116,FSA!$A35,BS.data!J$5:J$116)</f>
        <v/>
      </c>
      <c r="I35" s="381">
        <f>SUMIF(BS.data!$D$5:$D$116,FSA!$A35,BS.data!K$5:K$116)</f>
        <v/>
      </c>
      <c r="J35" s="381">
        <f>SUMIF(BS.data!$D$5:$D$116,FSA!$A35,BS.data!L$5:L$116)</f>
        <v/>
      </c>
      <c r="L35" s="355" t="inlineStr">
        <is>
          <t>Trade Debtors days on hand</t>
        </is>
      </c>
      <c r="N35" s="285" t="inlineStr">
        <is>
          <t>NA</t>
        </is>
      </c>
      <c r="O35" s="291">
        <f>(AVERAGE(C30:D30)/D7)*365</f>
        <v/>
      </c>
      <c r="P35" s="291">
        <f>(AVERAGE(D30:E30)/E7)*365</f>
        <v/>
      </c>
      <c r="Q35" s="291">
        <f>(AVERAGE(E30:F30)/F7)*365</f>
        <v/>
      </c>
      <c r="R35" s="291">
        <f>(AVERAGE(F30:G30)/G7)*365</f>
        <v/>
      </c>
      <c r="S35" s="291">
        <f>(AVERAGE(G30:H30)/H7)*365</f>
        <v/>
      </c>
      <c r="T35" s="291">
        <f>(AVERAGE(H30:I30)/I7)*365</f>
        <v/>
      </c>
      <c r="U35" s="291">
        <f>(AVERAGE(I30:J30)/J7)*365</f>
        <v/>
      </c>
    </row>
    <row r="36">
      <c r="A36" s="355" t="inlineStr">
        <is>
          <t>Net Fixed Assets</t>
        </is>
      </c>
      <c r="B36" s="367" t="n"/>
      <c r="C36" s="381">
        <f>SUMIF(BS.data!$D$5:$D$116,FSA!$A36,BS.data!E$5:E$116)</f>
        <v/>
      </c>
      <c r="D36" s="381">
        <f>SUMIF(BS.data!$D$5:$D$116,FSA!$A36,BS.data!F$5:F$116)</f>
        <v/>
      </c>
      <c r="E36" s="381">
        <f>SUMIF(BS.data!$D$5:$D$116,FSA!$A36,BS.data!G$5:G$116)</f>
        <v/>
      </c>
      <c r="F36" s="381">
        <f>SUMIF(BS.data!$D$5:$D$116,FSA!$A36,BS.data!H$5:H$116)</f>
        <v/>
      </c>
      <c r="G36" s="381">
        <f>SUMIF(BS.data!$D$5:$D$116,FSA!$A36,BS.data!I$5:I$116)</f>
        <v/>
      </c>
      <c r="H36" s="381">
        <f>SUMIF(BS.data!$D$5:$D$116,FSA!$A36,BS.data!J$5:J$116)</f>
        <v/>
      </c>
      <c r="I36" s="381">
        <f>SUMIF(BS.data!$D$5:$D$116,FSA!$A36,BS.data!K$5:K$116)</f>
        <v/>
      </c>
      <c r="J36" s="381">
        <f>SUMIF(BS.data!$D$5:$D$116,FSA!$A36,BS.data!L$5:L$116)</f>
        <v/>
      </c>
      <c r="L36" s="355" t="inlineStr">
        <is>
          <t>Inventory days on hand</t>
        </is>
      </c>
      <c r="N36" s="285" t="inlineStr">
        <is>
          <t>NA</t>
        </is>
      </c>
      <c r="O36" s="291">
        <f>(AVERAGE(C31:D31)/-D8)*365</f>
        <v/>
      </c>
      <c r="P36" s="291">
        <f>(AVERAGE(D31:E31)/-E8)*365</f>
        <v/>
      </c>
      <c r="Q36" s="291">
        <f>(AVERAGE(E31:F31)/-F8)*365</f>
        <v/>
      </c>
      <c r="R36" s="291">
        <f>(AVERAGE(F31:G31)/-G8)*365</f>
        <v/>
      </c>
      <c r="S36" s="291">
        <f>(AVERAGE(G31:H31)/-H8)*365</f>
        <v/>
      </c>
      <c r="T36" s="291">
        <f>(AVERAGE(H31:I31)/-I8)*365</f>
        <v/>
      </c>
      <c r="U36" s="291">
        <f>(AVERAGE(I31:J31)/-J8)*365</f>
        <v/>
      </c>
    </row>
    <row r="37">
      <c r="A37" s="367" t="inlineStr">
        <is>
          <t>Intangible Assets</t>
        </is>
      </c>
      <c r="B37" s="367" t="n"/>
      <c r="C37" s="381">
        <f>SUMIF(BS.data!$D$5:$D$116,FSA!$A37,BS.data!E$5:E$116)</f>
        <v/>
      </c>
      <c r="D37" s="381">
        <f>SUMIF(BS.data!$D$5:$D$116,FSA!$A37,BS.data!F$5:F$116)</f>
        <v/>
      </c>
      <c r="E37" s="381">
        <f>SUMIF(BS.data!$D$5:$D$116,FSA!$A37,BS.data!G$5:G$116)</f>
        <v/>
      </c>
      <c r="F37" s="381">
        <f>SUMIF(BS.data!$D$5:$D$116,FSA!$A37,BS.data!H$5:H$116)</f>
        <v/>
      </c>
      <c r="G37" s="381">
        <f>SUMIF(BS.data!$D$5:$D$116,FSA!$A37,BS.data!I$5:I$116)</f>
        <v/>
      </c>
      <c r="H37" s="381">
        <f>SUMIF(BS.data!$D$5:$D$116,FSA!$A37,BS.data!J$5:J$116)</f>
        <v/>
      </c>
      <c r="I37" s="381">
        <f>SUMIF(BS.data!$D$5:$D$116,FSA!$A37,BS.data!K$5:K$116)</f>
        <v/>
      </c>
      <c r="J37" s="381">
        <f>SUMIF(BS.data!$D$5:$D$116,FSA!$A37,BS.data!L$5:L$116)</f>
        <v/>
      </c>
      <c r="L37" s="355" t="inlineStr">
        <is>
          <t>Trade Creditor days on hand</t>
        </is>
      </c>
      <c r="N37" s="285" t="inlineStr">
        <is>
          <t>NA</t>
        </is>
      </c>
      <c r="O37" s="291">
        <f>(AVERAGE(C40:D40)/-D8)*365</f>
        <v/>
      </c>
      <c r="P37" s="291">
        <f>(AVERAGE(D40:E40)/-E8)*365</f>
        <v/>
      </c>
      <c r="Q37" s="291">
        <f>(AVERAGE(E40:F40)/-F8)*365</f>
        <v/>
      </c>
      <c r="R37" s="291">
        <f>(AVERAGE(F40:G40)/-G8)*365</f>
        <v/>
      </c>
      <c r="S37" s="291">
        <f>(AVERAGE(G40:H40)/-H8)*365</f>
        <v/>
      </c>
      <c r="T37" s="291">
        <f>(AVERAGE(H40:I40)/-I8)*365</f>
        <v/>
      </c>
      <c r="U37" s="291">
        <f>(AVERAGE(I40:J40)/-J8)*365</f>
        <v/>
      </c>
    </row>
    <row r="38">
      <c r="A38" s="354" t="inlineStr">
        <is>
          <t>Assets</t>
        </is>
      </c>
      <c r="B38" s="354" t="n"/>
      <c r="C38" s="387">
        <f>SUM(C29:C37)</f>
        <v/>
      </c>
      <c r="D38" s="387">
        <f>SUM(D29:D37)</f>
        <v/>
      </c>
      <c r="E38" s="387">
        <f>SUM(E29:E37)</f>
        <v/>
      </c>
      <c r="F38" s="387">
        <f>SUM(F29:F37)</f>
        <v/>
      </c>
      <c r="G38" s="387">
        <f>SUM(G29:G37)</f>
        <v/>
      </c>
      <c r="H38" s="387">
        <f>SUM(H29:H37)</f>
        <v/>
      </c>
      <c r="I38" s="387">
        <f>SUM(I29:I37)</f>
        <v/>
      </c>
      <c r="J38" s="387">
        <f>SUM(J29:J37)</f>
        <v/>
      </c>
      <c r="L38" s="301" t="inlineStr">
        <is>
          <t>Net Working Capital</t>
        </is>
      </c>
      <c r="M38" s="301" t="n"/>
      <c r="N38" s="388">
        <f>(C30+C31+C32+C33-C40-C41-C42-C43)</f>
        <v/>
      </c>
      <c r="O38" s="388">
        <f>(D30+D31+D32+D33-D40-D41-D42-D43)</f>
        <v/>
      </c>
      <c r="P38" s="388">
        <f>(E30+E31+E32+E33-E40-E41-E42-E43)</f>
        <v/>
      </c>
      <c r="Q38" s="388">
        <f>(F30+F31+F32+F33-F40-F41-F42-F43)</f>
        <v/>
      </c>
      <c r="R38" s="388">
        <f>(G30+G31+G32+G33-G40-G41-G42-G43)</f>
        <v/>
      </c>
      <c r="S38" s="388">
        <f>(H30+H31+H32+H33-H40-H41-H42-H43)</f>
        <v/>
      </c>
      <c r="T38" s="388">
        <f>(I30+I31+I32+I33-I40-I41-I42-I43)</f>
        <v/>
      </c>
      <c r="U38" s="388">
        <f>(J30+J31+J32+J33-J40-J41-J42-J43)</f>
        <v/>
      </c>
    </row>
    <row r="39">
      <c r="A39" s="354" t="n"/>
      <c r="B39" s="354" t="n"/>
      <c r="C39" s="387" t="n"/>
      <c r="D39" s="387" t="n"/>
      <c r="E39" s="387" t="n"/>
      <c r="F39" s="387" t="n"/>
      <c r="G39" s="387" t="n"/>
      <c r="H39" s="387" t="n"/>
      <c r="I39" s="387" t="n"/>
      <c r="J39" s="387" t="n"/>
      <c r="L39" s="301" t="inlineStr">
        <is>
          <t>Average NWC / Sales</t>
        </is>
      </c>
      <c r="N39" s="294" t="inlineStr">
        <is>
          <t>NA</t>
        </is>
      </c>
      <c r="O39" s="295">
        <f>(O38+N38)/2/D7</f>
        <v/>
      </c>
      <c r="P39" s="295">
        <f>(P38+O38)/2/E7</f>
        <v/>
      </c>
      <c r="Q39" s="295">
        <f>(Q38+P38)/2/F7</f>
        <v/>
      </c>
      <c r="R39" s="295">
        <f>(R38+Q38)/2/G7</f>
        <v/>
      </c>
      <c r="S39" s="295">
        <f>(S38+R38)/2/H7</f>
        <v/>
      </c>
      <c r="T39" s="295">
        <f>(T38+S38)/2/I7</f>
        <v/>
      </c>
      <c r="U39" s="295">
        <f>(U38+T38)/2/J7</f>
        <v/>
      </c>
    </row>
    <row r="40">
      <c r="A40" s="367" t="inlineStr">
        <is>
          <t>Trade Creditors (Accounts Payable)</t>
        </is>
      </c>
      <c r="B40" s="367" t="n"/>
      <c r="C40" s="381">
        <f>SUMIF(BS.data!$D$5:$D$116,FSA!$A40,BS.data!E$5:E$116)</f>
        <v/>
      </c>
      <c r="D40" s="381">
        <f>SUMIF(BS.data!$D$5:$D$116,FSA!$A40,BS.data!F$5:F$116)</f>
        <v/>
      </c>
      <c r="E40" s="381">
        <f>SUMIF(BS.data!$D$5:$D$116,FSA!$A40,BS.data!G$5:G$116)</f>
        <v/>
      </c>
      <c r="F40" s="381">
        <f>SUMIF(BS.data!$D$5:$D$116,FSA!$A40,BS.data!H$5:H$116)</f>
        <v/>
      </c>
      <c r="G40" s="381">
        <f>SUMIF(BS.data!$D$5:$D$116,FSA!$A40,BS.data!I$5:I$116)</f>
        <v/>
      </c>
      <c r="H40" s="381">
        <f>SUMIF(BS.data!$D$5:$D$116,FSA!$A40,BS.data!J$5:J$116)</f>
        <v/>
      </c>
      <c r="I40" s="381">
        <f>SUMIF(BS.data!$D$5:$D$116,FSA!$A40,BS.data!K$5:K$116)</f>
        <v/>
      </c>
      <c r="J40" s="381">
        <f>SUMIF(BS.data!$D$5:$D$116,FSA!$A40,BS.data!L$5:L$116)</f>
        <v/>
      </c>
      <c r="L40" s="301" t="inlineStr">
        <is>
          <t>Sales / Net Fixed Assets</t>
        </is>
      </c>
      <c r="M40" s="301" t="n"/>
      <c r="N40" s="285" t="inlineStr">
        <is>
          <t>NA</t>
        </is>
      </c>
      <c r="O40" s="389">
        <f>D7/AVERAGE(C36:D36)</f>
        <v/>
      </c>
      <c r="P40" s="389">
        <f>E7/AVERAGE(D36:E36)</f>
        <v/>
      </c>
      <c r="Q40" s="389">
        <f>F7/AVERAGE(E36:F36)</f>
        <v/>
      </c>
      <c r="R40" s="389">
        <f>G7/AVERAGE(F36:G36)</f>
        <v/>
      </c>
      <c r="S40" s="389">
        <f>H7/AVERAGE(G36:H36)</f>
        <v/>
      </c>
      <c r="T40" s="389">
        <f>I7/AVERAGE(H36:I36)</f>
        <v/>
      </c>
      <c r="U40" s="389">
        <f>J7/AVERAGE(I36:J36)</f>
        <v/>
      </c>
    </row>
    <row r="41">
      <c r="A41" s="367" t="inlineStr">
        <is>
          <t>Accrued Expenses</t>
        </is>
      </c>
      <c r="B41" s="367" t="n"/>
      <c r="C41" s="381">
        <f>SUMIF(BS.data!$D$5:$D$116,FSA!$A41,BS.data!E$5:E$116)</f>
        <v/>
      </c>
      <c r="D41" s="381">
        <f>SUMIF(BS.data!$D$5:$D$116,FSA!$A41,BS.data!F$5:F$116)</f>
        <v/>
      </c>
      <c r="E41" s="381">
        <f>SUMIF(BS.data!$D$5:$D$116,FSA!$A41,BS.data!G$5:G$116)</f>
        <v/>
      </c>
      <c r="F41" s="381">
        <f>SUMIF(BS.data!$D$5:$D$116,FSA!$A41,BS.data!H$5:H$116)</f>
        <v/>
      </c>
      <c r="G41" s="381">
        <f>SUMIF(BS.data!$D$5:$D$116,FSA!$A41,BS.data!I$5:I$116)</f>
        <v/>
      </c>
      <c r="H41" s="381">
        <f>SUMIF(BS.data!$D$5:$D$116,FSA!$A41,BS.data!J$5:J$116)</f>
        <v/>
      </c>
      <c r="I41" s="381">
        <f>SUMIF(BS.data!$D$5:$D$116,FSA!$A41,BS.data!K$5:K$116)</f>
        <v/>
      </c>
      <c r="J41" s="381">
        <f>SUMIF(BS.data!$D$5:$D$116,FSA!$A41,BS.data!L$5:L$116)</f>
        <v/>
      </c>
      <c r="L41" s="301" t="inlineStr">
        <is>
          <t>Gross Capex Tang and Intang Assets / Depr and Amort</t>
        </is>
      </c>
      <c r="M41" s="301" t="n"/>
      <c r="N41" s="301">
        <f>-N13/C21</f>
        <v/>
      </c>
      <c r="O41" s="301">
        <f>-O13/D21</f>
        <v/>
      </c>
      <c r="P41" s="301">
        <f>-P13/E21</f>
        <v/>
      </c>
      <c r="Q41" s="301">
        <f>-Q13/F21</f>
        <v/>
      </c>
      <c r="R41" s="301">
        <f>-R13/G21</f>
        <v/>
      </c>
      <c r="S41" s="301">
        <f>-S13/H21</f>
        <v/>
      </c>
      <c r="T41" s="301">
        <f>-T13/I21</f>
        <v/>
      </c>
      <c r="U41" s="301">
        <f>-U13/J21</f>
        <v/>
      </c>
    </row>
    <row r="42">
      <c r="A42" s="367" t="inlineStr">
        <is>
          <t>Customers advances</t>
        </is>
      </c>
      <c r="C42" s="381">
        <f>SUMIF(BS.data!$D$5:$D$116,FSA!$A42,BS.data!E$5:E$116)</f>
        <v/>
      </c>
      <c r="D42" s="381">
        <f>SUMIF(BS.data!$D$5:$D$116,FSA!$A42,BS.data!F$5:F$116)</f>
        <v/>
      </c>
      <c r="E42" s="381">
        <f>SUMIF(BS.data!$D$5:$D$116,FSA!$A42,BS.data!G$5:G$116)</f>
        <v/>
      </c>
      <c r="F42" s="381">
        <f>SUMIF(BS.data!$D$5:$D$116,FSA!$A42,BS.data!H$5:H$116)</f>
        <v/>
      </c>
      <c r="G42" s="381">
        <f>SUMIF(BS.data!$D$5:$D$116,FSA!$A42,BS.data!I$5:I$116)</f>
        <v/>
      </c>
      <c r="H42" s="381">
        <f>SUMIF(BS.data!$D$5:$D$116,FSA!$A42,BS.data!J$5:J$116)</f>
        <v/>
      </c>
      <c r="I42" s="381">
        <f>SUMIF(BS.data!$D$5:$D$116,FSA!$A42,BS.data!K$5:K$116)</f>
        <v/>
      </c>
      <c r="J42" s="381">
        <f>SUMIF(BS.data!$D$5:$D$116,FSA!$A42,BS.data!L$5:L$116)</f>
        <v/>
      </c>
      <c r="L42" s="301" t="inlineStr">
        <is>
          <t>Gross Capital Expenditure / Sales</t>
        </is>
      </c>
      <c r="N42" s="308">
        <f>-N13/C7</f>
        <v/>
      </c>
      <c r="O42" s="308">
        <f>-O13/D7</f>
        <v/>
      </c>
      <c r="P42" s="308">
        <f>-P13/E7</f>
        <v/>
      </c>
      <c r="Q42" s="308">
        <f>-Q13/F7</f>
        <v/>
      </c>
      <c r="R42" s="308">
        <f>-R13/G7</f>
        <v/>
      </c>
      <c r="S42" s="308">
        <f>-S13/H7</f>
        <v/>
      </c>
      <c r="T42" s="308">
        <f>-T13/I7</f>
        <v/>
      </c>
      <c r="U42" s="308">
        <f>-U13/J7</f>
        <v/>
      </c>
    </row>
    <row r="43">
      <c r="A43" s="367" t="inlineStr">
        <is>
          <t>Short-term Deferred Income</t>
        </is>
      </c>
      <c r="C43" s="381">
        <f>SUMIF(BS.data!$D$5:$D$116,FSA!$A43,BS.data!E$5:E$116)</f>
        <v/>
      </c>
      <c r="D43" s="381">
        <f>SUMIF(BS.data!$D$5:$D$116,FSA!$A43,BS.data!F$5:F$116)</f>
        <v/>
      </c>
      <c r="E43" s="381">
        <f>SUMIF(BS.data!$D$5:$D$116,FSA!$A43,BS.data!G$5:G$116)</f>
        <v/>
      </c>
      <c r="F43" s="381">
        <f>SUMIF(BS.data!$D$5:$D$116,FSA!$A43,BS.data!H$5:H$116)</f>
        <v/>
      </c>
      <c r="G43" s="381">
        <f>SUMIF(BS.data!$D$5:$D$116,FSA!$A43,BS.data!I$5:I$116)</f>
        <v/>
      </c>
      <c r="H43" s="381">
        <f>SUMIF(BS.data!$D$5:$D$116,FSA!$A43,BS.data!J$5:J$116)</f>
        <v/>
      </c>
      <c r="I43" s="381">
        <f>SUMIF(BS.data!$D$5:$D$116,FSA!$A43,BS.data!K$5:K$116)</f>
        <v/>
      </c>
      <c r="J43" s="381">
        <f>SUMIF(BS.data!$D$5:$D$116,FSA!$A43,BS.data!L$5:L$116)</f>
        <v/>
      </c>
      <c r="L43" s="301" t="n"/>
      <c r="M43" s="301" t="n"/>
      <c r="N43" s="388" t="n"/>
      <c r="O43" s="388" t="n"/>
      <c r="P43" s="388" t="n"/>
      <c r="Q43" s="388" t="n"/>
      <c r="R43" s="388" t="n"/>
      <c r="S43" s="388" t="n"/>
      <c r="T43" s="388" t="n"/>
      <c r="U43" s="388" t="n"/>
    </row>
    <row r="44">
      <c r="A44" s="367" t="inlineStr">
        <is>
          <t>Other Creditors and Provisions</t>
        </is>
      </c>
      <c r="B44" s="367" t="n"/>
      <c r="C44" s="381">
        <f>SUMIF(BS.data!$D$5:$D$116,FSA!$A44,BS.data!E$5:E$116)</f>
        <v/>
      </c>
      <c r="D44" s="381">
        <f>SUMIF(BS.data!$D$5:$D$116,FSA!$A44,BS.data!F$5:F$116)</f>
        <v/>
      </c>
      <c r="E44" s="381">
        <f>SUMIF(BS.data!$D$5:$D$116,FSA!$A44,BS.data!G$5:G$116)</f>
        <v/>
      </c>
      <c r="F44" s="381">
        <f>SUMIF(BS.data!$D$5:$D$116,FSA!$A44,BS.data!H$5:H$116)</f>
        <v/>
      </c>
      <c r="G44" s="381">
        <f>SUMIF(BS.data!$D$5:$D$116,FSA!$A44,BS.data!I$5:I$116)</f>
        <v/>
      </c>
      <c r="H44" s="381">
        <f>SUMIF(BS.data!$D$5:$D$116,FSA!$A44,BS.data!J$5:J$116)</f>
        <v/>
      </c>
      <c r="I44" s="381">
        <f>SUMIF(BS.data!$D$5:$D$116,FSA!$A44,BS.data!K$5:K$116)</f>
        <v/>
      </c>
      <c r="J44" s="381">
        <f>SUMIF(BS.data!$D$5:$D$116,FSA!$A44,BS.data!L$5:L$116)</f>
        <v/>
      </c>
      <c r="L44" s="298" t="inlineStr">
        <is>
          <t>Gross Debt</t>
        </is>
      </c>
    </row>
    <row r="45">
      <c r="A45" s="367" t="inlineStr">
        <is>
          <t>Tax Payable</t>
        </is>
      </c>
      <c r="B45" s="367" t="n"/>
      <c r="C45" s="381">
        <f>SUMIF(BS.data!$D$5:$D$116,FSA!$A45,BS.data!E$5:E$116)</f>
        <v/>
      </c>
      <c r="D45" s="381">
        <f>SUMIF(BS.data!$D$5:$D$116,FSA!$A45,BS.data!F$5:F$116)</f>
        <v/>
      </c>
      <c r="E45" s="381">
        <f>SUMIF(BS.data!$D$5:$D$116,FSA!$A45,BS.data!G$5:G$116)</f>
        <v/>
      </c>
      <c r="F45" s="381">
        <f>SUMIF(BS.data!$D$5:$D$116,FSA!$A45,BS.data!H$5:H$116)</f>
        <v/>
      </c>
      <c r="G45" s="381">
        <f>SUMIF(BS.data!$D$5:$D$116,FSA!$A45,BS.data!I$5:I$116)</f>
        <v/>
      </c>
      <c r="H45" s="381">
        <f>SUMIF(BS.data!$D$5:$D$116,FSA!$A45,BS.data!J$5:J$116)</f>
        <v/>
      </c>
      <c r="I45" s="381">
        <f>SUMIF(BS.data!$D$5:$D$116,FSA!$A45,BS.data!K$5:K$116)</f>
        <v/>
      </c>
      <c r="J45" s="381">
        <f>SUMIF(BS.data!$D$5:$D$116,FSA!$A45,BS.data!L$5:L$116)</f>
        <v/>
      </c>
      <c r="L45" s="301" t="inlineStr">
        <is>
          <t>Debt / Equity</t>
        </is>
      </c>
      <c r="M45" s="299" t="n"/>
      <c r="N45" s="300">
        <f>C48/C54</f>
        <v/>
      </c>
      <c r="O45" s="300">
        <f>D48/D54</f>
        <v/>
      </c>
      <c r="P45" s="300">
        <f>E48/E54</f>
        <v/>
      </c>
      <c r="Q45" s="300">
        <f>F48/F54</f>
        <v/>
      </c>
      <c r="R45" s="300">
        <f>G48/G54</f>
        <v/>
      </c>
      <c r="S45" s="300">
        <f>H48/H54</f>
        <v/>
      </c>
      <c r="T45" s="300">
        <f>I48/I54</f>
        <v/>
      </c>
      <c r="U45" s="300">
        <f>J48/J54</f>
        <v/>
      </c>
    </row>
    <row r="46">
      <c r="A46" s="367" t="inlineStr">
        <is>
          <t>Short Term Debt*</t>
        </is>
      </c>
      <c r="B46" s="367" t="n"/>
      <c r="C46" s="381">
        <f>SUMIF(BS.data!$D$5:$D$116,FSA!$A46,BS.data!E$5:E$116)</f>
        <v/>
      </c>
      <c r="D46" s="381">
        <f>SUMIF(BS.data!$D$5:$D$116,FSA!$A46,BS.data!F$5:F$116)</f>
        <v/>
      </c>
      <c r="E46" s="381">
        <f>SUMIF(BS.data!$D$5:$D$116,FSA!$A46,BS.data!G$5:G$116)</f>
        <v/>
      </c>
      <c r="F46" s="381">
        <f>SUMIF(BS.data!$D$5:$D$116,FSA!$A46,BS.data!H$5:H$116)</f>
        <v/>
      </c>
      <c r="G46" s="381">
        <f>SUMIF(BS.data!$D$5:$D$116,FSA!$A46,BS.data!I$5:I$116)</f>
        <v/>
      </c>
      <c r="H46" s="381">
        <f>SUMIF(BS.data!$D$5:$D$116,FSA!$A46,BS.data!J$5:J$116)</f>
        <v/>
      </c>
      <c r="I46" s="381">
        <f>SUMIF(BS.data!$D$5:$D$116,FSA!$A46,BS.data!K$5:K$116)</f>
        <v/>
      </c>
      <c r="J46" s="381">
        <f>SUMIF(BS.data!$D$5:$D$116,FSA!$A46,BS.data!L$5:L$116)</f>
        <v/>
      </c>
      <c r="K46" s="382" t="n"/>
      <c r="L46" s="355" t="inlineStr">
        <is>
          <t>Equity / Total Liabilities</t>
        </is>
      </c>
      <c r="M46" s="355" t="n"/>
      <c r="N46" s="301">
        <f>C54/C49</f>
        <v/>
      </c>
      <c r="O46" s="301">
        <f>D54/D49</f>
        <v/>
      </c>
      <c r="P46" s="301">
        <f>E54/E49</f>
        <v/>
      </c>
      <c r="Q46" s="301">
        <f>F54/F49</f>
        <v/>
      </c>
      <c r="R46" s="301">
        <f>G54/G49</f>
        <v/>
      </c>
      <c r="S46" s="301">
        <f>H54/H49</f>
        <v/>
      </c>
      <c r="T46" s="301">
        <f>I54/I49</f>
        <v/>
      </c>
      <c r="U46" s="301">
        <f>J54/J49</f>
        <v/>
      </c>
    </row>
    <row r="47">
      <c r="A47" s="367" t="inlineStr">
        <is>
          <t>Existing Long Term Debt and Financial Leases</t>
        </is>
      </c>
      <c r="B47" s="367" t="n"/>
      <c r="C47" s="381">
        <f>SUMIF(BS.data!$D$5:$D$116,FSA!$A47,BS.data!E$5:E$116)</f>
        <v/>
      </c>
      <c r="D47" s="381">
        <f>SUMIF(BS.data!$D$5:$D$116,FSA!$A47,BS.data!F$5:F$116)</f>
        <v/>
      </c>
      <c r="E47" s="381">
        <f>SUMIF(BS.data!$D$5:$D$116,FSA!$A47,BS.data!G$5:G$116)</f>
        <v/>
      </c>
      <c r="F47" s="381">
        <f>SUMIF(BS.data!$D$5:$D$116,FSA!$A47,BS.data!H$5:H$116)</f>
        <v/>
      </c>
      <c r="G47" s="381">
        <f>SUMIF(BS.data!$D$5:$D$116,FSA!$A47,BS.data!I$5:I$116)</f>
        <v/>
      </c>
      <c r="H47" s="381">
        <f>SUMIF(BS.data!$D$5:$D$116,FSA!$A47,BS.data!J$5:J$116)</f>
        <v/>
      </c>
      <c r="I47" s="381">
        <f>SUMIF(BS.data!$D$5:$D$116,FSA!$A47,BS.data!K$5:K$116)</f>
        <v/>
      </c>
      <c r="J47" s="381">
        <f>SUMIF(BS.data!$D$5:$D$116,FSA!$A47,BS.data!L$5:L$116)</f>
        <v/>
      </c>
      <c r="L47" s="355" t="inlineStr">
        <is>
          <t>Adj Debt / EBITDAR *</t>
        </is>
      </c>
      <c r="M47" s="355" t="n"/>
      <c r="N47" s="390">
        <f>((C24*8)+C48)/C26</f>
        <v/>
      </c>
      <c r="O47" s="390">
        <f>((D24*8)+D48)/D26</f>
        <v/>
      </c>
      <c r="P47" s="390">
        <f>((E24*8)+E48)/E26</f>
        <v/>
      </c>
      <c r="Q47" s="390">
        <f>((F24*8)+F48)/F26</f>
        <v/>
      </c>
      <c r="R47" s="390">
        <f>((G24*8)+G48)/G26</f>
        <v/>
      </c>
      <c r="S47" s="390">
        <f>((H24*8)+H48)/H26</f>
        <v/>
      </c>
      <c r="T47" s="390">
        <f>((I24*8)+I48)/I26</f>
        <v/>
      </c>
      <c r="U47" s="390">
        <f>((J24*8)+J48)/J26</f>
        <v/>
      </c>
    </row>
    <row r="48">
      <c r="A48" s="354" t="inlineStr">
        <is>
          <t>Total Debt</t>
        </is>
      </c>
      <c r="B48" s="354" t="n"/>
      <c r="C48" s="387">
        <f>C46+C47</f>
        <v/>
      </c>
      <c r="D48" s="387">
        <f>D46+D47</f>
        <v/>
      </c>
      <c r="E48" s="387">
        <f>E46+E47</f>
        <v/>
      </c>
      <c r="F48" s="387">
        <f>F46+F47</f>
        <v/>
      </c>
      <c r="G48" s="387">
        <f>G46+G47</f>
        <v/>
      </c>
      <c r="H48" s="387">
        <f>H46+H47</f>
        <v/>
      </c>
      <c r="I48" s="387">
        <f>I46+I47</f>
        <v/>
      </c>
      <c r="J48" s="387">
        <f>J46+J47</f>
        <v/>
      </c>
      <c r="L48" s="355" t="inlineStr">
        <is>
          <t>FFO / Debt</t>
        </is>
      </c>
      <c r="N48" s="300">
        <f>N10/C48</f>
        <v/>
      </c>
      <c r="O48" s="300">
        <f>O10/D48</f>
        <v/>
      </c>
      <c r="P48" s="300">
        <f>P10/E48</f>
        <v/>
      </c>
      <c r="Q48" s="300">
        <f>Q10/F48</f>
        <v/>
      </c>
      <c r="R48" s="300">
        <f>R10/G48</f>
        <v/>
      </c>
      <c r="S48" s="300">
        <f>S10/H48</f>
        <v/>
      </c>
      <c r="T48" s="300">
        <f>T10/I48</f>
        <v/>
      </c>
      <c r="U48" s="300">
        <f>U10/J48</f>
        <v/>
      </c>
    </row>
    <row r="49">
      <c r="A49" s="354" t="inlineStr">
        <is>
          <t>Total Liabilities</t>
        </is>
      </c>
      <c r="B49" s="354" t="n"/>
      <c r="C49" s="387">
        <f>SUM(C40:C47)</f>
        <v/>
      </c>
      <c r="D49" s="387">
        <f>SUM(D40:D47)</f>
        <v/>
      </c>
      <c r="E49" s="387">
        <f>SUM(E40:E47)</f>
        <v/>
      </c>
      <c r="F49" s="387">
        <f>SUM(F40:F47)</f>
        <v/>
      </c>
      <c r="G49" s="387">
        <f>SUM(G40:G47)</f>
        <v/>
      </c>
      <c r="H49" s="387">
        <f>SUM(H40:H47)</f>
        <v/>
      </c>
      <c r="I49" s="387">
        <f>SUM(I40:I47)</f>
        <v/>
      </c>
      <c r="J49" s="387">
        <f>SUM(J40:J47)</f>
        <v/>
      </c>
      <c r="L49" s="355" t="inlineStr">
        <is>
          <t>CFO / Debt</t>
        </is>
      </c>
      <c r="N49" s="300">
        <f>N12/C48</f>
        <v/>
      </c>
      <c r="O49" s="300">
        <f>O12/D48</f>
        <v/>
      </c>
      <c r="P49" s="300">
        <f>P12/E48</f>
        <v/>
      </c>
      <c r="Q49" s="300">
        <f>Q12/F48</f>
        <v/>
      </c>
      <c r="R49" s="300">
        <f>R12/G48</f>
        <v/>
      </c>
      <c r="S49" s="300">
        <f>S12/H48</f>
        <v/>
      </c>
      <c r="T49" s="300">
        <f>T12/I48</f>
        <v/>
      </c>
      <c r="U49" s="300">
        <f>U12/J48</f>
        <v/>
      </c>
    </row>
    <row r="50">
      <c r="L50" s="355" t="inlineStr">
        <is>
          <t>FOCF / Debt</t>
        </is>
      </c>
      <c r="M50" s="355" t="n"/>
      <c r="N50" s="300">
        <f>N14/C48</f>
        <v/>
      </c>
      <c r="O50" s="300">
        <f>O14/D48</f>
        <v/>
      </c>
      <c r="P50" s="300">
        <f>P14/E48</f>
        <v/>
      </c>
      <c r="Q50" s="300">
        <f>Q14/F48</f>
        <v/>
      </c>
      <c r="R50" s="300">
        <f>R14/G48</f>
        <v/>
      </c>
      <c r="S50" s="300">
        <f>S14/H48</f>
        <v/>
      </c>
      <c r="T50" s="300">
        <f>T14/I48</f>
        <v/>
      </c>
      <c r="U50" s="300">
        <f>U14/J48</f>
        <v/>
      </c>
    </row>
    <row r="51">
      <c r="A51" s="367" t="inlineStr">
        <is>
          <t>Share Capital and Reserves</t>
        </is>
      </c>
      <c r="B51" s="367" t="n"/>
      <c r="C51" s="381">
        <f>SUMIF(BS.data!$D$5:$D$116,FSA!$A51,BS.data!E$5:E$116)</f>
        <v/>
      </c>
      <c r="D51" s="381">
        <f>SUMIF(BS.data!$D$5:$D$116,FSA!$A51,BS.data!F$5:F$116)</f>
        <v/>
      </c>
      <c r="E51" s="381">
        <f>SUMIF(BS.data!$D$5:$D$116,FSA!$A51,BS.data!G$5:G$116)</f>
        <v/>
      </c>
      <c r="F51" s="381">
        <f>SUMIF(BS.data!$D$5:$D$116,FSA!$A51,BS.data!H$5:H$116)</f>
        <v/>
      </c>
      <c r="G51" s="381">
        <f>SUMIF(BS.data!$D$5:$D$116,FSA!$A51,BS.data!I$5:I$116)</f>
        <v/>
      </c>
      <c r="H51" s="381">
        <f>SUMIF(BS.data!$D$5:$D$116,FSA!$A51,BS.data!J$5:J$116)</f>
        <v/>
      </c>
      <c r="I51" s="381">
        <f>SUMIF(BS.data!$D$5:$D$116,FSA!$A51,BS.data!K$5:K$116)</f>
        <v/>
      </c>
      <c r="J51" s="381">
        <f>SUMIF(BS.data!$D$5:$D$116,FSA!$A51,BS.data!L$5:L$116)</f>
        <v/>
      </c>
      <c r="L51" s="355" t="inlineStr">
        <is>
          <t>DCF / Debt</t>
        </is>
      </c>
      <c r="M51" s="355" t="n"/>
      <c r="N51" s="300">
        <f>N17/C48</f>
        <v/>
      </c>
      <c r="O51" s="300">
        <f>O17/D48</f>
        <v/>
      </c>
      <c r="P51" s="300">
        <f>P17/E48</f>
        <v/>
      </c>
      <c r="Q51" s="300">
        <f>Q17/F48</f>
        <v/>
      </c>
      <c r="R51" s="300">
        <f>R17/G48</f>
        <v/>
      </c>
      <c r="S51" s="300">
        <f>S17/H48</f>
        <v/>
      </c>
      <c r="T51" s="300">
        <f>T17/I48</f>
        <v/>
      </c>
      <c r="U51" s="300">
        <f>U17/J48</f>
        <v/>
      </c>
    </row>
    <row r="52">
      <c r="A52" s="367" t="inlineStr">
        <is>
          <t>Retained Earnings</t>
        </is>
      </c>
      <c r="B52" s="367" t="n"/>
      <c r="C52" s="381">
        <f>SUMIF(BS.data!$D$5:$D$116,FSA!$A52,BS.data!E$5:E$116)</f>
        <v/>
      </c>
      <c r="D52" s="381">
        <f>SUMIF(BS.data!$D$5:$D$116,FSA!$A52,BS.data!F$5:F$116)</f>
        <v/>
      </c>
      <c r="E52" s="381">
        <f>SUMIF(BS.data!$D$5:$D$116,FSA!$A52,BS.data!G$5:G$116)</f>
        <v/>
      </c>
      <c r="F52" s="381">
        <f>SUMIF(BS.data!$D$5:$D$116,FSA!$A52,BS.data!H$5:H$116)</f>
        <v/>
      </c>
      <c r="G52" s="381">
        <f>SUMIF(BS.data!$D$5:$D$116,FSA!$A52,BS.data!I$5:I$116)</f>
        <v/>
      </c>
      <c r="H52" s="381">
        <f>SUMIF(BS.data!$D$5:$D$116,FSA!$A52,BS.data!J$5:J$116)</f>
        <v/>
      </c>
      <c r="I52" s="381">
        <f>SUMIF(BS.data!$D$5:$D$116,FSA!$A52,BS.data!K$5:K$116)</f>
        <v/>
      </c>
      <c r="J52" s="381">
        <f>SUMIF(BS.data!$D$5:$D$116,FSA!$A52,BS.data!L$5:L$116)</f>
        <v/>
      </c>
    </row>
    <row r="53">
      <c r="A53" s="355" t="inlineStr">
        <is>
          <t>Minority Interest</t>
        </is>
      </c>
      <c r="B53" s="355" t="n"/>
      <c r="C53" s="381">
        <f>SUMIF(BS.data!$D$5:$D$116,FSA!$A53,BS.data!E$5:E$116)</f>
        <v/>
      </c>
      <c r="D53" s="381">
        <f>SUMIF(BS.data!$D$5:$D$116,FSA!$A53,BS.data!F$5:F$116)</f>
        <v/>
      </c>
      <c r="E53" s="381">
        <f>SUMIF(BS.data!$D$5:$D$116,FSA!$A53,BS.data!G$5:G$116)</f>
        <v/>
      </c>
      <c r="F53" s="381">
        <f>SUMIF(BS.data!$D$5:$D$116,FSA!$A53,BS.data!H$5:H$116)</f>
        <v/>
      </c>
      <c r="G53" s="381">
        <f>SUMIF(BS.data!$D$5:$D$116,FSA!$A53,BS.data!I$5:I$116)</f>
        <v/>
      </c>
      <c r="H53" s="381">
        <f>SUMIF(BS.data!$D$5:$D$116,FSA!$A53,BS.data!J$5:J$116)</f>
        <v/>
      </c>
      <c r="I53" s="381">
        <f>SUMIF(BS.data!$D$5:$D$116,FSA!$A53,BS.data!K$5:K$116)</f>
        <v/>
      </c>
      <c r="J53" s="381">
        <f>SUMIF(BS.data!$D$5:$D$116,FSA!$A53,BS.data!L$5:L$116)</f>
        <v/>
      </c>
      <c r="L53" s="298" t="inlineStr">
        <is>
          <t>Net Debt</t>
        </is>
      </c>
    </row>
    <row r="54">
      <c r="A54" s="298" t="inlineStr">
        <is>
          <t>Total Equity</t>
        </is>
      </c>
      <c r="C54" s="391">
        <f>SUM(C51:C53)</f>
        <v/>
      </c>
      <c r="D54" s="391">
        <f>SUM(D51:D53)</f>
        <v/>
      </c>
      <c r="E54" s="391">
        <f>SUM(E51:E53)</f>
        <v/>
      </c>
      <c r="F54" s="391">
        <f>SUM(F51:F53)</f>
        <v/>
      </c>
      <c r="G54" s="391">
        <f>SUM(G51:G53)</f>
        <v/>
      </c>
      <c r="H54" s="391">
        <f>SUM(H51:H53)</f>
        <v/>
      </c>
      <c r="I54" s="391">
        <f>SUM(I51:I53)</f>
        <v/>
      </c>
      <c r="J54" s="391">
        <f>SUM(J51:J53)</f>
        <v/>
      </c>
      <c r="L54" s="301" t="inlineStr">
        <is>
          <t>Net Debt / Equity</t>
        </is>
      </c>
      <c r="M54" s="301" t="n"/>
      <c r="N54" s="301">
        <f>(C48-C29)/C54</f>
        <v/>
      </c>
      <c r="O54" s="301">
        <f>(D48-D29)/D54</f>
        <v/>
      </c>
      <c r="P54" s="301">
        <f>(E48-E29)/E54</f>
        <v/>
      </c>
      <c r="Q54" s="301">
        <f>(F48-F29)/F54</f>
        <v/>
      </c>
      <c r="R54" s="301">
        <f>(G48-G29)/G54</f>
        <v/>
      </c>
      <c r="S54" s="301">
        <f>(H48-H29)/H54</f>
        <v/>
      </c>
      <c r="T54" s="301">
        <f>(I48-I29)/I54</f>
        <v/>
      </c>
      <c r="U54" s="301">
        <f>(J48-J29)/J54</f>
        <v/>
      </c>
    </row>
    <row r="55">
      <c r="A55" s="354" t="inlineStr">
        <is>
          <t>Liabilities and Equity</t>
        </is>
      </c>
      <c r="B55" s="354" t="n"/>
      <c r="C55" s="387">
        <f>C54+C49</f>
        <v/>
      </c>
      <c r="D55" s="387">
        <f>D54+D49</f>
        <v/>
      </c>
      <c r="E55" s="387">
        <f>E54+E49</f>
        <v/>
      </c>
      <c r="F55" s="387">
        <f>F54+F49</f>
        <v/>
      </c>
      <c r="G55" s="387">
        <f>G54+G49</f>
        <v/>
      </c>
      <c r="H55" s="387">
        <f>H54+H49</f>
        <v/>
      </c>
      <c r="I55" s="387">
        <f>I54+I49</f>
        <v/>
      </c>
      <c r="J55" s="387">
        <f>J54+J49</f>
        <v/>
      </c>
      <c r="L55" s="355" t="inlineStr">
        <is>
          <t>Net Debt / EBITDA</t>
        </is>
      </c>
      <c r="M55" s="355" t="n"/>
      <c r="N55" s="390">
        <f>(C48-C29)/C25</f>
        <v/>
      </c>
      <c r="O55" s="390">
        <f>(D48-D29)/D25</f>
        <v/>
      </c>
      <c r="P55" s="390">
        <f>(E48-E29)/E25</f>
        <v/>
      </c>
      <c r="Q55" s="390">
        <f>(F48-F29)/F25</f>
        <v/>
      </c>
      <c r="R55" s="390">
        <f>(G48-G29)/G25</f>
        <v/>
      </c>
      <c r="S55" s="390">
        <f>(H48-H29)/H25</f>
        <v/>
      </c>
      <c r="T55" s="390">
        <f>(I48-I29)/I25</f>
        <v/>
      </c>
      <c r="U55" s="390">
        <f>(J48-J29)/J25</f>
        <v/>
      </c>
    </row>
    <row r="56">
      <c r="A56" s="369" t="inlineStr">
        <is>
          <t>Cross check</t>
        </is>
      </c>
      <c r="B56" s="369" t="n"/>
      <c r="C56" s="369">
        <f>C38-C55</f>
        <v/>
      </c>
      <c r="D56" s="369">
        <f>D38-D55</f>
        <v/>
      </c>
      <c r="E56" s="369">
        <f>E38-E55</f>
        <v/>
      </c>
      <c r="F56" s="369">
        <f>F38-F55</f>
        <v/>
      </c>
      <c r="G56" s="369">
        <f>G38-G55</f>
        <v/>
      </c>
      <c r="H56" s="369">
        <f>H38-H55</f>
        <v/>
      </c>
      <c r="I56" s="369">
        <f>I38-I55</f>
        <v/>
      </c>
      <c r="J56" s="369">
        <f>J38-J55</f>
        <v/>
      </c>
      <c r="L56" s="355" t="inlineStr">
        <is>
          <t>Adj Net Debt / EBITDAR *</t>
        </is>
      </c>
      <c r="M56" s="355" t="n"/>
      <c r="N56" s="390">
        <f>((C24*8)+C48-C29)/C26</f>
        <v/>
      </c>
      <c r="O56" s="390">
        <f>((D24*8)+D48-D29)/D26</f>
        <v/>
      </c>
      <c r="P56" s="390">
        <f>((E24*8)+E48-E29)/E26</f>
        <v/>
      </c>
      <c r="Q56" s="390">
        <f>((F24*8)+F48-F29)/F26</f>
        <v/>
      </c>
      <c r="R56" s="390">
        <f>((G24*8)+G48-G29)/G26</f>
        <v/>
      </c>
      <c r="S56" s="390">
        <f>((H24*8)+H48-H29)/H26</f>
        <v/>
      </c>
      <c r="T56" s="390">
        <f>((I24*8)+I48-I29)/I26</f>
        <v/>
      </c>
      <c r="U56" s="390">
        <f>((J24*8)+J48-J29)/J26</f>
        <v/>
      </c>
    </row>
    <row r="57">
      <c r="L57" s="355" t="inlineStr">
        <is>
          <t>FFO / Net Debt</t>
        </is>
      </c>
      <c r="N57" s="300">
        <f>N10/(C48-C29)</f>
        <v/>
      </c>
      <c r="O57" s="300">
        <f>O10/(D48-D29)</f>
        <v/>
      </c>
      <c r="P57" s="300">
        <f>P10/(E48-E29)</f>
        <v/>
      </c>
      <c r="Q57" s="300">
        <f>Q10/(F48-F29)</f>
        <v/>
      </c>
      <c r="R57" s="300">
        <f>R10/(G48-G29)</f>
        <v/>
      </c>
      <c r="S57" s="300">
        <f>S10/(H48-H29)</f>
        <v/>
      </c>
      <c r="T57" s="300">
        <f>T10/(I48-I29)</f>
        <v/>
      </c>
      <c r="U57" s="300">
        <f>U10/(J48-J29)</f>
        <v/>
      </c>
    </row>
    <row r="58">
      <c r="A58" s="392" t="inlineStr">
        <is>
          <t>* Including Current Portion of Long Term Debt</t>
        </is>
      </c>
      <c r="B58" s="393" t="n"/>
      <c r="C58" s="381" t="n"/>
      <c r="D58" s="381" t="n"/>
      <c r="E58" s="381" t="n"/>
      <c r="F58" s="381" t="n"/>
      <c r="G58" s="381" t="n"/>
      <c r="H58" s="381" t="n"/>
      <c r="I58" s="381" t="n"/>
      <c r="J58" s="381" t="n"/>
      <c r="L58" s="355" t="inlineStr">
        <is>
          <t>CFO / Net Debt</t>
        </is>
      </c>
      <c r="N58" s="300">
        <f>N12/(C48-C29)</f>
        <v/>
      </c>
      <c r="O58" s="300">
        <f>O12/(D48-D29)</f>
        <v/>
      </c>
      <c r="P58" s="300">
        <f>P12/(E48-E29)</f>
        <v/>
      </c>
      <c r="Q58" s="300">
        <f>Q12/(F48-F29)</f>
        <v/>
      </c>
      <c r="R58" s="300">
        <f>R12/(G48-G29)</f>
        <v/>
      </c>
      <c r="S58" s="300">
        <f>S12/(H48-H29)</f>
        <v/>
      </c>
      <c r="T58" s="300">
        <f>T12/(I48-I29)</f>
        <v/>
      </c>
      <c r="U58" s="300">
        <f>U12/(J48-J29)</f>
        <v/>
      </c>
    </row>
    <row r="59">
      <c r="A59" s="237" t="inlineStr">
        <is>
          <t xml:space="preserve"># including Stockpiled Inventory (non-current) </t>
        </is>
      </c>
      <c r="C59" s="381" t="n"/>
      <c r="D59" s="381" t="n"/>
      <c r="E59" s="381" t="n"/>
      <c r="F59" s="381" t="n"/>
      <c r="H59" s="381" t="n"/>
      <c r="I59" s="381" t="n"/>
      <c r="J59" s="381" t="n"/>
      <c r="L59" s="355" t="inlineStr">
        <is>
          <t>FOCF / Net Debt</t>
        </is>
      </c>
      <c r="M59" s="355" t="n"/>
      <c r="N59" s="300">
        <f>N14/(C48-C29)</f>
        <v/>
      </c>
      <c r="O59" s="300">
        <f>O14/(D48-D29)</f>
        <v/>
      </c>
      <c r="P59" s="300">
        <f>P14/(E48-E29)</f>
        <v/>
      </c>
      <c r="Q59" s="300">
        <f>Q14/(F48-F29)</f>
        <v/>
      </c>
      <c r="R59" s="300">
        <f>R14/(G48-G29)</f>
        <v/>
      </c>
      <c r="S59" s="300">
        <f>S14/(H48-H29)</f>
        <v/>
      </c>
      <c r="T59" s="300">
        <f>T14/(I48-I29)</f>
        <v/>
      </c>
      <c r="U59" s="300">
        <f>U14/(J48-J29)</f>
        <v/>
      </c>
    </row>
    <row r="60">
      <c r="C60" s="382" t="n"/>
      <c r="D60" s="382" t="n"/>
      <c r="E60" s="382" t="n"/>
      <c r="F60" s="382" t="n"/>
      <c r="G60" s="382" t="n"/>
      <c r="H60" s="382" t="n"/>
      <c r="I60" s="382" t="n"/>
      <c r="J60" s="382" t="n"/>
      <c r="L60" s="355" t="inlineStr">
        <is>
          <t>DCF / Net Debt</t>
        </is>
      </c>
      <c r="M60" s="355" t="n"/>
      <c r="N60" s="300">
        <f>N17/(C48-C29)</f>
        <v/>
      </c>
      <c r="O60" s="300">
        <f>O17/(D48-D29)</f>
        <v/>
      </c>
      <c r="P60" s="300">
        <f>P17/(E48-E29)</f>
        <v/>
      </c>
      <c r="Q60" s="300">
        <f>Q17/(F48-F29)</f>
        <v/>
      </c>
      <c r="R60" s="300">
        <f>R17/(G48-G29)</f>
        <v/>
      </c>
      <c r="S60" s="300">
        <f>S17/(H48-H29)</f>
        <v/>
      </c>
      <c r="T60" s="300">
        <f>T17/(I48-I29)</f>
        <v/>
      </c>
      <c r="U60" s="300">
        <f>U17/(J48-J29)</f>
        <v/>
      </c>
    </row>
    <row r="61">
      <c r="B61" s="394" t="n"/>
      <c r="C61" s="308" t="n"/>
      <c r="D61" s="308" t="n"/>
      <c r="E61" s="308" t="n"/>
      <c r="F61" s="308" t="n"/>
      <c r="G61" s="308" t="n"/>
      <c r="H61" s="308" t="n"/>
      <c r="I61" s="308" t="n"/>
      <c r="J61" s="308" t="n"/>
    </row>
    <row r="62">
      <c r="B62" s="394" t="n"/>
      <c r="C62" s="308" t="n"/>
      <c r="D62" s="308" t="n"/>
      <c r="E62" s="308" t="n"/>
      <c r="F62" s="308" t="n"/>
      <c r="G62" s="308" t="n"/>
      <c r="H62" s="308" t="n"/>
      <c r="I62" s="308" t="n"/>
      <c r="J62" s="308" t="n"/>
      <c r="L62" s="354" t="inlineStr">
        <is>
          <t>Gross Interest</t>
        </is>
      </c>
      <c r="M62" s="355" t="n"/>
      <c r="N62" s="300" t="n"/>
      <c r="O62" s="300" t="n"/>
      <c r="P62" s="300" t="n"/>
      <c r="Q62" s="300" t="n"/>
      <c r="R62" s="300" t="n"/>
      <c r="S62" s="300" t="n"/>
      <c r="T62" s="300" t="n"/>
      <c r="U62" s="300" t="n"/>
    </row>
    <row r="63">
      <c r="B63" s="394" t="n"/>
      <c r="C63" s="308" t="n"/>
      <c r="D63" s="308" t="n"/>
      <c r="E63" s="308" t="n"/>
      <c r="F63" s="308" t="n"/>
      <c r="G63" s="308" t="n"/>
      <c r="H63" s="308" t="n"/>
      <c r="I63" s="308" t="n"/>
      <c r="J63" s="308" t="n"/>
      <c r="L63" s="355" t="inlineStr">
        <is>
          <t>EBIT / Interest Expense</t>
        </is>
      </c>
      <c r="N63" s="390">
        <f>C12/-N8</f>
        <v/>
      </c>
      <c r="O63" s="390">
        <f>D12/-O8</f>
        <v/>
      </c>
      <c r="P63" s="390">
        <f>E12/-P8</f>
        <v/>
      </c>
      <c r="Q63" s="390">
        <f>F12/-Q8</f>
        <v/>
      </c>
      <c r="R63" s="390">
        <f>G12/-R8</f>
        <v/>
      </c>
      <c r="S63" s="390">
        <f>H12/-S8</f>
        <v/>
      </c>
      <c r="T63" s="390">
        <f>I12/-T8</f>
        <v/>
      </c>
      <c r="U63" s="390">
        <f>J12/-U8</f>
        <v/>
      </c>
    </row>
    <row r="64">
      <c r="B64" s="394" t="n"/>
      <c r="C64" s="242" t="n"/>
      <c r="D64" s="242" t="n"/>
      <c r="E64" s="242" t="n"/>
      <c r="F64" s="309" t="n"/>
      <c r="G64" s="309" t="n"/>
      <c r="H64" s="309" t="n"/>
      <c r="I64" s="309" t="n"/>
      <c r="J64" s="309" t="n"/>
      <c r="L64" s="355" t="inlineStr">
        <is>
          <t>EBITDA / Interest Expense</t>
        </is>
      </c>
      <c r="M64" s="355" t="n"/>
      <c r="N64" s="395">
        <f>C25/-N8</f>
        <v/>
      </c>
      <c r="O64" s="395">
        <f>D25/-O8</f>
        <v/>
      </c>
      <c r="P64" s="395">
        <f>E25/-P8</f>
        <v/>
      </c>
      <c r="Q64" s="395">
        <f>F25/-Q8</f>
        <v/>
      </c>
      <c r="R64" s="395">
        <f>G25/-R8</f>
        <v/>
      </c>
      <c r="S64" s="395">
        <f>H25/-S8</f>
        <v/>
      </c>
      <c r="T64" s="395">
        <f>I25/-T8</f>
        <v/>
      </c>
      <c r="U64" s="395">
        <f>J25/-U8</f>
        <v/>
      </c>
    </row>
    <row r="65">
      <c r="B65" s="242" t="n"/>
      <c r="L65" s="237" t="inlineStr">
        <is>
          <t>(FFO + Interest paid) / Interest paid</t>
        </is>
      </c>
      <c r="N65" s="311">
        <f>(N10-N8)/-N8</f>
        <v/>
      </c>
      <c r="O65" s="311">
        <f>(O10-O8)/-O8</f>
        <v/>
      </c>
      <c r="P65" s="311">
        <f>(P10-P8)/-P8</f>
        <v/>
      </c>
      <c r="Q65" s="311">
        <f>(Q10-Q8)/-Q8</f>
        <v/>
      </c>
      <c r="R65" s="311">
        <f>(R10-R8)/-R8</f>
        <v/>
      </c>
      <c r="S65" s="311">
        <f>(S10-S8)/-S8</f>
        <v/>
      </c>
      <c r="T65" s="311">
        <f>(T10-T8)/-T8</f>
        <v/>
      </c>
      <c r="U65" s="311">
        <f>(U10-U8)/-U8</f>
        <v/>
      </c>
    </row>
    <row r="66">
      <c r="B66" s="242" t="n"/>
      <c r="L66" s="301" t="inlineStr">
        <is>
          <t>Debt Service Coverage Ratio**</t>
        </is>
      </c>
      <c r="M66" s="301" t="n"/>
      <c r="N66" s="396" t="inlineStr">
        <is>
          <t>NA</t>
        </is>
      </c>
      <c r="O66" s="390">
        <f>(O12-O8)/(-O8+C58)</f>
        <v/>
      </c>
      <c r="P66" s="390">
        <f>(P12-P8)/(-P8+D58)</f>
        <v/>
      </c>
      <c r="Q66" s="390">
        <f>(Q12-Q8)/(-Q8+E58)</f>
        <v/>
      </c>
      <c r="R66" s="390">
        <f>(R12-R8)/(-R8+F58)</f>
        <v/>
      </c>
      <c r="S66" s="390">
        <f>(S12-S8)/(-S8+G58)</f>
        <v/>
      </c>
      <c r="T66" s="390">
        <f>(T12-T8)/(-T8+H58)</f>
        <v/>
      </c>
      <c r="U66" s="390">
        <f>(U12-U8)/(-U8+I58)</f>
        <v/>
      </c>
    </row>
    <row r="67">
      <c r="B67" s="242" t="n"/>
      <c r="L67" s="301" t="n"/>
      <c r="M67" s="301" t="n"/>
      <c r="N67" s="390" t="n"/>
      <c r="O67" s="390" t="n"/>
      <c r="P67" s="390" t="n"/>
      <c r="Q67" s="390" t="n"/>
      <c r="R67" s="390" t="n"/>
      <c r="S67" s="390" t="n"/>
      <c r="T67" s="390" t="n"/>
      <c r="U67" s="390" t="n"/>
    </row>
    <row r="68">
      <c r="B68" s="242" t="n"/>
      <c r="L68" s="355" t="inlineStr">
        <is>
          <t>* Debt adjusted for op lease by 8x annual op lease expense</t>
        </is>
      </c>
      <c r="M68" s="355" t="n"/>
      <c r="N68" s="355" t="n"/>
      <c r="O68" s="355" t="n"/>
      <c r="P68" s="355" t="n"/>
      <c r="Q68" s="355" t="n"/>
      <c r="R68" s="355" t="n"/>
    </row>
    <row r="69">
      <c r="A69" s="313" t="n"/>
      <c r="G69" s="382" t="n"/>
      <c r="H69" s="382" t="n"/>
      <c r="I69" s="382" t="n"/>
      <c r="J69" s="382" t="n"/>
      <c r="L69" s="355" t="inlineStr">
        <is>
          <t>**(FOCF + Interest paid) / (Interest paid + CPLTD due)</t>
        </is>
      </c>
      <c r="O69" s="355" t="n"/>
      <c r="P69" s="355" t="n"/>
      <c r="Q69" s="355" t="n"/>
      <c r="R69" s="355" t="n"/>
    </row>
    <row r="70">
      <c r="M70" s="355" t="n"/>
      <c r="N70" s="355" t="n"/>
    </row>
    <row r="71">
      <c r="L71" s="359" t="inlineStr">
        <is>
          <t>BREAKEVEN ANALYSIS</t>
        </is>
      </c>
      <c r="M71" s="359" t="n"/>
      <c r="N71" s="360" t="n">
        <v>2015</v>
      </c>
      <c r="O71" s="360" t="n">
        <v>2016</v>
      </c>
      <c r="P71" s="360" t="n">
        <v>2017</v>
      </c>
      <c r="Q71" s="360" t="n">
        <v>2018</v>
      </c>
      <c r="R71" s="360" t="n">
        <v>2019</v>
      </c>
      <c r="S71" s="360" t="n">
        <v>2020</v>
      </c>
      <c r="T71" s="360" t="n">
        <v>2021</v>
      </c>
      <c r="U71" s="360" t="n">
        <v>2022</v>
      </c>
    </row>
    <row r="72">
      <c r="L72" s="355" t="n"/>
    </row>
    <row r="73">
      <c r="L73" s="262" t="inlineStr">
        <is>
          <t>Fixed costs</t>
        </is>
      </c>
      <c r="N73" s="374">
        <f>C9-C16</f>
        <v/>
      </c>
      <c r="O73" s="374">
        <f>D9-D16</f>
        <v/>
      </c>
      <c r="P73" s="374">
        <f>E9-E16</f>
        <v/>
      </c>
      <c r="Q73" s="374">
        <f>F9-F16</f>
        <v/>
      </c>
      <c r="R73" s="374">
        <f>G9-G16</f>
        <v/>
      </c>
      <c r="S73" s="374">
        <f>H9-H16</f>
        <v/>
      </c>
      <c r="T73" s="374">
        <f>I9-I16</f>
        <v/>
      </c>
      <c r="U73" s="374">
        <f>J9-J16</f>
        <v/>
      </c>
    </row>
    <row r="74">
      <c r="L74" s="301" t="inlineStr">
        <is>
          <t>Breakeven Sales</t>
        </is>
      </c>
      <c r="N74" s="397">
        <f>N73/N31</f>
        <v/>
      </c>
      <c r="O74" s="397">
        <f>O73/O31</f>
        <v/>
      </c>
      <c r="P74" s="397">
        <f>P73/P31</f>
        <v/>
      </c>
      <c r="Q74" s="397">
        <f>Q73/Q31</f>
        <v/>
      </c>
      <c r="R74" s="397">
        <f>R73/R31</f>
        <v/>
      </c>
      <c r="S74" s="397">
        <f>S73/S31</f>
        <v/>
      </c>
      <c r="T74" s="397">
        <f>T73/T31</f>
        <v/>
      </c>
      <c r="U74" s="397">
        <f>U73/U31</f>
        <v/>
      </c>
    </row>
    <row r="75">
      <c r="L75" s="237" t="inlineStr">
        <is>
          <t>Margin of safety</t>
        </is>
      </c>
      <c r="N75" s="308">
        <f>(C7-N74)/C7</f>
        <v/>
      </c>
      <c r="O75" s="308">
        <f>(D7-O74)/D7</f>
        <v/>
      </c>
      <c r="P75" s="308">
        <f>(E7-P74)/E7</f>
        <v/>
      </c>
      <c r="Q75" s="308">
        <f>(F7-Q74)/F7</f>
        <v/>
      </c>
      <c r="R75" s="308">
        <f>(G7-R74)/G7</f>
        <v/>
      </c>
      <c r="S75" s="308">
        <f>(H7-S74)/H7</f>
        <v/>
      </c>
      <c r="T75" s="308">
        <f>(I7-T74)/I7</f>
        <v/>
      </c>
      <c r="U75" s="308">
        <f>(J7-U74)/J7</f>
        <v/>
      </c>
    </row>
    <row r="76" customFormat="1" s="262">
      <c r="K76" s="237" t="n"/>
      <c r="L76" s="237" t="n"/>
      <c r="M76" s="237" t="n"/>
      <c r="N76" s="237" t="n"/>
      <c r="O76" s="237" t="n"/>
      <c r="P76" s="237" t="n"/>
      <c r="Q76" s="237" t="n"/>
      <c r="R76" s="237" t="n"/>
      <c r="S76" s="237" t="n"/>
      <c r="T76" s="237" t="n"/>
      <c r="U76" s="237" t="n"/>
    </row>
    <row r="77" customFormat="1" s="262">
      <c r="K77" s="237" t="n"/>
    </row>
    <row r="78" customFormat="1" s="262"/>
    <row r="79" customFormat="1" s="262"/>
    <row r="80" customFormat="1" s="262"/>
    <row r="81" customFormat="1" s="253">
      <c r="K81" s="262" t="n"/>
      <c r="L81" s="262" t="n"/>
      <c r="M81" s="262" t="n"/>
      <c r="N81" s="262" t="n"/>
      <c r="O81" s="262" t="n"/>
      <c r="P81" s="262" t="n"/>
      <c r="Q81" s="262" t="n"/>
      <c r="R81" s="262" t="n"/>
      <c r="S81" s="262" t="n"/>
      <c r="T81" s="262" t="n"/>
      <c r="U81" s="262" t="n"/>
    </row>
    <row r="82" customFormat="1" s="253"/>
    <row r="83" customFormat="1" s="253"/>
    <row r="84" customFormat="1" s="262">
      <c r="K84" s="253" t="n"/>
      <c r="L84" s="253" t="n"/>
      <c r="M84" s="253" t="n"/>
      <c r="N84" s="253" t="n"/>
      <c r="O84" s="253" t="n"/>
      <c r="P84" s="253" t="n"/>
      <c r="Q84" s="253" t="n"/>
      <c r="R84" s="253" t="n"/>
      <c r="S84" s="253" t="n"/>
      <c r="T84" s="253" t="n"/>
      <c r="U84" s="253" t="n"/>
    </row>
    <row r="85" customFormat="1" s="262"/>
    <row r="86" customFormat="1" s="262"/>
    <row r="87" customFormat="1" s="262"/>
    <row r="88" customFormat="1" s="262"/>
    <row r="89" customFormat="1" s="262"/>
    <row r="90" customFormat="1" s="262"/>
    <row r="91" customFormat="1" s="262"/>
    <row r="92">
      <c r="K92" s="262" t="n"/>
      <c r="L92" s="262" t="n"/>
      <c r="M92" s="262" t="n"/>
      <c r="N92" s="262" t="n"/>
      <c r="O92" s="262" t="n"/>
      <c r="P92" s="262" t="n"/>
      <c r="Q92" s="262" t="n"/>
      <c r="R92" s="262" t="n"/>
      <c r="S92" s="262" t="n"/>
      <c r="T92" s="262" t="n"/>
      <c r="U92" s="262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5">
    <outlinePr summaryBelow="1" summaryRight="1"/>
    <pageSetUpPr/>
  </sheetPr>
  <dimension ref="A1:Q103"/>
  <sheetViews>
    <sheetView topLeftCell="A37" zoomScale="89" zoomScaleNormal="85" workbookViewId="0">
      <selection activeCell="D53" sqref="D53"/>
    </sheetView>
  </sheetViews>
  <sheetFormatPr baseColWidth="8" defaultColWidth="26" defaultRowHeight="14.4" outlineLevelCol="0"/>
  <cols>
    <col width="26.109375" bestFit="1" customWidth="1" style="337" min="1" max="1"/>
    <col width="45.6640625" bestFit="1" customWidth="1" style="337" min="2" max="2"/>
    <col width="13.88671875" customWidth="1" style="337" min="3" max="6"/>
    <col width="10.6640625" bestFit="1" customWidth="1" style="337" min="7" max="7"/>
    <col width="11.33203125" bestFit="1" customWidth="1" style="337" min="8" max="8"/>
    <col width="11.109375" bestFit="1" customWidth="1" style="337" min="9" max="9"/>
    <col width="12.44140625" bestFit="1" customWidth="1" style="337" min="10" max="11"/>
    <col width="18.6640625" bestFit="1" customWidth="1" style="337" min="12" max="14"/>
    <col hidden="1" width="26" customWidth="1" style="337" min="15" max="17"/>
  </cols>
  <sheetData>
    <row r="1">
      <c r="B1" s="3" t="inlineStr">
        <is>
          <t>SBT</t>
        </is>
      </c>
      <c r="C1" s="3" t="n"/>
      <c r="D1" s="3" t="n"/>
      <c r="E1" s="3" t="n"/>
      <c r="F1" s="3" t="n"/>
    </row>
    <row r="2">
      <c r="B2" s="3" t="n"/>
      <c r="C2" s="3" t="n"/>
      <c r="D2" s="3" t="n"/>
      <c r="E2" s="3" t="n"/>
      <c r="F2" s="3" t="n"/>
      <c r="O2" t="n">
        <v>1000000</v>
      </c>
    </row>
    <row r="3">
      <c r="B3" s="3" t="n"/>
      <c r="C3" s="95" t="n">
        <v>2015</v>
      </c>
      <c r="D3" s="95">
        <f>C3+1</f>
        <v/>
      </c>
      <c r="E3" s="95">
        <f>D3+1</f>
        <v/>
      </c>
      <c r="F3" s="95">
        <f>E3+1</f>
        <v/>
      </c>
      <c r="G3" s="95">
        <f>F3+1</f>
        <v/>
      </c>
      <c r="H3" s="95">
        <f>G3+1</f>
        <v/>
      </c>
      <c r="I3" s="95">
        <f>H3+1</f>
        <v/>
      </c>
      <c r="J3" s="95">
        <f>I3+1</f>
        <v/>
      </c>
      <c r="K3" s="95">
        <f>J3+1</f>
        <v/>
      </c>
      <c r="L3" s="95">
        <f>K3+1</f>
        <v/>
      </c>
      <c r="M3" s="95">
        <f>L3+1</f>
        <v/>
      </c>
      <c r="N3" s="95">
        <f>M3+1</f>
        <v/>
      </c>
    </row>
    <row r="4">
      <c r="B4" s="4" t="inlineStr">
        <is>
          <t>I. CASH FLOWS FROM OPERATING ACTIVITIES</t>
        </is>
      </c>
      <c r="C4" s="4" t="n"/>
      <c r="D4" s="4" t="n"/>
      <c r="E4" s="4" t="n"/>
      <c r="F4" s="4" t="n"/>
    </row>
    <row r="5">
      <c r="A5" t="n">
        <v>1</v>
      </c>
      <c r="B5" s="4" t="inlineStr">
        <is>
          <t>Net profit (loss) before tax</t>
        </is>
      </c>
      <c r="C5" s="442" t="n">
        <v>208306</v>
      </c>
      <c r="D5" s="442" t="n">
        <v>310076</v>
      </c>
      <c r="E5" s="442">
        <f>SUMIF(CF.data!$B$4:$B$43,CF!$A5,CF.data!R$4:R$43)</f>
        <v/>
      </c>
      <c r="F5" s="442">
        <f>SUMIF(CF.data!$B$4:$B$43,CF!$A5,CF.data!S$4:S$43)</f>
        <v/>
      </c>
      <c r="G5" s="442">
        <f>SUMIF(CF.data!$B$4:$B$43,CF!$A5,CF.data!T$4:T$43)</f>
        <v/>
      </c>
      <c r="H5" s="442">
        <f>SUMIF(CF.data!$B$4:$B$43,CF!$A5,CF.data!U$4:U$43)</f>
        <v/>
      </c>
      <c r="I5" s="442">
        <f>SUMIF(CF.data!$B$4:$B$43,CF!$A5,CF.data!V$4:V$43)</f>
        <v/>
      </c>
      <c r="J5" s="442">
        <f>SUMIF(CF.data!$B$4:$B$43,CF!$A5,CF.data!W$4:W$43)</f>
        <v/>
      </c>
      <c r="K5" s="442" t="n"/>
      <c r="L5" s="442" t="n"/>
      <c r="M5" s="442" t="n"/>
      <c r="N5" s="442" t="n"/>
      <c r="O5" s="94">
        <f>O59/$O$2</f>
        <v/>
      </c>
      <c r="P5" s="94">
        <f>P59/$O$2</f>
        <v/>
      </c>
      <c r="Q5" s="94">
        <f>Q59/$O$2</f>
        <v/>
      </c>
    </row>
    <row r="6">
      <c r="B6" s="3" t="inlineStr">
        <is>
          <t>Adjustments for:</t>
        </is>
      </c>
      <c r="C6" s="442">
        <f>SUMIF(CF.data!$B$4:$B$43,CF!$A6,CF.data!P$4:P$43)</f>
        <v/>
      </c>
      <c r="D6" s="442">
        <f>SUMIF(CF.data!$B$4:$B$43,CF!$A6,CF.data!Q$4:Q$43)</f>
        <v/>
      </c>
      <c r="E6" s="442">
        <f>SUMIF(CF.data!$B$4:$B$43,CF!$A6,CF.data!R$4:R$43)</f>
        <v/>
      </c>
      <c r="F6" s="442">
        <f>SUMIF(CF.data!$B$4:$B$43,CF!$A6,CF.data!S$4:S$43)</f>
        <v/>
      </c>
      <c r="G6" s="442">
        <f>SUMIF(CF.data!$B$4:$B$43,CF!$A6,CF.data!T$4:T$43)</f>
        <v/>
      </c>
      <c r="H6" s="442">
        <f>SUMIF(CF.data!$B$4:$B$43,CF!$A6,CF.data!U$4:U$43)</f>
        <v/>
      </c>
      <c r="I6" s="442">
        <f>SUMIF(CF.data!$B$4:$B$43,CF!$A6,CF.data!V$4:V$43)</f>
        <v/>
      </c>
      <c r="J6" s="442">
        <f>SUMIF(CF.data!$B$4:$B$43,CF!$A6,CF.data!W$4:W$43)</f>
        <v/>
      </c>
      <c r="K6" s="442" t="n"/>
      <c r="L6" s="442" t="n"/>
      <c r="M6" s="442" t="n"/>
      <c r="N6" s="442" t="n"/>
      <c r="O6" s="94">
        <f>O60/$O$2</f>
        <v/>
      </c>
      <c r="P6" s="94">
        <f>P60/$O$2</f>
        <v/>
      </c>
      <c r="Q6" s="94">
        <f>Q60/$O$2</f>
        <v/>
      </c>
    </row>
    <row r="7">
      <c r="A7" t="n">
        <v>2</v>
      </c>
      <c r="B7" s="3" t="inlineStr">
        <is>
          <t>Depreciation and amortisation</t>
        </is>
      </c>
      <c r="C7" s="442" t="n">
        <v>88574</v>
      </c>
      <c r="D7" s="442" t="n">
        <v>162019</v>
      </c>
      <c r="E7" s="442">
        <f>SUMIF(CF.data!$B$4:$B$43,CF!$A7,CF.data!R$4:R$43)</f>
        <v/>
      </c>
      <c r="F7" s="442">
        <f>SUMIF(CF.data!$B$4:$B$43,CF!$A7,CF.data!S$4:S$43)</f>
        <v/>
      </c>
      <c r="G7" s="442">
        <f>SUMIF(CF.data!$B$4:$B$43,CF!$A7,CF.data!T$4:T$43)</f>
        <v/>
      </c>
      <c r="H7" s="442">
        <f>SUMIF(CF.data!$B$4:$B$43,CF!$A7,CF.data!U$4:U$43)</f>
        <v/>
      </c>
      <c r="I7" s="442">
        <f>SUMIF(CF.data!$B$4:$B$43,CF!$A7,CF.data!V$4:V$43)</f>
        <v/>
      </c>
      <c r="J7" s="442">
        <f>SUMIF(CF.data!$B$4:$B$43,CF!$A7,CF.data!W$4:W$43)</f>
        <v/>
      </c>
      <c r="K7" s="442" t="n"/>
      <c r="L7" s="442" t="n"/>
      <c r="M7" s="442" t="n"/>
      <c r="N7" s="442" t="n"/>
      <c r="O7" s="94">
        <f>O61/$O$2</f>
        <v/>
      </c>
      <c r="P7" s="94">
        <f>P61/$O$2</f>
        <v/>
      </c>
      <c r="Q7" s="94">
        <f>Q61/$O$2</f>
        <v/>
      </c>
    </row>
    <row r="8">
      <c r="A8" t="n">
        <v>3</v>
      </c>
      <c r="B8" s="3" t="inlineStr">
        <is>
          <t>Provisions</t>
        </is>
      </c>
      <c r="C8" s="442">
        <f>SUMIF(CF.data!$B$4:$B$43,CF!$A8,CF.data!P$4:P$43)</f>
        <v/>
      </c>
      <c r="D8" s="442">
        <f>SUMIF(CF.data!$B$4:$B$43,CF!$A8,CF.data!Q$4:Q$43)</f>
        <v/>
      </c>
      <c r="E8" s="442">
        <f>SUMIF(CF.data!$B$4:$B$43,CF!$A8,CF.data!R$4:R$43)</f>
        <v/>
      </c>
      <c r="F8" s="442">
        <f>SUMIF(CF.data!$B$4:$B$43,CF!$A8,CF.data!S$4:S$43)</f>
        <v/>
      </c>
      <c r="G8" s="442">
        <f>SUMIF(CF.data!$B$4:$B$43,CF!$A8,CF.data!T$4:T$43)</f>
        <v/>
      </c>
      <c r="H8" s="442">
        <f>SUMIF(CF.data!$B$4:$B$43,CF!$A8,CF.data!U$4:U$43)</f>
        <v/>
      </c>
      <c r="I8" s="442">
        <f>SUMIF(CF.data!$B$4:$B$43,CF!$A8,CF.data!V$4:V$43)</f>
        <v/>
      </c>
      <c r="J8" s="442">
        <f>SUMIF(CF.data!$B$4:$B$43,CF!$A8,CF.data!W$4:W$43)</f>
        <v/>
      </c>
      <c r="K8" s="442" t="n"/>
      <c r="L8" s="442" t="n"/>
      <c r="M8" s="442" t="n"/>
      <c r="N8" s="442" t="n"/>
      <c r="O8" s="94">
        <f>O62/$O$2</f>
        <v/>
      </c>
      <c r="P8" s="94">
        <f>P62/$O$2</f>
        <v/>
      </c>
      <c r="Q8" s="94">
        <f>Q62/$O$2</f>
        <v/>
      </c>
    </row>
    <row r="9">
      <c r="A9" t="n">
        <v>4</v>
      </c>
      <c r="B9" s="3" t="inlineStr">
        <is>
          <t>Unrealised foreign exchange (gains) losses</t>
        </is>
      </c>
      <c r="C9" s="442">
        <f>SUMIF(CF.data!$B$4:$B$43,CF!$A9,CF.data!P$4:P$43)</f>
        <v/>
      </c>
      <c r="D9" s="442">
        <f>SUMIF(CF.data!$B$4:$B$43,CF!$A9,CF.data!Q$4:Q$43)</f>
        <v/>
      </c>
      <c r="E9" s="442">
        <f>SUMIF(CF.data!$B$4:$B$43,CF!$A9,CF.data!R$4:R$43)</f>
        <v/>
      </c>
      <c r="F9" s="442">
        <f>SUMIF(CF.data!$B$4:$B$43,CF!$A9,CF.data!S$4:S$43)</f>
        <v/>
      </c>
      <c r="G9" s="442">
        <f>SUMIF(CF.data!$B$4:$B$43,CF!$A9,CF.data!T$4:T$43)</f>
        <v/>
      </c>
      <c r="H9" s="442">
        <f>SUMIF(CF.data!$B$4:$B$43,CF!$A9,CF.data!U$4:U$43)</f>
        <v/>
      </c>
      <c r="I9" s="442">
        <f>SUMIF(CF.data!$B$4:$B$43,CF!$A9,CF.data!V$4:V$43)</f>
        <v/>
      </c>
      <c r="J9" s="442">
        <f>SUMIF(CF.data!$B$4:$B$43,CF!$A9,CF.data!W$4:W$43)</f>
        <v/>
      </c>
      <c r="K9" s="442" t="n"/>
      <c r="L9" s="442" t="n"/>
      <c r="M9" s="442" t="n"/>
      <c r="N9" s="442" t="n"/>
      <c r="O9" s="94">
        <f>O63/$O$2</f>
        <v/>
      </c>
      <c r="P9" s="94">
        <f>P63/$O$2</f>
        <v/>
      </c>
      <c r="Q9" s="94">
        <f>Q63/$O$2</f>
        <v/>
      </c>
    </row>
    <row r="10">
      <c r="A10" t="n">
        <v>5</v>
      </c>
      <c r="B10" s="3" t="inlineStr">
        <is>
          <t>(Profits) losses from investing activities</t>
        </is>
      </c>
      <c r="C10" s="442" t="n">
        <v>-142591</v>
      </c>
      <c r="D10" s="442">
        <f>SUMIF(CF.data!$B$4:$B$43,CF!$A10,CF.data!Q$4:Q$43)</f>
        <v/>
      </c>
      <c r="E10" s="442">
        <f>SUMIF(CF.data!$B$4:$B$43,CF!$A10,CF.data!R$4:R$43)</f>
        <v/>
      </c>
      <c r="F10" s="442">
        <f>SUMIF(CF.data!$B$4:$B$43,CF!$A10,CF.data!S$4:S$43)</f>
        <v/>
      </c>
      <c r="G10" s="442">
        <f>SUMIF(CF.data!$B$4:$B$43,CF!$A10,CF.data!T$4:T$43)</f>
        <v/>
      </c>
      <c r="H10" s="442">
        <f>SUMIF(CF.data!$B$4:$B$43,CF!$A10,CF.data!U$4:U$43)</f>
        <v/>
      </c>
      <c r="I10" s="442">
        <f>SUMIF(CF.data!$B$4:$B$43,CF!$A10,CF.data!V$4:V$43)</f>
        <v/>
      </c>
      <c r="J10" s="442">
        <f>SUMIF(CF.data!$B$4:$B$43,CF!$A10,CF.data!W$4:W$43)</f>
        <v/>
      </c>
      <c r="K10" s="442" t="n"/>
      <c r="L10" s="442" t="n"/>
      <c r="M10" s="442" t="n"/>
      <c r="N10" s="442" t="n"/>
      <c r="O10" s="94">
        <f>O64/$O$2</f>
        <v/>
      </c>
      <c r="P10" s="94">
        <f>P64/$O$2</f>
        <v/>
      </c>
      <c r="Q10" s="94">
        <f>Q64/$O$2</f>
        <v/>
      </c>
    </row>
    <row r="11">
      <c r="B11" s="3" t="inlineStr">
        <is>
          <t>(Lãi) lỗ từ mua công ty con</t>
        </is>
      </c>
      <c r="C11" s="442">
        <f>SUMIF(CF.data!$B$4:$B$43,CF!$A11,CF.data!P$4:P$43)</f>
        <v/>
      </c>
      <c r="D11" s="442">
        <f>SUMIF(CF.data!$B$4:$B$43,CF!$A11,CF.data!Q$4:Q$43)</f>
        <v/>
      </c>
      <c r="E11" s="442">
        <f>SUMIF(CF.data!$B$4:$B$43,CF!$A11,CF.data!R$4:R$43)</f>
        <v/>
      </c>
      <c r="F11" s="442">
        <f>SUMIF(CF.data!$B$4:$B$43,CF!$A11,CF.data!S$4:S$43)</f>
        <v/>
      </c>
      <c r="G11" s="442">
        <f>SUMIF(CF.data!$B$4:$B$43,CF!$A11,CF.data!T$4:T$43)</f>
        <v/>
      </c>
      <c r="H11" s="442">
        <f>SUMIF(CF.data!$B$4:$B$43,CF!$A11,CF.data!U$4:U$43)</f>
        <v/>
      </c>
      <c r="I11" s="442">
        <f>SUMIF(CF.data!$B$4:$B$43,CF!$A11,CF.data!V$4:V$43)</f>
        <v/>
      </c>
      <c r="J11" s="442">
        <f>SUMIF(CF.data!$B$4:$B$43,CF!$A11,CF.data!W$4:W$43)</f>
        <v/>
      </c>
      <c r="K11" s="442" t="n"/>
      <c r="L11" s="442" t="n"/>
      <c r="M11" s="442" t="n"/>
      <c r="N11" s="442" t="n"/>
      <c r="O11" s="94">
        <f>O65/$O$2</f>
        <v/>
      </c>
      <c r="P11" s="94">
        <f>P65/$O$2</f>
        <v/>
      </c>
      <c r="Q11" s="94">
        <f>Q65/$O$2</f>
        <v/>
      </c>
    </row>
    <row r="12">
      <c r="B12" s="3" t="inlineStr">
        <is>
          <t>(Lãi) lỗ từ thanh lý khoản đầu tư dài hạn khác</t>
        </is>
      </c>
      <c r="C12" s="442">
        <f>SUMIF(CF.data!$B$4:$B$43,CF!$A12,CF.data!P$4:P$43)</f>
        <v/>
      </c>
      <c r="D12" s="442">
        <f>SUMIF(CF.data!$B$4:$B$43,CF!$A12,CF.data!Q$4:Q$43)</f>
        <v/>
      </c>
      <c r="E12" s="442">
        <f>SUMIF(CF.data!$B$4:$B$43,CF!$A12,CF.data!R$4:R$43)</f>
        <v/>
      </c>
      <c r="F12" s="442">
        <f>SUMIF(CF.data!$B$4:$B$43,CF!$A12,CF.data!S$4:S$43)</f>
        <v/>
      </c>
      <c r="G12" s="442">
        <f>SUMIF(CF.data!$B$4:$B$43,CF!$A12,CF.data!T$4:T$43)</f>
        <v/>
      </c>
      <c r="H12" s="442">
        <f>SUMIF(CF.data!$B$4:$B$43,CF!$A12,CF.data!U$4:U$43)</f>
        <v/>
      </c>
      <c r="I12" s="442">
        <f>SUMIF(CF.data!$B$4:$B$43,CF!$A12,CF.data!V$4:V$43)</f>
        <v/>
      </c>
      <c r="J12" s="442">
        <f>SUMIF(CF.data!$B$4:$B$43,CF!$A12,CF.data!W$4:W$43)</f>
        <v/>
      </c>
      <c r="K12" s="442" t="n"/>
      <c r="L12" s="442" t="n"/>
      <c r="M12" s="442" t="n"/>
      <c r="N12" s="442" t="n"/>
      <c r="O12" s="94">
        <f>O66/$O$2</f>
        <v/>
      </c>
      <c r="P12" s="94">
        <f>P66/$O$2</f>
        <v/>
      </c>
      <c r="Q12" s="94">
        <f>Q66/$O$2</f>
        <v/>
      </c>
    </row>
    <row r="13">
      <c r="B13" s="3" t="inlineStr">
        <is>
          <t>Phân bổ lợi thế thương mại</t>
        </is>
      </c>
      <c r="C13" s="442">
        <f>SUMIF(CF.data!$B$4:$B$43,CF!$A13,CF.data!P$4:P$43)</f>
        <v/>
      </c>
      <c r="D13" s="442">
        <f>SUMIF(CF.data!$B$4:$B$43,CF!$A13,CF.data!Q$4:Q$43)</f>
        <v/>
      </c>
      <c r="E13" s="442">
        <f>SUMIF(CF.data!$B$4:$B$43,CF!$A13,CF.data!R$4:R$43)</f>
        <v/>
      </c>
      <c r="F13" s="442">
        <f>SUMIF(CF.data!$B$4:$B$43,CF!$A13,CF.data!S$4:S$43)</f>
        <v/>
      </c>
      <c r="G13" s="442">
        <f>SUMIF(CF.data!$B$4:$B$43,CF!$A13,CF.data!T$4:T$43)</f>
        <v/>
      </c>
      <c r="H13" s="442">
        <f>SUMIF(CF.data!$B$4:$B$43,CF!$A13,CF.data!U$4:U$43)</f>
        <v/>
      </c>
      <c r="I13" s="442">
        <f>SUMIF(CF.data!$B$4:$B$43,CF!$A13,CF.data!V$4:V$43)</f>
        <v/>
      </c>
      <c r="J13" s="442">
        <f>SUMIF(CF.data!$B$4:$B$43,CF!$A13,CF.data!W$4:W$43)</f>
        <v/>
      </c>
      <c r="K13" s="442" t="n"/>
      <c r="L13" s="442" t="n"/>
      <c r="M13" s="442" t="n"/>
      <c r="N13" s="442" t="n"/>
      <c r="O13" s="94">
        <f>O67/$O$2</f>
        <v/>
      </c>
      <c r="P13" s="94">
        <f>P67/$O$2</f>
        <v/>
      </c>
      <c r="Q13" s="94">
        <f>Q67/$O$2</f>
        <v/>
      </c>
    </row>
    <row r="14">
      <c r="B14" s="3" t="inlineStr">
        <is>
          <t>Cổ tức nhận từ công ty liên doanh, liên kết</t>
        </is>
      </c>
      <c r="C14" s="442">
        <f>SUMIF(CF.data!$B$4:$B$43,CF!$A14,CF.data!P$4:P$43)</f>
        <v/>
      </c>
      <c r="D14" s="442">
        <f>SUMIF(CF.data!$B$4:$B$43,CF!$A14,CF.data!Q$4:Q$43)</f>
        <v/>
      </c>
      <c r="E14" s="442">
        <f>SUMIF(CF.data!$B$4:$B$43,CF!$A14,CF.data!R$4:R$43)</f>
        <v/>
      </c>
      <c r="F14" s="442">
        <f>SUMIF(CF.data!$B$4:$B$43,CF!$A14,CF.data!S$4:S$43)</f>
        <v/>
      </c>
      <c r="G14" s="442">
        <f>SUMIF(CF.data!$B$4:$B$43,CF!$A14,CF.data!T$4:T$43)</f>
        <v/>
      </c>
      <c r="H14" s="442">
        <f>SUMIF(CF.data!$B$4:$B$43,CF!$A14,CF.data!U$4:U$43)</f>
        <v/>
      </c>
      <c r="I14" s="442">
        <f>SUMIF(CF.data!$B$4:$B$43,CF!$A14,CF.data!V$4:V$43)</f>
        <v/>
      </c>
      <c r="J14" s="442">
        <f>SUMIF(CF.data!$B$4:$B$43,CF!$A14,CF.data!W$4:W$43)</f>
        <v/>
      </c>
      <c r="K14" s="442" t="n"/>
      <c r="L14" s="442" t="n"/>
      <c r="M14" s="442" t="n"/>
      <c r="N14" s="442" t="n"/>
      <c r="O14" s="94">
        <f>O68/$O$2</f>
        <v/>
      </c>
      <c r="P14" s="94">
        <f>P68/$O$2</f>
        <v/>
      </c>
      <c r="Q14" s="94">
        <f>Q68/$O$2</f>
        <v/>
      </c>
    </row>
    <row r="15">
      <c r="B15" s="3" t="inlineStr">
        <is>
          <t>(Lãi) lỗ từ thanh lý tài sản cố định</t>
        </is>
      </c>
      <c r="C15" s="442">
        <f>SUMIF(CF.data!$B$4:$B$43,CF!$A15,CF.data!P$4:P$43)</f>
        <v/>
      </c>
      <c r="D15" s="442">
        <f>SUMIF(CF.data!$B$4:$B$43,CF!$A15,CF.data!Q$4:Q$43)</f>
        <v/>
      </c>
      <c r="E15" s="442">
        <f>SUMIF(CF.data!$B$4:$B$43,CF!$A15,CF.data!R$4:R$43)</f>
        <v/>
      </c>
      <c r="F15" s="442">
        <f>SUMIF(CF.data!$B$4:$B$43,CF!$A15,CF.data!S$4:S$43)</f>
        <v/>
      </c>
      <c r="G15" s="442">
        <f>SUMIF(CF.data!$B$4:$B$43,CF!$A15,CF.data!T$4:T$43)</f>
        <v/>
      </c>
      <c r="H15" s="442">
        <f>SUMIF(CF.data!$B$4:$B$43,CF!$A15,CF.data!U$4:U$43)</f>
        <v/>
      </c>
      <c r="I15" s="442">
        <f>SUMIF(CF.data!$B$4:$B$43,CF!$A15,CF.data!V$4:V$43)</f>
        <v/>
      </c>
      <c r="J15" s="442">
        <f>SUMIF(CF.data!$B$4:$B$43,CF!$A15,CF.data!W$4:W$43)</f>
        <v/>
      </c>
      <c r="K15" s="442" t="n"/>
      <c r="L15" s="442" t="n"/>
      <c r="M15" s="442" t="n"/>
      <c r="N15" s="442" t="n"/>
      <c r="O15" s="94">
        <f>O69/$O$2</f>
        <v/>
      </c>
      <c r="P15" s="94">
        <f>P69/$O$2</f>
        <v/>
      </c>
      <c r="Q15" s="94">
        <f>Q69/$O$2</f>
        <v/>
      </c>
    </row>
    <row r="16">
      <c r="B16" s="3" t="inlineStr">
        <is>
          <t>Lãi tiền gửi</t>
        </is>
      </c>
      <c r="C16" s="442">
        <f>SUMIF(CF.data!$B$4:$B$43,CF!$A16,CF.data!P$4:P$43)</f>
        <v/>
      </c>
      <c r="D16" s="442">
        <f>SUMIF(CF.data!$B$4:$B$43,CF!$A16,CF.data!Q$4:Q$43)</f>
        <v/>
      </c>
      <c r="E16" s="442">
        <f>SUMIF(CF.data!$B$4:$B$43,CF!$A16,CF.data!R$4:R$43)</f>
        <v/>
      </c>
      <c r="F16" s="442">
        <f>SUMIF(CF.data!$B$4:$B$43,CF!$A16,CF.data!S$4:S$43)</f>
        <v/>
      </c>
      <c r="G16" s="442">
        <f>SUMIF(CF.data!$B$4:$B$43,CF!$A16,CF.data!T$4:T$43)</f>
        <v/>
      </c>
      <c r="H16" s="442">
        <f>SUMIF(CF.data!$B$4:$B$43,CF!$A16,CF.data!U$4:U$43)</f>
        <v/>
      </c>
      <c r="I16" s="442">
        <f>SUMIF(CF.data!$B$4:$B$43,CF!$A16,CF.data!V$4:V$43)</f>
        <v/>
      </c>
      <c r="J16" s="442">
        <f>SUMIF(CF.data!$B$4:$B$43,CF!$A16,CF.data!W$4:W$43)</f>
        <v/>
      </c>
      <c r="K16" s="442" t="n"/>
      <c r="L16" s="442" t="n"/>
      <c r="M16" s="442" t="n"/>
      <c r="N16" s="442" t="n"/>
      <c r="O16" s="94">
        <f>O70/$O$2</f>
        <v/>
      </c>
      <c r="P16" s="94">
        <f>P70/$O$2</f>
        <v/>
      </c>
      <c r="Q16" s="94">
        <f>Q70/$O$2</f>
        <v/>
      </c>
    </row>
    <row r="17">
      <c r="B17" s="3" t="inlineStr">
        <is>
          <t>Lãi cổ tức</t>
        </is>
      </c>
      <c r="C17" s="442">
        <f>SUMIF(CF.data!$B$4:$B$43,CF!$A17,CF.data!P$4:P$43)</f>
        <v/>
      </c>
      <c r="D17" s="442">
        <f>SUMIF(CF.data!$B$4:$B$43,CF!$A17,CF.data!Q$4:Q$43)</f>
        <v/>
      </c>
      <c r="E17" s="442">
        <f>SUMIF(CF.data!$B$4:$B$43,CF!$A17,CF.data!R$4:R$43)</f>
        <v/>
      </c>
      <c r="F17" s="442">
        <f>SUMIF(CF.data!$B$4:$B$43,CF!$A17,CF.data!S$4:S$43)</f>
        <v/>
      </c>
      <c r="G17" s="442">
        <f>SUMIF(CF.data!$B$4:$B$43,CF!$A17,CF.data!T$4:T$43)</f>
        <v/>
      </c>
      <c r="H17" s="442">
        <f>SUMIF(CF.data!$B$4:$B$43,CF!$A17,CF.data!U$4:U$43)</f>
        <v/>
      </c>
      <c r="I17" s="442">
        <f>SUMIF(CF.data!$B$4:$B$43,CF!$A17,CF.data!V$4:V$43)</f>
        <v/>
      </c>
      <c r="J17" s="442">
        <f>SUMIF(CF.data!$B$4:$B$43,CF!$A17,CF.data!W$4:W$43)</f>
        <v/>
      </c>
      <c r="K17" s="442" t="n"/>
      <c r="L17" s="442" t="n"/>
      <c r="M17" s="442" t="n"/>
      <c r="N17" s="442" t="n"/>
      <c r="O17" s="94">
        <f>O71/$O$2</f>
        <v/>
      </c>
      <c r="P17" s="94">
        <f>P71/$O$2</f>
        <v/>
      </c>
      <c r="Q17" s="94">
        <f>Q71/$O$2</f>
        <v/>
      </c>
    </row>
    <row r="18">
      <c r="A18" t="n">
        <v>6</v>
      </c>
      <c r="B18" s="3" t="inlineStr">
        <is>
          <t>Interest expense</t>
        </is>
      </c>
      <c r="C18" s="442" t="n">
        <v>80245</v>
      </c>
      <c r="D18" s="442" t="n">
        <v>152782</v>
      </c>
      <c r="E18" s="442">
        <f>SUMIF(CF.data!$B$4:$B$43,CF!$A18,CF.data!R$4:R$43)</f>
        <v/>
      </c>
      <c r="F18" s="442">
        <f>SUMIF(CF.data!$B$4:$B$43,CF!$A18,CF.data!S$4:S$43)</f>
        <v/>
      </c>
      <c r="G18" s="442">
        <f>SUMIF(CF.data!$B$4:$B$43,CF!$A18,CF.data!T$4:T$43)</f>
        <v/>
      </c>
      <c r="H18" s="442">
        <f>SUMIF(CF.data!$B$4:$B$43,CF!$A18,CF.data!U$4:U$43)</f>
        <v/>
      </c>
      <c r="I18" s="442">
        <f>SUMIF(CF.data!$B$4:$B$43,CF!$A18,CF.data!V$4:V$43)</f>
        <v/>
      </c>
      <c r="J18" s="442">
        <f>SUMIF(CF.data!$B$4:$B$43,CF!$A18,CF.data!W$4:W$43)</f>
        <v/>
      </c>
      <c r="K18" s="442" t="n"/>
      <c r="L18" s="442" t="n"/>
      <c r="M18" s="442" t="n"/>
      <c r="N18" s="442" t="n"/>
      <c r="O18" s="94">
        <f>O72/$O$2</f>
        <v/>
      </c>
      <c r="P18" s="94">
        <f>P72/$O$2</f>
        <v/>
      </c>
      <c r="Q18" s="94">
        <f>Q72/$O$2</f>
        <v/>
      </c>
    </row>
    <row r="19">
      <c r="A19" t="n">
        <v>7</v>
      </c>
      <c r="B19" s="3" t="inlineStr">
        <is>
          <t>Other adjustments</t>
        </is>
      </c>
      <c r="C19" s="442">
        <f>SUMIF(CF.data!$B$4:$B$43,CF!$A19,CF.data!P$4:P$43)</f>
        <v/>
      </c>
      <c r="D19" s="442">
        <f>SUMIF(CF.data!$B$4:$B$43,CF!$A19,CF.data!Q$4:Q$43)</f>
        <v/>
      </c>
      <c r="E19" s="442">
        <f>SUMIF(CF.data!$B$4:$B$43,CF!$A19,CF.data!R$4:R$43)</f>
        <v/>
      </c>
      <c r="F19" s="442">
        <f>SUMIF(CF.data!$B$4:$B$43,CF!$A19,CF.data!S$4:S$43)</f>
        <v/>
      </c>
      <c r="G19" s="442">
        <f>SUMIF(CF.data!$B$4:$B$43,CF!$A19,CF.data!T$4:T$43)</f>
        <v/>
      </c>
      <c r="H19" s="442">
        <f>SUMIF(CF.data!$B$4:$B$43,CF!$A19,CF.data!U$4:U$43)</f>
        <v/>
      </c>
      <c r="I19" s="442">
        <f>SUMIF(CF.data!$B$4:$B$43,CF!$A19,CF.data!V$4:V$43)</f>
        <v/>
      </c>
      <c r="J19" s="442">
        <f>SUMIF(CF.data!$B$4:$B$43,CF!$A19,CF.data!W$4:W$43)</f>
        <v/>
      </c>
      <c r="K19" s="442" t="n"/>
      <c r="L19" s="442" t="n"/>
      <c r="M19" s="442" t="n"/>
      <c r="N19" s="442" t="n"/>
      <c r="O19" s="94">
        <f>O73/$O$2</f>
        <v/>
      </c>
      <c r="P19" s="94">
        <f>P73/$O$2</f>
        <v/>
      </c>
      <c r="Q19" s="94">
        <f>Q73/$O$2</f>
        <v/>
      </c>
    </row>
    <row r="20">
      <c r="B20" s="3" t="n"/>
      <c r="C20" s="442">
        <f>SUMIF(CF.data!$B$4:$B$43,CF!$A20,CF.data!P$4:P$43)</f>
        <v/>
      </c>
      <c r="D20" s="442">
        <f>SUMIF(CF.data!$B$4:$B$43,CF!$A20,CF.data!Q$4:Q$43)</f>
        <v/>
      </c>
      <c r="E20" s="442">
        <f>SUMIF(CF.data!$B$4:$B$43,CF!$A20,CF.data!R$4:R$43)</f>
        <v/>
      </c>
      <c r="F20" s="442">
        <f>SUMIF(CF.data!$B$4:$B$43,CF!$A20,CF.data!S$4:S$43)</f>
        <v/>
      </c>
      <c r="G20" s="442">
        <f>SUMIF(CF.data!$B$4:$B$43,CF!$A20,CF.data!T$4:T$43)</f>
        <v/>
      </c>
      <c r="H20" s="442">
        <f>SUMIF(CF.data!$B$4:$B$43,CF!$A20,CF.data!U$4:U$43)</f>
        <v/>
      </c>
      <c r="I20" s="442">
        <f>SUMIF(CF.data!$B$4:$B$43,CF!$A20,CF.data!V$4:V$43)</f>
        <v/>
      </c>
      <c r="J20" s="442">
        <f>SUMIF(CF.data!$B$4:$B$43,CF!$A20,CF.data!W$4:W$43)</f>
        <v/>
      </c>
      <c r="K20" s="442" t="n"/>
      <c r="L20" s="442" t="n"/>
      <c r="M20" s="442" t="n"/>
      <c r="N20" s="442" t="n"/>
      <c r="O20" s="94">
        <f>O74/$O$2</f>
        <v/>
      </c>
      <c r="P20" s="94">
        <f>P74/$O$2</f>
        <v/>
      </c>
      <c r="Q20" s="94">
        <f>Q74/$O$2</f>
        <v/>
      </c>
    </row>
    <row r="21" ht="28.8" customFormat="1" customHeight="1" s="135">
      <c r="A21" s="131" t="n">
        <v>8</v>
      </c>
      <c r="B21" s="132" t="inlineStr">
        <is>
          <t>Operating income (loss) before changes in working capital</t>
        </is>
      </c>
      <c r="C21" s="488">
        <f>SUM(C5:C20)</f>
        <v/>
      </c>
      <c r="D21" s="488">
        <f>SUM(D5:D20)</f>
        <v/>
      </c>
      <c r="E21" s="488">
        <f>SUMIF(CF.data!$B$4:$B$43,CF!$A21,CF.data!R$4:R$43)</f>
        <v/>
      </c>
      <c r="F21" s="488">
        <f>SUMIF(CF.data!$B$4:$B$43,CF!$A21,CF.data!S$4:S$43)</f>
        <v/>
      </c>
      <c r="G21" s="488">
        <f>SUMIF(CF.data!$B$4:$B$43,CF!$A21,CF.data!T$4:T$43)</f>
        <v/>
      </c>
      <c r="H21" s="488">
        <f>SUMIF(CF.data!$B$4:$B$43,CF!$A21,CF.data!U$4:U$43)</f>
        <v/>
      </c>
      <c r="I21" s="488">
        <f>SUMIF(CF.data!$B$4:$B$43,CF!$A21,CF.data!V$4:V$43)</f>
        <v/>
      </c>
      <c r="J21" s="488">
        <f>SUMIF(CF.data!$B$4:$B$43,CF!$A21,CF.data!W$4:W$43)</f>
        <v/>
      </c>
      <c r="K21" s="488" t="n"/>
      <c r="L21" s="488" t="n"/>
      <c r="M21" s="488" t="n"/>
      <c r="N21" s="488" t="n"/>
      <c r="O21" s="134">
        <f>O75/$O$2</f>
        <v/>
      </c>
      <c r="P21" s="134">
        <f>P75/$O$2</f>
        <v/>
      </c>
      <c r="Q21" s="134">
        <f>Q75/$O$2</f>
        <v/>
      </c>
    </row>
    <row r="22">
      <c r="A22" t="n">
        <v>9</v>
      </c>
      <c r="B22" s="3" t="inlineStr">
        <is>
          <t>(Increase) decrease in receivables</t>
        </is>
      </c>
      <c r="C22" s="442">
        <f>SUMIF(CF.data!$B$4:$B$43,CF!$A22,CF.data!P$4:P$43)</f>
        <v/>
      </c>
      <c r="D22" s="442">
        <f>SUMIF(CF.data!$B$4:$B$43,CF!$A22,CF.data!Q$4:Q$43)</f>
        <v/>
      </c>
      <c r="E22" s="442">
        <f>SUMIF(CF.data!$B$4:$B$43,CF!$A22,CF.data!R$4:R$43)</f>
        <v/>
      </c>
      <c r="F22" s="442">
        <f>SUMIF(CF.data!$B$4:$B$43,CF!$A22,CF.data!S$4:S$43)</f>
        <v/>
      </c>
      <c r="G22" s="442">
        <f>SUMIF(CF.data!$B$4:$B$43,CF!$A22,CF.data!T$4:T$43)</f>
        <v/>
      </c>
      <c r="H22" s="442">
        <f>SUMIF(CF.data!$B$4:$B$43,CF!$A22,CF.data!U$4:U$43)</f>
        <v/>
      </c>
      <c r="I22" s="442">
        <f>SUMIF(CF.data!$B$4:$B$43,CF!$A22,CF.data!V$4:V$43)</f>
        <v/>
      </c>
      <c r="J22" s="442">
        <f>SUMIF(CF.data!$B$4:$B$43,CF!$A22,CF.data!W$4:W$43)</f>
        <v/>
      </c>
      <c r="K22" s="442" t="n"/>
      <c r="L22" s="442" t="n"/>
      <c r="M22" s="442" t="n"/>
      <c r="N22" s="442" t="n"/>
      <c r="O22" s="94">
        <f>O76/$O$2</f>
        <v/>
      </c>
      <c r="P22" s="94">
        <f>P76/$O$2</f>
        <v/>
      </c>
      <c r="Q22" s="94">
        <f>Q76/$O$2</f>
        <v/>
      </c>
    </row>
    <row r="23">
      <c r="A23" t="n">
        <v>10</v>
      </c>
      <c r="B23" s="3" t="inlineStr">
        <is>
          <t>(Increase) decrease in inventories</t>
        </is>
      </c>
      <c r="C23" s="442">
        <f>SUMIF(CF.data!$B$4:$B$43,CF!$A23,CF.data!P$4:P$43)</f>
        <v/>
      </c>
      <c r="D23" s="442">
        <f>SUMIF(CF.data!$B$4:$B$43,CF!$A23,CF.data!Q$4:Q$43)</f>
        <v/>
      </c>
      <c r="E23" s="442">
        <f>SUMIF(CF.data!$B$4:$B$43,CF!$A23,CF.data!R$4:R$43)</f>
        <v/>
      </c>
      <c r="F23" s="442">
        <f>SUMIF(CF.data!$B$4:$B$43,CF!$A23,CF.data!S$4:S$43)</f>
        <v/>
      </c>
      <c r="G23" s="442">
        <f>SUMIF(CF.data!$B$4:$B$43,CF!$A23,CF.data!T$4:T$43)</f>
        <v/>
      </c>
      <c r="H23" s="442">
        <f>SUMIF(CF.data!$B$4:$B$43,CF!$A23,CF.data!U$4:U$43)</f>
        <v/>
      </c>
      <c r="I23" s="442">
        <f>SUMIF(CF.data!$B$4:$B$43,CF!$A23,CF.data!V$4:V$43)</f>
        <v/>
      </c>
      <c r="J23" s="442">
        <f>SUMIF(CF.data!$B$4:$B$43,CF!$A23,CF.data!W$4:W$43)</f>
        <v/>
      </c>
      <c r="K23" s="442" t="n"/>
      <c r="L23" s="442" t="n"/>
      <c r="M23" s="442" t="n"/>
      <c r="N23" s="442" t="n"/>
      <c r="O23" s="94">
        <f>O77/$O$2</f>
        <v/>
      </c>
      <c r="P23" s="94">
        <f>P77/$O$2</f>
        <v/>
      </c>
      <c r="Q23" s="94">
        <f>Q77/$O$2</f>
        <v/>
      </c>
    </row>
    <row r="24">
      <c r="A24" t="n">
        <v>11</v>
      </c>
      <c r="B24" s="3" t="inlineStr">
        <is>
          <t>Increase (decrease) in payables</t>
        </is>
      </c>
      <c r="C24" s="442">
        <f>SUMIF(CF.data!$B$4:$B$43,CF!$A24,CF.data!P$4:P$43)</f>
        <v/>
      </c>
      <c r="D24" s="442">
        <f>SUMIF(CF.data!$B$4:$B$43,CF!$A24,CF.data!Q$4:Q$43)</f>
        <v/>
      </c>
      <c r="E24" s="442">
        <f>SUMIF(CF.data!$B$4:$B$43,CF!$A24,CF.data!R$4:R$43)</f>
        <v/>
      </c>
      <c r="F24" s="442">
        <f>SUMIF(CF.data!$B$4:$B$43,CF!$A24,CF.data!S$4:S$43)</f>
        <v/>
      </c>
      <c r="G24" s="442">
        <f>SUMIF(CF.data!$B$4:$B$43,CF!$A24,CF.data!T$4:T$43)</f>
        <v/>
      </c>
      <c r="H24" s="442">
        <f>SUMIF(CF.data!$B$4:$B$43,CF!$A24,CF.data!U$4:U$43)</f>
        <v/>
      </c>
      <c r="I24" s="442">
        <f>SUMIF(CF.data!$B$4:$B$43,CF!$A24,CF.data!V$4:V$43)</f>
        <v/>
      </c>
      <c r="J24" s="442">
        <f>SUMIF(CF.data!$B$4:$B$43,CF!$A24,CF.data!W$4:W$43)</f>
        <v/>
      </c>
      <c r="K24" s="442" t="n"/>
      <c r="L24" s="442" t="n"/>
      <c r="M24" s="442" t="n"/>
      <c r="N24" s="442" t="n"/>
      <c r="O24" s="94">
        <f>O78/$O$2</f>
        <v/>
      </c>
      <c r="P24" s="94">
        <f>P78/$O$2</f>
        <v/>
      </c>
      <c r="Q24" s="94">
        <f>Q78/$O$2</f>
        <v/>
      </c>
    </row>
    <row r="25">
      <c r="A25" t="n">
        <v>12</v>
      </c>
      <c r="B25" s="3" t="inlineStr">
        <is>
          <t>(Increase) decrease in prepaid expenses</t>
        </is>
      </c>
      <c r="C25" s="442">
        <f>SUMIF(CF.data!$B$4:$B$43,CF!$A25,CF.data!P$4:P$43)</f>
        <v/>
      </c>
      <c r="D25" s="442">
        <f>SUMIF(CF.data!$B$4:$B$43,CF!$A25,CF.data!Q$4:Q$43)</f>
        <v/>
      </c>
      <c r="E25" s="442">
        <f>SUMIF(CF.data!$B$4:$B$43,CF!$A25,CF.data!R$4:R$43)</f>
        <v/>
      </c>
      <c r="F25" s="442">
        <f>SUMIF(CF.data!$B$4:$B$43,CF!$A25,CF.data!S$4:S$43)</f>
        <v/>
      </c>
      <c r="G25" s="442">
        <f>SUMIF(CF.data!$B$4:$B$43,CF!$A25,CF.data!T$4:T$43)</f>
        <v/>
      </c>
      <c r="H25" s="442">
        <f>SUMIF(CF.data!$B$4:$B$43,CF!$A25,CF.data!U$4:U$43)</f>
        <v/>
      </c>
      <c r="I25" s="442">
        <f>SUMIF(CF.data!$B$4:$B$43,CF!$A25,CF.data!V$4:V$43)</f>
        <v/>
      </c>
      <c r="J25" s="442">
        <f>SUMIF(CF.data!$B$4:$B$43,CF!$A25,CF.data!W$4:W$43)</f>
        <v/>
      </c>
      <c r="K25" s="442" t="n"/>
      <c r="L25" s="442" t="n"/>
      <c r="M25" s="442" t="n"/>
      <c r="N25" s="442" t="n"/>
      <c r="O25" s="94">
        <f>O79/$O$2</f>
        <v/>
      </c>
      <c r="P25" s="94">
        <f>P79/$O$2</f>
        <v/>
      </c>
      <c r="Q25" s="94">
        <f>Q79/$O$2</f>
        <v/>
      </c>
    </row>
    <row r="26">
      <c r="A26" t="n">
        <v>13</v>
      </c>
      <c r="B26" s="3" t="inlineStr">
        <is>
          <t>(Increase) decrease in trading securities</t>
        </is>
      </c>
      <c r="C26" s="442" t="n">
        <v>-8125</v>
      </c>
      <c r="D26" s="442">
        <f>SUMIF(CF.data!$B$4:$B$43,CF!$A26,CF.data!Q$4:Q$43)</f>
        <v/>
      </c>
      <c r="E26" s="442">
        <f>SUMIF(CF.data!$B$4:$B$43,CF!$A26,CF.data!R$4:R$43)</f>
        <v/>
      </c>
      <c r="F26" s="442">
        <f>SUMIF(CF.data!$B$4:$B$43,CF!$A26,CF.data!S$4:S$43)</f>
        <v/>
      </c>
      <c r="G26" s="442">
        <f>SUMIF(CF.data!$B$4:$B$43,CF!$A26,CF.data!T$4:T$43)</f>
        <v/>
      </c>
      <c r="H26" s="442">
        <f>SUMIF(CF.data!$B$4:$B$43,CF!$A26,CF.data!U$4:U$43)</f>
        <v/>
      </c>
      <c r="I26" s="442">
        <f>SUMIF(CF.data!$B$4:$B$43,CF!$A26,CF.data!V$4:V$43)</f>
        <v/>
      </c>
      <c r="J26" s="442">
        <f>SUMIF(CF.data!$B$4:$B$43,CF!$A26,CF.data!W$4:W$43)</f>
        <v/>
      </c>
      <c r="K26" s="442" t="n"/>
      <c r="L26" s="442" t="n"/>
      <c r="M26" s="442" t="n"/>
      <c r="N26" s="442" t="n"/>
      <c r="O26" s="94">
        <f>O80/$O$2</f>
        <v/>
      </c>
      <c r="P26" s="94">
        <f>P80/$O$2</f>
        <v/>
      </c>
      <c r="Q26" s="94">
        <f>Q80/$O$2</f>
        <v/>
      </c>
    </row>
    <row r="27">
      <c r="A27" t="n">
        <v>14</v>
      </c>
      <c r="B27" s="3" t="inlineStr">
        <is>
          <t>Interest paid</t>
        </is>
      </c>
      <c r="C27" s="442">
        <f>SUMIF(CF.data!$B$4:$B$43,CF!$A27,CF.data!P$4:P$43)</f>
        <v/>
      </c>
      <c r="D27" s="442">
        <f>SUMIF(CF.data!$B$4:$B$43,CF!$A27,CF.data!Q$4:Q$43)</f>
        <v/>
      </c>
      <c r="E27" s="442">
        <f>SUMIF(CF.data!$B$4:$B$43,CF!$A27,CF.data!R$4:R$43)</f>
        <v/>
      </c>
      <c r="F27" s="442">
        <f>SUMIF(CF.data!$B$4:$B$43,CF!$A27,CF.data!S$4:S$43)</f>
        <v/>
      </c>
      <c r="G27" s="442">
        <f>SUMIF(CF.data!$B$4:$B$43,CF!$A27,CF.data!T$4:T$43)</f>
        <v/>
      </c>
      <c r="H27" s="442">
        <f>SUMIF(CF.data!$B$4:$B$43,CF!$A27,CF.data!U$4:U$43)</f>
        <v/>
      </c>
      <c r="I27" s="442">
        <f>SUMIF(CF.data!$B$4:$B$43,CF!$A27,CF.data!V$4:V$43)</f>
        <v/>
      </c>
      <c r="J27" s="442">
        <f>SUMIF(CF.data!$B$4:$B$43,CF!$A27,CF.data!W$4:W$43)</f>
        <v/>
      </c>
      <c r="K27" s="442" t="n"/>
      <c r="L27" s="442" t="n"/>
      <c r="M27" s="442" t="n"/>
      <c r="N27" s="442" t="n"/>
      <c r="O27" s="94">
        <f>O81/$O$2</f>
        <v/>
      </c>
      <c r="P27" s="94">
        <f>P81/$O$2</f>
        <v/>
      </c>
      <c r="Q27" s="94">
        <f>Q81/$O$2</f>
        <v/>
      </c>
    </row>
    <row r="28">
      <c r="A28" t="n">
        <v>15</v>
      </c>
      <c r="B28" s="3" t="inlineStr">
        <is>
          <t>Enterprise income tax paid</t>
        </is>
      </c>
      <c r="C28" s="442">
        <f>SUMIF(CF.data!$B$4:$B$43,CF!$A28,CF.data!P$4:P$43)</f>
        <v/>
      </c>
      <c r="D28" s="442">
        <f>SUMIF(CF.data!$B$4:$B$43,CF!$A28,CF.data!Q$4:Q$43)</f>
        <v/>
      </c>
      <c r="E28" s="442">
        <f>SUMIF(CF.data!$B$4:$B$43,CF!$A28,CF.data!R$4:R$43)</f>
        <v/>
      </c>
      <c r="F28" s="442">
        <f>SUMIF(CF.data!$B$4:$B$43,CF!$A28,CF.data!S$4:S$43)</f>
        <v/>
      </c>
      <c r="G28" s="442">
        <f>SUMIF(CF.data!$B$4:$B$43,CF!$A28,CF.data!T$4:T$43)</f>
        <v/>
      </c>
      <c r="H28" s="442">
        <f>SUMIF(CF.data!$B$4:$B$43,CF!$A28,CF.data!U$4:U$43)</f>
        <v/>
      </c>
      <c r="I28" s="442">
        <f>SUMIF(CF.data!$B$4:$B$43,CF!$A28,CF.data!V$4:V$43)</f>
        <v/>
      </c>
      <c r="J28" s="442">
        <f>SUMIF(CF.data!$B$4:$B$43,CF!$A28,CF.data!W$4:W$43)</f>
        <v/>
      </c>
      <c r="K28" s="442" t="n"/>
      <c r="L28" s="442" t="n"/>
      <c r="M28" s="442" t="n"/>
      <c r="N28" s="442" t="n"/>
      <c r="O28" s="94">
        <f>O82/$O$2</f>
        <v/>
      </c>
      <c r="P28" s="94">
        <f>P82/$O$2</f>
        <v/>
      </c>
      <c r="Q28" s="94">
        <f>Q82/$O$2</f>
        <v/>
      </c>
    </row>
    <row r="29">
      <c r="A29" t="n">
        <v>16</v>
      </c>
      <c r="B29" s="3" t="inlineStr">
        <is>
          <t>Other cash inflows from operating activities</t>
        </is>
      </c>
      <c r="C29" s="442" t="n"/>
      <c r="D29" s="442" t="n"/>
      <c r="E29" s="442">
        <f>SUMIF(CF.data!$B$4:$B$43,CF!$A29,CF.data!R$4:R$43)</f>
        <v/>
      </c>
      <c r="F29" s="442">
        <f>SUMIF(CF.data!$B$4:$B$43,CF!$A29,CF.data!S$4:S$43)</f>
        <v/>
      </c>
      <c r="G29" s="442">
        <f>SUMIF(CF.data!$B$4:$B$43,CF!$A29,CF.data!T$4:T$43)</f>
        <v/>
      </c>
      <c r="H29" s="442">
        <f>SUMIF(CF.data!$B$4:$B$43,CF!$A29,CF.data!U$4:U$43)</f>
        <v/>
      </c>
      <c r="I29" s="442">
        <f>SUMIF(CF.data!$B$4:$B$43,CF!$A29,CF.data!V$4:V$43)</f>
        <v/>
      </c>
      <c r="J29" s="442">
        <f>SUMIF(CF.data!$B$4:$B$43,CF!$A29,CF.data!W$4:W$43)</f>
        <v/>
      </c>
      <c r="K29" s="442" t="n"/>
      <c r="L29" s="442" t="n"/>
      <c r="M29" s="442" t="n"/>
      <c r="N29" s="442" t="n"/>
      <c r="O29" s="94">
        <f>O83/$O$2</f>
        <v/>
      </c>
      <c r="P29" s="94">
        <f>P83/$O$2</f>
        <v/>
      </c>
      <c r="Q29" s="94">
        <f>Q83/$O$2</f>
        <v/>
      </c>
    </row>
    <row r="30">
      <c r="A30" t="n">
        <v>17</v>
      </c>
      <c r="B30" s="3" t="inlineStr">
        <is>
          <t>Other cash outflows from operating activities</t>
        </is>
      </c>
      <c r="C30" s="442" t="n">
        <v>-12852</v>
      </c>
      <c r="D30" s="442">
        <f>SUMIF(CF.data!$B$4:$B$43,CF!$A30,CF.data!Q$4:Q$43)</f>
        <v/>
      </c>
      <c r="E30" s="442">
        <f>SUMIF(CF.data!$B$4:$B$43,CF!$A30,CF.data!R$4:R$43)</f>
        <v/>
      </c>
      <c r="F30" s="442">
        <f>SUMIF(CF.data!$B$4:$B$43,CF!$A30,CF.data!S$4:S$43)</f>
        <v/>
      </c>
      <c r="G30" s="442">
        <f>SUMIF(CF.data!$B$4:$B$43,CF!$A30,CF.data!T$4:T$43)</f>
        <v/>
      </c>
      <c r="H30" s="442">
        <f>SUMIF(CF.data!$B$4:$B$43,CF!$A30,CF.data!U$4:U$43)</f>
        <v/>
      </c>
      <c r="I30" s="442">
        <f>SUMIF(CF.data!$B$4:$B$43,CF!$A30,CF.data!V$4:V$43)</f>
        <v/>
      </c>
      <c r="J30" s="442">
        <f>SUMIF(CF.data!$B$4:$B$43,CF!$A30,CF.data!W$4:W$43)</f>
        <v/>
      </c>
      <c r="K30" s="442" t="n"/>
      <c r="L30" s="442" t="n"/>
      <c r="M30" s="442" t="n"/>
      <c r="N30" s="442" t="n"/>
      <c r="O30" s="94">
        <f>O84/$O$2</f>
        <v/>
      </c>
      <c r="P30" s="94">
        <f>P84/$O$2</f>
        <v/>
      </c>
      <c r="Q30" s="94">
        <f>Q84/$O$2</f>
        <v/>
      </c>
    </row>
    <row r="31">
      <c r="B31" s="3" t="n"/>
      <c r="C31" s="442">
        <f>SUMIF(CF.data!$B$4:$B$43,CF!$A31,CF.data!P$4:P$43)</f>
        <v/>
      </c>
      <c r="D31" s="442">
        <f>SUMIF(CF.data!$B$4:$B$43,CF!$A31,CF.data!Q$4:Q$43)</f>
        <v/>
      </c>
      <c r="E31" s="442">
        <f>SUMIF(CF.data!$B$4:$B$43,CF!$A31,CF.data!R$4:R$43)</f>
        <v/>
      </c>
      <c r="F31" s="442">
        <f>SUMIF(CF.data!$B$4:$B$43,CF!$A31,CF.data!S$4:S$43)</f>
        <v/>
      </c>
      <c r="G31" s="442">
        <f>SUMIF(CF.data!$B$4:$B$43,CF!$A31,CF.data!T$4:T$43)</f>
        <v/>
      </c>
      <c r="H31" s="442">
        <f>SUMIF(CF.data!$B$4:$B$43,CF!$A31,CF.data!U$4:U$43)</f>
        <v/>
      </c>
      <c r="I31" s="442">
        <f>SUMIF(CF.data!$B$4:$B$43,CF!$A31,CF.data!V$4:V$43)</f>
        <v/>
      </c>
      <c r="J31" s="442">
        <f>SUMIF(CF.data!$B$4:$B$43,CF!$A31,CF.data!W$4:W$43)</f>
        <v/>
      </c>
      <c r="K31" s="442" t="n"/>
      <c r="L31" s="442" t="n"/>
      <c r="M31" s="442" t="n"/>
      <c r="N31" s="442" t="n"/>
      <c r="O31" s="94">
        <f>O85/$O$2</f>
        <v/>
      </c>
      <c r="P31" s="94">
        <f>P85/$O$2</f>
        <v/>
      </c>
      <c r="Q31" s="94">
        <f>Q85/$O$2</f>
        <v/>
      </c>
    </row>
    <row r="32" customFormat="1" s="135">
      <c r="A32" s="135" t="n">
        <v>20</v>
      </c>
      <c r="B32" s="132" t="inlineStr">
        <is>
          <t>Net cash flows from (used in) operating activities</t>
        </is>
      </c>
      <c r="C32" s="488">
        <f>SUM(C21:C30)</f>
        <v/>
      </c>
      <c r="D32" s="488">
        <f>SUMIF(CF.data!$B$4:$B$43,CF!$A32,CF.data!Q$4:Q$43)</f>
        <v/>
      </c>
      <c r="E32" s="488">
        <f>SUMIF(CF.data!$B$4:$B$43,CF!$A32,CF.data!R$4:R$43)</f>
        <v/>
      </c>
      <c r="F32" s="488">
        <f>SUMIF(CF.data!$B$4:$B$43,CF!$A32,CF.data!S$4:S$43)</f>
        <v/>
      </c>
      <c r="G32" s="488">
        <f>SUMIF(CF.data!$B$4:$B$43,CF!$A32,CF.data!T$4:T$43)</f>
        <v/>
      </c>
      <c r="H32" s="488">
        <f>SUMIF(CF.data!$B$4:$B$43,CF!$A32,CF.data!U$4:U$43)</f>
        <v/>
      </c>
      <c r="I32" s="488">
        <f>SUMIF(CF.data!$B$4:$B$43,CF!$A32,CF.data!V$4:V$43)</f>
        <v/>
      </c>
      <c r="J32" s="488">
        <f>SUMIF(CF.data!$B$4:$B$43,CF!$A32,CF.data!W$4:W$43)</f>
        <v/>
      </c>
      <c r="K32" s="488" t="n"/>
      <c r="L32" s="488" t="n"/>
      <c r="M32" s="488" t="n"/>
      <c r="N32" s="488" t="n"/>
      <c r="O32" s="134">
        <f>O86/$O$2</f>
        <v/>
      </c>
      <c r="P32" s="134">
        <f>P86/$O$2</f>
        <v/>
      </c>
      <c r="Q32" s="134">
        <f>Q86/$O$2</f>
        <v/>
      </c>
    </row>
    <row r="33">
      <c r="B33" s="3" t="n"/>
      <c r="C33" s="442">
        <f>SUMIF(CF.data!$B$4:$B$43,CF!$A33,CF.data!P$4:P$43)</f>
        <v/>
      </c>
      <c r="D33" s="442">
        <f>SUMIF(CF.data!$B$4:$B$43,CF!$A33,CF.data!Q$4:Q$43)</f>
        <v/>
      </c>
      <c r="E33" s="442">
        <f>SUMIF(CF.data!$B$4:$B$43,CF!$A33,CF.data!R$4:R$43)</f>
        <v/>
      </c>
      <c r="F33" s="442">
        <f>SUMIF(CF.data!$B$4:$B$43,CF!$A33,CF.data!S$4:S$43)</f>
        <v/>
      </c>
      <c r="G33" s="442">
        <f>SUMIF(CF.data!$B$4:$B$43,CF!$A33,CF.data!T$4:T$43)</f>
        <v/>
      </c>
      <c r="H33" s="442">
        <f>SUMIF(CF.data!$B$4:$B$43,CF!$A33,CF.data!U$4:U$43)</f>
        <v/>
      </c>
      <c r="I33" s="442">
        <f>SUMIF(CF.data!$B$4:$B$43,CF!$A33,CF.data!V$4:V$43)</f>
        <v/>
      </c>
      <c r="J33" s="442">
        <f>SUMIF(CF.data!$B$4:$B$43,CF!$A33,CF.data!W$4:W$43)</f>
        <v/>
      </c>
      <c r="K33" s="442" t="n"/>
      <c r="L33" s="442" t="n"/>
      <c r="M33" s="442" t="n"/>
      <c r="N33" s="442" t="n"/>
      <c r="O33" s="94">
        <f>O87/$O$2</f>
        <v/>
      </c>
      <c r="P33" s="94">
        <f>P87/$O$2</f>
        <v/>
      </c>
      <c r="Q33" s="94">
        <f>Q87/$O$2</f>
        <v/>
      </c>
    </row>
    <row r="34" customFormat="1" s="135">
      <c r="B34" s="132" t="inlineStr">
        <is>
          <t>II.  CASH FLOWS FROM INVESTING  ACTIVITIES</t>
        </is>
      </c>
      <c r="C34" s="488">
        <f>SUMIF(CF.data!$B$4:$B$43,CF!$A34,CF.data!P$4:P$43)</f>
        <v/>
      </c>
      <c r="D34" s="488">
        <f>SUMIF(CF.data!$B$4:$B$43,CF!$A34,CF.data!Q$4:Q$43)</f>
        <v/>
      </c>
      <c r="E34" s="488">
        <f>SUMIF(CF.data!$B$4:$B$43,CF!$A34,CF.data!R$4:R$43)</f>
        <v/>
      </c>
      <c r="F34" s="488">
        <f>SUMIF(CF.data!$B$4:$B$43,CF!$A34,CF.data!S$4:S$43)</f>
        <v/>
      </c>
      <c r="G34" s="488">
        <f>SUMIF(CF.data!$B$4:$B$43,CF!$A34,CF.data!T$4:T$43)</f>
        <v/>
      </c>
      <c r="H34" s="488">
        <f>SUMIF(CF.data!$B$4:$B$43,CF!$A34,CF.data!U$4:U$43)</f>
        <v/>
      </c>
      <c r="I34" s="488">
        <f>SUMIF(CF.data!$B$4:$B$43,CF!$A34,CF.data!V$4:V$43)</f>
        <v/>
      </c>
      <c r="J34" s="488">
        <f>SUMIF(CF.data!$B$4:$B$43,CF!$A34,CF.data!W$4:W$43)</f>
        <v/>
      </c>
      <c r="K34" s="488" t="n"/>
      <c r="L34" s="488" t="n"/>
      <c r="M34" s="488" t="n"/>
      <c r="N34" s="488" t="n"/>
      <c r="O34" s="134">
        <f>O88/$O$2</f>
        <v/>
      </c>
      <c r="P34" s="134">
        <f>P88/$O$2</f>
        <v/>
      </c>
      <c r="Q34" s="134">
        <f>Q88/$O$2</f>
        <v/>
      </c>
    </row>
    <row r="35" ht="28.8" customHeight="1" s="337">
      <c r="A35" s="100" t="n">
        <v>21</v>
      </c>
      <c r="B35" s="3" t="inlineStr">
        <is>
          <t>Purchase and construction of fixed assets and other long-term assets</t>
        </is>
      </c>
      <c r="C35" s="442">
        <f>SUMIF(CF.data!$B$4:$B$43,CF!$A35,CF.data!P$4:P$43)</f>
        <v/>
      </c>
      <c r="D35" s="442">
        <f>SUMIF(CF.data!$B$4:$B$43,CF!$A35,CF.data!Q$4:Q$43)</f>
        <v/>
      </c>
      <c r="E35" s="442">
        <f>SUMIF(CF.data!$B$4:$B$43,CF!$A35,CF.data!R$4:R$43)</f>
        <v/>
      </c>
      <c r="F35" s="442">
        <f>SUMIF(CF.data!$B$4:$B$43,CF!$A35,CF.data!S$4:S$43)</f>
        <v/>
      </c>
      <c r="G35" s="442">
        <f>SUMIF(CF.data!$B$4:$B$43,CF!$A35,CF.data!T$4:T$43)</f>
        <v/>
      </c>
      <c r="H35" s="442">
        <f>SUMIF(CF.data!$B$4:$B$43,CF!$A35,CF.data!U$4:U$43)</f>
        <v/>
      </c>
      <c r="I35" s="442">
        <f>SUMIF(CF.data!$B$4:$B$43,CF!$A35,CF.data!V$4:V$43)</f>
        <v/>
      </c>
      <c r="J35" s="442">
        <f>SUMIF(CF.data!$B$4:$B$43,CF!$A35,CF.data!W$4:W$43)</f>
        <v/>
      </c>
      <c r="K35" s="442" t="n"/>
      <c r="L35" s="442" t="n"/>
      <c r="M35" s="442" t="n"/>
      <c r="N35" s="442" t="n"/>
      <c r="O35" s="94">
        <f>O89/$O$2</f>
        <v/>
      </c>
      <c r="P35" s="94">
        <f>P89/$O$2</f>
        <v/>
      </c>
      <c r="Q35" s="94">
        <f>Q89/$O$2</f>
        <v/>
      </c>
    </row>
    <row r="36" ht="28.8" customHeight="1" s="337">
      <c r="A36" s="100" t="n">
        <v>22</v>
      </c>
      <c r="B36" s="3" t="inlineStr">
        <is>
          <t>Proceeds from disposals of fixed assets and other long-term assets</t>
        </is>
      </c>
      <c r="C36" s="442">
        <f>SUMIF(CF.data!$B$4:$B$43,CF!$A36,CF.data!P$4:P$43)</f>
        <v/>
      </c>
      <c r="D36" s="442">
        <f>SUMIF(CF.data!$B$4:$B$43,CF!$A36,CF.data!Q$4:Q$43)</f>
        <v/>
      </c>
      <c r="E36" s="442">
        <f>SUMIF(CF.data!$B$4:$B$43,CF!$A36,CF.data!R$4:R$43)</f>
        <v/>
      </c>
      <c r="F36" s="442">
        <f>SUMIF(CF.data!$B$4:$B$43,CF!$A36,CF.data!S$4:S$43)</f>
        <v/>
      </c>
      <c r="G36" s="442">
        <f>SUMIF(CF.data!$B$4:$B$43,CF!$A36,CF.data!T$4:T$43)</f>
        <v/>
      </c>
      <c r="H36" s="442">
        <f>SUMIF(CF.data!$B$4:$B$43,CF!$A36,CF.data!U$4:U$43)</f>
        <v/>
      </c>
      <c r="I36" s="442">
        <f>SUMIF(CF.data!$B$4:$B$43,CF!$A36,CF.data!V$4:V$43)</f>
        <v/>
      </c>
      <c r="J36" s="442">
        <f>SUMIF(CF.data!$B$4:$B$43,CF!$A36,CF.data!W$4:W$43)</f>
        <v/>
      </c>
      <c r="K36" s="442" t="n"/>
      <c r="L36" s="442" t="n"/>
      <c r="M36" s="442" t="n"/>
      <c r="N36" s="442" t="n"/>
      <c r="O36" s="94">
        <f>O90/$O$2</f>
        <v/>
      </c>
      <c r="P36" s="94">
        <f>P90/$O$2</f>
        <v/>
      </c>
      <c r="Q36" s="94">
        <f>Q90/$O$2</f>
        <v/>
      </c>
    </row>
    <row r="37" ht="28.8" customHeight="1" s="337">
      <c r="A37" s="100" t="n">
        <v>23</v>
      </c>
      <c r="B37" s="3" t="inlineStr">
        <is>
          <t>Loans to other entities and payments for purchase of debt instruments of other entities</t>
        </is>
      </c>
      <c r="C37" s="442">
        <f>SUMIF(CF.data!$B$4:$B$43,CF!$A37,CF.data!P$4:P$43)</f>
        <v/>
      </c>
      <c r="D37" s="442">
        <f>SUMIF(CF.data!$B$4:$B$43,CF!$A37,CF.data!Q$4:Q$43)</f>
        <v/>
      </c>
      <c r="E37" s="442">
        <f>SUMIF(CF.data!$B$4:$B$43,CF!$A37,CF.data!R$4:R$43)</f>
        <v/>
      </c>
      <c r="F37" s="442">
        <f>SUMIF(CF.data!$B$4:$B$43,CF!$A37,CF.data!S$4:S$43)</f>
        <v/>
      </c>
      <c r="G37" s="442">
        <f>SUMIF(CF.data!$B$4:$B$43,CF!$A37,CF.data!T$4:T$43)</f>
        <v/>
      </c>
      <c r="H37" s="442">
        <f>SUMIF(CF.data!$B$4:$B$43,CF!$A37,CF.data!U$4:U$43)</f>
        <v/>
      </c>
      <c r="I37" s="442">
        <f>SUMIF(CF.data!$B$4:$B$43,CF!$A37,CF.data!V$4:V$43)</f>
        <v/>
      </c>
      <c r="J37" s="442">
        <f>SUMIF(CF.data!$B$4:$B$43,CF!$A37,CF.data!W$4:W$43)</f>
        <v/>
      </c>
      <c r="K37" s="442" t="n"/>
      <c r="L37" s="442" t="n"/>
      <c r="M37" s="442" t="n"/>
      <c r="N37" s="442" t="n"/>
      <c r="O37" s="94">
        <f>O91/$O$2</f>
        <v/>
      </c>
      <c r="P37" s="94">
        <f>P91/$O$2</f>
        <v/>
      </c>
      <c r="Q37" s="94">
        <f>Q91/$O$2</f>
        <v/>
      </c>
    </row>
    <row r="38" ht="28.8" customHeight="1" s="337">
      <c r="A38" s="100" t="n">
        <v>24</v>
      </c>
      <c r="B38" s="3" t="inlineStr">
        <is>
          <t>Collections from borrowers and proceeds from sale of debt instruments of other entities</t>
        </is>
      </c>
      <c r="C38" s="442">
        <f>SUMIF(CF.data!$B$4:$B$43,CF!$A38,CF.data!P$4:P$43)</f>
        <v/>
      </c>
      <c r="D38" s="442">
        <f>SUMIF(CF.data!$B$4:$B$43,CF!$A38,CF.data!Q$4:Q$43)</f>
        <v/>
      </c>
      <c r="E38" s="442">
        <f>SUMIF(CF.data!$B$4:$B$43,CF!$A38,CF.data!R$4:R$43)</f>
        <v/>
      </c>
      <c r="F38" s="442">
        <f>SUMIF(CF.data!$B$4:$B$43,CF!$A38,CF.data!S$4:S$43)</f>
        <v/>
      </c>
      <c r="G38" s="442">
        <f>SUMIF(CF.data!$B$4:$B$43,CF!$A38,CF.data!T$4:T$43)</f>
        <v/>
      </c>
      <c r="H38" s="442">
        <f>SUMIF(CF.data!$B$4:$B$43,CF!$A38,CF.data!U$4:U$43)</f>
        <v/>
      </c>
      <c r="I38" s="442">
        <f>SUMIF(CF.data!$B$4:$B$43,CF!$A38,CF.data!V$4:V$43)</f>
        <v/>
      </c>
      <c r="J38" s="442">
        <f>SUMIF(CF.data!$B$4:$B$43,CF!$A38,CF.data!W$4:W$43)</f>
        <v/>
      </c>
      <c r="K38" s="442" t="n"/>
      <c r="L38" s="442" t="n"/>
      <c r="M38" s="442" t="n"/>
      <c r="N38" s="442" t="n"/>
      <c r="O38" s="94">
        <f>O92/$O$2</f>
        <v/>
      </c>
      <c r="P38" s="94">
        <f>P92/$O$2</f>
        <v/>
      </c>
      <c r="Q38" s="94">
        <f>Q92/$O$2</f>
        <v/>
      </c>
    </row>
    <row r="39">
      <c r="A39" s="100" t="n">
        <v>25</v>
      </c>
      <c r="B39" s="3" t="inlineStr">
        <is>
          <t>Payments for investments in other entities</t>
        </is>
      </c>
      <c r="C39" s="442" t="n">
        <v>-44792</v>
      </c>
      <c r="D39" s="442">
        <f>SUMIF(CF.data!$B$4:$B$43,CF!$A39,CF.data!Q$4:Q$43)</f>
        <v/>
      </c>
      <c r="E39" s="442">
        <f>SUMIF(CF.data!$B$4:$B$43,CF!$A39,CF.data!R$4:R$43)</f>
        <v/>
      </c>
      <c r="F39" s="442">
        <f>SUMIF(CF.data!$B$4:$B$43,CF!$A39,CF.data!S$4:S$43)</f>
        <v/>
      </c>
      <c r="G39" s="442">
        <f>SUMIF(CF.data!$B$4:$B$43,CF!$A39,CF.data!T$4:T$43)</f>
        <v/>
      </c>
      <c r="H39" s="442">
        <f>SUMIF(CF.data!$B$4:$B$43,CF!$A39,CF.data!U$4:U$43)</f>
        <v/>
      </c>
      <c r="I39" s="442">
        <f>SUMIF(CF.data!$B$4:$B$43,CF!$A39,CF.data!V$4:V$43)</f>
        <v/>
      </c>
      <c r="J39" s="442">
        <f>SUMIF(CF.data!$B$4:$B$43,CF!$A39,CF.data!W$4:W$43)</f>
        <v/>
      </c>
      <c r="K39" s="442" t="n"/>
      <c r="L39" s="442" t="n"/>
      <c r="M39" s="442" t="n"/>
      <c r="N39" s="442" t="n"/>
      <c r="O39" s="94">
        <f>O93/$O$2</f>
        <v/>
      </c>
      <c r="P39" s="94">
        <f>P93/$O$2</f>
        <v/>
      </c>
      <c r="Q39" s="94">
        <f>Q93/$O$2</f>
        <v/>
      </c>
    </row>
    <row r="40">
      <c r="A40" s="100" t="n">
        <v>26</v>
      </c>
      <c r="B40" s="3" t="inlineStr">
        <is>
          <t>Proceeds from sale of investments in other entities</t>
        </is>
      </c>
      <c r="C40" s="442">
        <f>SUMIF(CF.data!$B$4:$B$43,CF!$A40,CF.data!P$4:P$43)</f>
        <v/>
      </c>
      <c r="D40" s="442">
        <f>SUMIF(CF.data!$B$4:$B$43,CF!$A40,CF.data!Q$4:Q$43)</f>
        <v/>
      </c>
      <c r="E40" s="442">
        <f>SUMIF(CF.data!$B$4:$B$43,CF!$A40,CF.data!R$4:R$43)</f>
        <v/>
      </c>
      <c r="F40" s="442">
        <f>SUMIF(CF.data!$B$4:$B$43,CF!$A40,CF.data!S$4:S$43)</f>
        <v/>
      </c>
      <c r="G40" s="442">
        <f>SUMIF(CF.data!$B$4:$B$43,CF!$A40,CF.data!T$4:T$43)</f>
        <v/>
      </c>
      <c r="H40" s="442">
        <f>SUMIF(CF.data!$B$4:$B$43,CF!$A40,CF.data!U$4:U$43)</f>
        <v/>
      </c>
      <c r="I40" s="442">
        <f>SUMIF(CF.data!$B$4:$B$43,CF!$A40,CF.data!V$4:V$43)</f>
        <v/>
      </c>
      <c r="J40" s="442">
        <f>SUMIF(CF.data!$B$4:$B$43,CF!$A40,CF.data!W$4:W$43)</f>
        <v/>
      </c>
      <c r="K40" s="442" t="n"/>
      <c r="L40" s="442" t="n"/>
      <c r="M40" s="442" t="n"/>
      <c r="N40" s="442" t="n"/>
      <c r="O40" s="94">
        <f>O94/$O$2</f>
        <v/>
      </c>
      <c r="P40" s="94">
        <f>P94/$O$2</f>
        <v/>
      </c>
      <c r="Q40" s="94">
        <f>Q94/$O$2</f>
        <v/>
      </c>
    </row>
    <row r="41">
      <c r="A41" s="100" t="n">
        <v>27</v>
      </c>
      <c r="B41" s="3" t="inlineStr">
        <is>
          <t>Interest and dividends received</t>
        </is>
      </c>
      <c r="C41" s="442">
        <f>SUMIF(CF.data!$B$4:$B$43,CF!$A41,CF.data!P$4:P$43)</f>
        <v/>
      </c>
      <c r="D41" s="442">
        <f>SUMIF(CF.data!$B$4:$B$43,CF!$A41,CF.data!Q$4:Q$43)</f>
        <v/>
      </c>
      <c r="E41" s="442">
        <f>SUMIF(CF.data!$B$4:$B$43,CF!$A41,CF.data!R$4:R$43)</f>
        <v/>
      </c>
      <c r="F41" s="442">
        <f>SUMIF(CF.data!$B$4:$B$43,CF!$A41,CF.data!S$4:S$43)</f>
        <v/>
      </c>
      <c r="G41" s="442">
        <f>SUMIF(CF.data!$B$4:$B$43,CF!$A41,CF.data!T$4:T$43)</f>
        <v/>
      </c>
      <c r="H41" s="442">
        <f>SUMIF(CF.data!$B$4:$B$43,CF!$A41,CF.data!U$4:U$43)</f>
        <v/>
      </c>
      <c r="I41" s="442">
        <f>SUMIF(CF.data!$B$4:$B$43,CF!$A41,CF.data!V$4:V$43)</f>
        <v/>
      </c>
      <c r="J41" s="442">
        <f>SUMIF(CF.data!$B$4:$B$43,CF!$A41,CF.data!W$4:W$43)</f>
        <v/>
      </c>
      <c r="K41" s="442" t="n"/>
      <c r="L41" s="442" t="n"/>
      <c r="M41" s="442" t="n"/>
      <c r="N41" s="442" t="n"/>
      <c r="O41" s="94">
        <f>O95/$O$2</f>
        <v/>
      </c>
      <c r="P41" s="94">
        <f>P95/$O$2</f>
        <v/>
      </c>
      <c r="Q41" s="94">
        <f>Q95/$O$2</f>
        <v/>
      </c>
    </row>
    <row r="42">
      <c r="A42" s="103" t="n"/>
      <c r="B42" s="3" t="n"/>
      <c r="C42" s="442">
        <f>SUMIF(CF.data!$B$4:$B$43,CF!$A42,CF.data!P$4:P$43)</f>
        <v/>
      </c>
      <c r="D42" s="442">
        <f>SUMIF(CF.data!$B$4:$B$43,CF!$A42,CF.data!Q$4:Q$43)</f>
        <v/>
      </c>
      <c r="E42" s="442">
        <f>SUMIF(CF.data!$B$4:$B$43,CF!$A42,CF.data!R$4:R$43)</f>
        <v/>
      </c>
      <c r="F42" s="442">
        <f>SUMIF(CF.data!$B$4:$B$43,CF!$A42,CF.data!S$4:S$43)</f>
        <v/>
      </c>
      <c r="G42" s="442">
        <f>SUMIF(CF.data!$B$4:$B$43,CF!$A42,CF.data!T$4:T$43)</f>
        <v/>
      </c>
      <c r="H42" s="442">
        <f>SUMIF(CF.data!$B$4:$B$43,CF!$A42,CF.data!U$4:U$43)</f>
        <v/>
      </c>
      <c r="I42" s="442">
        <f>SUMIF(CF.data!$B$4:$B$43,CF!$A42,CF.data!V$4:V$43)</f>
        <v/>
      </c>
      <c r="J42" s="442">
        <f>SUMIF(CF.data!$B$4:$B$43,CF!$A42,CF.data!W$4:W$43)</f>
        <v/>
      </c>
      <c r="K42" s="442" t="n"/>
      <c r="L42" s="442" t="n"/>
      <c r="M42" s="442" t="n"/>
      <c r="N42" s="442" t="n"/>
      <c r="O42" s="94">
        <f>O96/$O$2</f>
        <v/>
      </c>
      <c r="P42" s="94">
        <f>P96/$O$2</f>
        <v/>
      </c>
      <c r="Q42" s="94">
        <f>Q96/$O$2</f>
        <v/>
      </c>
    </row>
    <row r="43" customFormat="1" s="16">
      <c r="A43" s="136" t="n">
        <v>30</v>
      </c>
      <c r="B43" s="4" t="inlineStr">
        <is>
          <t>Net cash flows from (used in) investing activities</t>
        </is>
      </c>
      <c r="C43" s="486">
        <f>SUM(C35:C41)</f>
        <v/>
      </c>
      <c r="D43" s="486">
        <f>SUMIF(CF.data!$B$4:$B$43,CF!$A43,CF.data!Q$4:Q$43)</f>
        <v/>
      </c>
      <c r="E43" s="486">
        <f>SUMIF(CF.data!$B$4:$B$43,CF!$A43,CF.data!R$4:R$43)</f>
        <v/>
      </c>
      <c r="F43" s="486">
        <f>SUMIF(CF.data!$B$4:$B$43,CF!$A43,CF.data!S$4:S$43)</f>
        <v/>
      </c>
      <c r="G43" s="486">
        <f>SUMIF(CF.data!$B$4:$B$43,CF!$A43,CF.data!T$4:T$43)</f>
        <v/>
      </c>
      <c r="H43" s="486">
        <f>SUMIF(CF.data!$B$4:$B$43,CF!$A43,CF.data!U$4:U$43)</f>
        <v/>
      </c>
      <c r="I43" s="486">
        <f>SUMIF(CF.data!$B$4:$B$43,CF!$A43,CF.data!V$4:V$43)</f>
        <v/>
      </c>
      <c r="J43" s="486">
        <f>SUMIF(CF.data!$B$4:$B$43,CF!$A43,CF.data!W$4:W$43)</f>
        <v/>
      </c>
      <c r="K43" s="486" t="n"/>
      <c r="L43" s="486" t="n"/>
      <c r="M43" s="486" t="n"/>
      <c r="N43" s="486" t="n"/>
      <c r="O43" s="137">
        <f>O97/$O$2</f>
        <v/>
      </c>
      <c r="P43" s="137">
        <f>P97/$O$2</f>
        <v/>
      </c>
      <c r="Q43" s="137">
        <f>Q97/$O$2</f>
        <v/>
      </c>
    </row>
    <row r="44">
      <c r="B44" s="3" t="n"/>
      <c r="C44" s="442">
        <f>SUMIF(CF.data!$B$4:$B$43,CF!$A44,CF.data!P$4:P$43)</f>
        <v/>
      </c>
      <c r="D44" s="442">
        <f>SUMIF(CF.data!$B$4:$B$43,CF!$A44,CF.data!Q$4:Q$43)</f>
        <v/>
      </c>
      <c r="E44" s="442">
        <f>SUMIF(CF.data!$B$4:$B$43,CF!$A44,CF.data!R$4:R$43)</f>
        <v/>
      </c>
      <c r="F44" s="442">
        <f>SUMIF(CF.data!$B$4:$B$43,CF!$A44,CF.data!S$4:S$43)</f>
        <v/>
      </c>
      <c r="G44" s="442">
        <f>SUMIF(CF.data!$B$4:$B$43,CF!$A44,CF.data!T$4:T$43)</f>
        <v/>
      </c>
      <c r="H44" s="442">
        <f>SUMIF(CF.data!$B$4:$B$43,CF!$A44,CF.data!U$4:U$43)</f>
        <v/>
      </c>
      <c r="I44" s="442">
        <f>SUMIF(CF.data!$B$4:$B$43,CF!$A44,CF.data!V$4:V$43)</f>
        <v/>
      </c>
      <c r="J44" s="442">
        <f>SUMIF(CF.data!$B$4:$B$43,CF!$A44,CF.data!W$4:W$43)</f>
        <v/>
      </c>
      <c r="K44" s="442" t="n"/>
      <c r="L44" s="442" t="n"/>
      <c r="M44" s="442" t="n"/>
      <c r="N44" s="442" t="n"/>
      <c r="O44" s="94">
        <f>O98/$O$2</f>
        <v/>
      </c>
      <c r="P44" s="94">
        <f>P98/$O$2</f>
        <v/>
      </c>
      <c r="Q44" s="94">
        <f>Q98/$O$2</f>
        <v/>
      </c>
    </row>
    <row r="45">
      <c r="B45" s="4" t="inlineStr">
        <is>
          <t xml:space="preserve">III. CASH FLOWS FROM FINANCING  ACTIVITIES </t>
        </is>
      </c>
      <c r="C45" s="442">
        <f>SUMIF(CF.data!$B$4:$B$43,CF!$A45,CF.data!P$4:P$43)</f>
        <v/>
      </c>
      <c r="D45" s="442">
        <f>SUMIF(CF.data!$B$4:$B$43,CF!$A45,CF.data!Q$4:Q$43)</f>
        <v/>
      </c>
      <c r="E45" s="442">
        <f>SUMIF(CF.data!$B$4:$B$43,CF!$A45,CF.data!R$4:R$43)</f>
        <v/>
      </c>
      <c r="F45" s="442">
        <f>SUMIF(CF.data!$B$4:$B$43,CF!$A45,CF.data!S$4:S$43)</f>
        <v/>
      </c>
      <c r="G45" s="442">
        <f>SUMIF(CF.data!$B$4:$B$43,CF!$A45,CF.data!T$4:T$43)</f>
        <v/>
      </c>
      <c r="H45" s="442">
        <f>SUMIF(CF.data!$B$4:$B$43,CF!$A45,CF.data!U$4:U$43)</f>
        <v/>
      </c>
      <c r="I45" s="442">
        <f>SUMIF(CF.data!$B$4:$B$43,CF!$A45,CF.data!V$4:V$43)</f>
        <v/>
      </c>
      <c r="J45" s="442">
        <f>SUMIF(CF.data!$B$4:$B$43,CF!$A45,CF.data!W$4:W$43)</f>
        <v/>
      </c>
      <c r="K45" s="442" t="n"/>
      <c r="L45" s="442" t="n"/>
      <c r="M45" s="442" t="n"/>
      <c r="N45" s="442" t="n"/>
      <c r="O45" s="94">
        <f>O99/$O$2</f>
        <v/>
      </c>
      <c r="P45" s="94">
        <f>P99/$O$2</f>
        <v/>
      </c>
      <c r="Q45" s="94">
        <f>Q99/$O$2</f>
        <v/>
      </c>
    </row>
    <row r="46">
      <c r="A46" s="100" t="n">
        <v>31</v>
      </c>
      <c r="B46" s="3" t="inlineStr">
        <is>
          <t>Capital contribution and issuance of shares</t>
        </is>
      </c>
      <c r="C46" s="442">
        <f>SUMIF(CF.data!$B$4:$B$43,CF!$A46,CF.data!P$4:P$43)</f>
        <v/>
      </c>
      <c r="D46" s="442">
        <f>SUMIF(CF.data!$B$4:$B$43,CF!$A46,CF.data!Q$4:Q$43)</f>
        <v/>
      </c>
      <c r="E46" s="442">
        <f>SUMIF(CF.data!$B$4:$B$43,CF!$A46,CF.data!R$4:R$43)</f>
        <v/>
      </c>
      <c r="F46" s="442">
        <f>SUMIF(CF.data!$B$4:$B$43,CF!$A46,CF.data!S$4:S$43)</f>
        <v/>
      </c>
      <c r="G46" s="442">
        <f>SUMIF(CF.data!$B$4:$B$43,CF!$A46,CF.data!T$4:T$43)</f>
        <v/>
      </c>
      <c r="H46" s="442">
        <f>SUMIF(CF.data!$B$4:$B$43,CF!$A46,CF.data!U$4:U$43)</f>
        <v/>
      </c>
      <c r="I46" s="442">
        <f>SUMIF(CF.data!$B$4:$B$43,CF!$A46,CF.data!V$4:V$43)</f>
        <v/>
      </c>
      <c r="J46" s="442">
        <f>SUMIF(CF.data!$B$4:$B$43,CF!$A46,CF.data!W$4:W$43)</f>
        <v/>
      </c>
      <c r="K46" s="442" t="n"/>
      <c r="L46" s="442" t="n"/>
      <c r="M46" s="442" t="n"/>
      <c r="N46" s="442" t="n"/>
      <c r="O46" s="94">
        <f>O100/$O$2</f>
        <v/>
      </c>
      <c r="P46" s="94">
        <f>P100/$O$2</f>
        <v/>
      </c>
      <c r="Q46" s="94">
        <f>Q100/$O$2</f>
        <v/>
      </c>
    </row>
    <row r="47">
      <c r="A47" s="100" t="n">
        <v>32</v>
      </c>
      <c r="B47" s="3" t="inlineStr">
        <is>
          <t>Capital redemption</t>
        </is>
      </c>
      <c r="C47" s="442">
        <f>SUMIF(CF.data!$B$4:$B$43,CF!$A47,CF.data!P$4:P$43)</f>
        <v/>
      </c>
      <c r="D47" s="442">
        <f>SUMIF(CF.data!$B$4:$B$43,CF!$A47,CF.data!Q$4:Q$43)</f>
        <v/>
      </c>
      <c r="E47" s="442">
        <f>SUMIF(CF.data!$B$4:$B$43,CF!$A47,CF.data!R$4:R$43)</f>
        <v/>
      </c>
      <c r="F47" s="442">
        <f>SUMIF(CF.data!$B$4:$B$43,CF!$A47,CF.data!S$4:S$43)</f>
        <v/>
      </c>
      <c r="G47" s="442">
        <f>SUMIF(CF.data!$B$4:$B$43,CF!$A47,CF.data!T$4:T$43)</f>
        <v/>
      </c>
      <c r="H47" s="442">
        <f>SUMIF(CF.data!$B$4:$B$43,CF!$A47,CF.data!U$4:U$43)</f>
        <v/>
      </c>
      <c r="I47" s="442">
        <f>SUMIF(CF.data!$B$4:$B$43,CF!$A47,CF.data!V$4:V$43)</f>
        <v/>
      </c>
      <c r="J47" s="442">
        <f>SUMIF(CF.data!$B$4:$B$43,CF!$A47,CF.data!W$4:W$43)</f>
        <v/>
      </c>
      <c r="K47" s="442" t="n"/>
      <c r="L47" s="442" t="n"/>
      <c r="M47" s="442" t="n"/>
      <c r="N47" s="442" t="n"/>
      <c r="O47" s="94">
        <f>O101/$O$2</f>
        <v/>
      </c>
      <c r="P47" s="94">
        <f>P101/$O$2</f>
        <v/>
      </c>
      <c r="Q47" s="94">
        <f>Q101/$O$2</f>
        <v/>
      </c>
    </row>
    <row r="48">
      <c r="A48" s="100" t="n">
        <v>33</v>
      </c>
      <c r="B48" s="3" t="inlineStr">
        <is>
          <t>Borrowings received</t>
        </is>
      </c>
      <c r="C48" s="442">
        <f>SUMIF(CF.data!$B$4:$B$43,CF!$A48,CF.data!P$4:P$43)</f>
        <v/>
      </c>
      <c r="D48" s="442">
        <f>SUMIF(CF.data!$B$4:$B$43,CF!$A48,CF.data!Q$4:Q$43)</f>
        <v/>
      </c>
      <c r="E48" s="442">
        <f>SUMIF(CF.data!$B$4:$B$43,CF!$A48,CF.data!R$4:R$43)</f>
        <v/>
      </c>
      <c r="F48" s="442">
        <f>SUMIF(CF.data!$B$4:$B$43,CF!$A48,CF.data!S$4:S$43)</f>
        <v/>
      </c>
      <c r="G48" s="442">
        <f>SUMIF(CF.data!$B$4:$B$43,CF!$A48,CF.data!T$4:T$43)</f>
        <v/>
      </c>
      <c r="H48" s="442">
        <f>SUMIF(CF.data!$B$4:$B$43,CF!$A48,CF.data!U$4:U$43)</f>
        <v/>
      </c>
      <c r="I48" s="442">
        <f>SUMIF(CF.data!$B$4:$B$43,CF!$A48,CF.data!V$4:V$43)</f>
        <v/>
      </c>
      <c r="J48" s="442">
        <f>SUMIF(CF.data!$B$4:$B$43,CF!$A48,CF.data!W$4:W$43)</f>
        <v/>
      </c>
      <c r="K48" s="442" t="n"/>
      <c r="L48" s="442" t="n"/>
      <c r="M48" s="442" t="n"/>
      <c r="N48" s="442" t="n"/>
      <c r="O48" s="94">
        <f>O102/$O$2</f>
        <v/>
      </c>
      <c r="P48" s="94">
        <f>P102/$O$2</f>
        <v/>
      </c>
      <c r="Q48" s="94">
        <f>Q102/$O$2</f>
        <v/>
      </c>
    </row>
    <row r="49">
      <c r="A49" s="100" t="n">
        <v>34</v>
      </c>
      <c r="B49" s="3" t="inlineStr">
        <is>
          <t>Borrowings repaid</t>
        </is>
      </c>
      <c r="C49" s="442">
        <f>SUMIF(CF.data!$B$4:$B$43,CF!$A49,CF.data!P$4:P$43)</f>
        <v/>
      </c>
      <c r="D49" s="442">
        <f>SUMIF(CF.data!$B$4:$B$43,CF!$A49,CF.data!Q$4:Q$43)</f>
        <v/>
      </c>
      <c r="E49" s="442">
        <f>SUMIF(CF.data!$B$4:$B$43,CF!$A49,CF.data!R$4:R$43)</f>
        <v/>
      </c>
      <c r="F49" s="442">
        <f>SUMIF(CF.data!$B$4:$B$43,CF!$A49,CF.data!S$4:S$43)</f>
        <v/>
      </c>
      <c r="G49" s="442">
        <f>SUMIF(CF.data!$B$4:$B$43,CF!$A49,CF.data!T$4:T$43)</f>
        <v/>
      </c>
      <c r="H49" s="442">
        <f>SUMIF(CF.data!$B$4:$B$43,CF!$A49,CF.data!U$4:U$43)</f>
        <v/>
      </c>
      <c r="I49" s="442">
        <f>SUMIF(CF.data!$B$4:$B$43,CF!$A49,CF.data!V$4:V$43)</f>
        <v/>
      </c>
      <c r="J49" s="442">
        <f>SUMIF(CF.data!$B$4:$B$43,CF!$A49,CF.data!W$4:W$43)</f>
        <v/>
      </c>
      <c r="K49" s="442" t="n"/>
      <c r="L49" s="442" t="n"/>
      <c r="M49" s="442" t="n"/>
      <c r="N49" s="442" t="n"/>
      <c r="O49" s="94">
        <f>O103/$O$2</f>
        <v/>
      </c>
      <c r="P49" s="94">
        <f>P103/$O$2</f>
        <v/>
      </c>
      <c r="Q49" s="94">
        <f>Q103/$O$2</f>
        <v/>
      </c>
    </row>
    <row r="50">
      <c r="A50" s="100" t="n">
        <v>35</v>
      </c>
      <c r="B50" s="3" t="inlineStr">
        <is>
          <t>Finance lease principal paid</t>
        </is>
      </c>
      <c r="C50" s="442">
        <f>SUMIF(CF.data!$B$4:$B$43,CF!$A50,CF.data!P$4:P$43)</f>
        <v/>
      </c>
      <c r="D50" s="442">
        <f>SUMIF(CF.data!$B$4:$B$43,CF!$A50,CF.data!Q$4:Q$43)</f>
        <v/>
      </c>
      <c r="E50" s="442">
        <f>SUMIF(CF.data!$B$4:$B$43,CF!$A50,CF.data!R$4:R$43)</f>
        <v/>
      </c>
      <c r="F50" s="442">
        <f>SUMIF(CF.data!$B$4:$B$43,CF!$A50,CF.data!S$4:S$43)</f>
        <v/>
      </c>
      <c r="G50" s="442">
        <f>SUMIF(CF.data!$B$4:$B$43,CF!$A50,CF.data!T$4:T$43)</f>
        <v/>
      </c>
      <c r="H50" s="442">
        <f>SUMIF(CF.data!$B$4:$B$43,CF!$A50,CF.data!U$4:U$43)</f>
        <v/>
      </c>
      <c r="I50" s="442">
        <f>SUMIF(CF.data!$B$4:$B$43,CF!$A50,CF.data!V$4:V$43)</f>
        <v/>
      </c>
      <c r="J50" s="442">
        <f>SUMIF(CF.data!$B$4:$B$43,CF!$A50,CF.data!W$4:W$43)</f>
        <v/>
      </c>
      <c r="K50" s="442" t="n"/>
      <c r="L50" s="442" t="n"/>
      <c r="M50" s="442" t="n"/>
      <c r="N50" s="442" t="n"/>
    </row>
    <row r="51">
      <c r="A51" s="100" t="n">
        <v>36</v>
      </c>
      <c r="B51" s="3" t="inlineStr">
        <is>
          <t>Dividends paid</t>
        </is>
      </c>
      <c r="C51" s="442">
        <f>SUMIF(CF.data!$B$4:$B$43,CF!$A51,CF.data!P$4:P$43)</f>
        <v/>
      </c>
      <c r="D51" s="442">
        <f>SUMIF(CF.data!$B$4:$B$43,CF!$A51,CF.data!Q$4:Q$43)</f>
        <v/>
      </c>
      <c r="E51" s="442">
        <f>SUMIF(CF.data!$B$4:$B$43,CF!$A51,CF.data!R$4:R$43)</f>
        <v/>
      </c>
      <c r="F51" s="442">
        <f>SUMIF(CF.data!$B$4:$B$43,CF!$A51,CF.data!S$4:S$43)</f>
        <v/>
      </c>
      <c r="G51" s="442">
        <f>SUMIF(CF.data!$B$4:$B$43,CF!$A51,CF.data!T$4:T$43)</f>
        <v/>
      </c>
      <c r="H51" s="442">
        <f>SUMIF(CF.data!$B$4:$B$43,CF!$A51,CF.data!U$4:U$43)</f>
        <v/>
      </c>
      <c r="I51" s="442">
        <f>SUMIF(CF.data!$B$4:$B$43,CF!$A51,CF.data!V$4:V$43)</f>
        <v/>
      </c>
      <c r="J51" s="442">
        <f>SUMIF(CF.data!$B$4:$B$43,CF!$A51,CF.data!W$4:W$43)</f>
        <v/>
      </c>
      <c r="K51" s="442" t="n"/>
      <c r="L51" s="442" t="n"/>
      <c r="M51" s="442" t="n"/>
      <c r="N51" s="442" t="n"/>
    </row>
    <row r="52">
      <c r="A52" s="100" t="n"/>
      <c r="B52" s="3" t="n"/>
      <c r="C52" s="442">
        <f>SUMIF(CF.data!$B$4:$B$43,CF!$A52,CF.data!P$4:P$43)</f>
        <v/>
      </c>
      <c r="D52" s="442">
        <f>SUMIF(CF.data!$B$4:$B$43,CF!$A52,CF.data!Q$4:Q$43)</f>
        <v/>
      </c>
      <c r="E52" s="442">
        <f>SUMIF(CF.data!$B$4:$B$43,CF!$A52,CF.data!R$4:R$43)</f>
        <v/>
      </c>
      <c r="F52" s="442">
        <f>SUMIF(CF.data!$B$4:$B$43,CF!$A52,CF.data!S$4:S$43)</f>
        <v/>
      </c>
      <c r="G52" s="442">
        <f>SUMIF(CF.data!$B$4:$B$43,CF!$A52,CF.data!T$4:T$43)</f>
        <v/>
      </c>
      <c r="H52" s="442">
        <f>SUMIF(CF.data!$B$4:$B$43,CF!$A52,CF.data!U$4:U$43)</f>
        <v/>
      </c>
      <c r="I52" s="442">
        <f>SUMIF(CF.data!$B$4:$B$43,CF!$A52,CF.data!V$4:V$43)</f>
        <v/>
      </c>
      <c r="J52" s="442">
        <f>SUMIF(CF.data!$B$4:$B$43,CF!$A52,CF.data!W$4:W$43)</f>
        <v/>
      </c>
      <c r="K52" s="442" t="n"/>
      <c r="L52" s="442" t="n"/>
      <c r="M52" s="442" t="n"/>
      <c r="N52" s="442" t="n"/>
    </row>
    <row r="53">
      <c r="A53" s="100" t="n">
        <v>50</v>
      </c>
      <c r="B53" s="3" t="inlineStr">
        <is>
          <t>CF</t>
        </is>
      </c>
      <c r="C53" s="442">
        <f>SUMIF(CF.data!$B$4:$B$43,CF!$A53,CF.data!P$4:P$43)</f>
        <v/>
      </c>
      <c r="D53" s="442">
        <f>SUMIF(CF.data!$B$4:$B$43,CF!$A53,CF.data!Q$4:Q$43)</f>
        <v/>
      </c>
      <c r="E53" s="442">
        <f>SUMIF(CF.data!$B$4:$B$43,CF!$A53,CF.data!R$4:R$43)</f>
        <v/>
      </c>
      <c r="F53" s="442">
        <f>SUMIF(CF.data!$B$4:$B$43,CF!$A53,CF.data!S$4:S$43)</f>
        <v/>
      </c>
      <c r="G53" s="442">
        <f>SUMIF(CF.data!$B$4:$B$43,CF!$A53,CF.data!T$4:T$43)</f>
        <v/>
      </c>
      <c r="H53" s="442">
        <f>SUMIF(CF.data!$B$4:$B$43,CF!$A53,CF.data!U$4:U$43)</f>
        <v/>
      </c>
      <c r="I53" s="442">
        <f>SUMIF(CF.data!$B$4:$B$43,CF!$A53,CF.data!V$4:V$43)</f>
        <v/>
      </c>
      <c r="J53" s="442">
        <f>SUMIF(CF.data!$B$4:$B$43,CF!$A53,CF.data!W$4:W$43)</f>
        <v/>
      </c>
      <c r="K53" s="442" t="n"/>
      <c r="L53" s="442" t="n"/>
      <c r="M53" s="442" t="n"/>
      <c r="N53" s="442" t="n"/>
    </row>
    <row r="54">
      <c r="A54" s="104" t="n">
        <v>60</v>
      </c>
      <c r="B54" s="3" t="inlineStr">
        <is>
          <t>cash begin</t>
        </is>
      </c>
      <c r="C54" s="442">
        <f>SUMIF(CF.data!$B$4:$B$43,CF!$A54,CF.data!P$4:P$43)</f>
        <v/>
      </c>
      <c r="D54" s="442">
        <f>SUMIF(CF.data!$B$4:$B$43,CF!$A54,CF.data!Q$4:Q$43)</f>
        <v/>
      </c>
      <c r="E54" s="442">
        <f>SUMIF(CF.data!$B$4:$B$43,CF!$A54,CF.data!R$4:R$43)</f>
        <v/>
      </c>
      <c r="F54" s="442">
        <f>SUMIF(CF.data!$B$4:$B$43,CF!$A54,CF.data!S$4:S$43)</f>
        <v/>
      </c>
      <c r="G54" s="442">
        <f>SUMIF(CF.data!$B$4:$B$43,CF!$A54,CF.data!T$4:T$43)</f>
        <v/>
      </c>
      <c r="H54" s="442">
        <f>SUMIF(CF.data!$B$4:$B$43,CF!$A54,CF.data!U$4:U$43)</f>
        <v/>
      </c>
      <c r="I54" s="442">
        <f>SUMIF(CF.data!$B$4:$B$43,CF!$A54,CF.data!V$4:V$43)</f>
        <v/>
      </c>
      <c r="J54" s="442">
        <f>SUMIF(CF.data!$B$4:$B$43,CF!$A54,CF.data!W$4:W$43)</f>
        <v/>
      </c>
      <c r="K54" s="442" t="n"/>
      <c r="L54" s="442" t="n"/>
      <c r="M54" s="442" t="n"/>
      <c r="N54" s="442" t="n"/>
    </row>
    <row r="55">
      <c r="A55" s="104" t="n">
        <v>70</v>
      </c>
      <c r="B55" s="3" t="inlineStr">
        <is>
          <t>cash end</t>
        </is>
      </c>
      <c r="C55" s="442">
        <f>SUMIF(CF.data!$B$4:$B$43,CF!$A55,CF.data!P$4:P$43)</f>
        <v/>
      </c>
      <c r="D55" s="442">
        <f>SUMIF(CF.data!$B$4:$B$43,CF!$A55,CF.data!Q$4:Q$43)</f>
        <v/>
      </c>
      <c r="E55" s="442">
        <f>SUMIF(CF.data!$B$4:$B$43,CF!$A55,CF.data!R$4:R$43)</f>
        <v/>
      </c>
      <c r="F55" s="442">
        <f>SUMIF(CF.data!$B$4:$B$43,CF!$A55,CF.data!S$4:S$43)</f>
        <v/>
      </c>
      <c r="G55" s="442">
        <f>SUMIF(CF.data!$B$4:$B$43,CF!$A55,CF.data!T$4:T$43)</f>
        <v/>
      </c>
      <c r="H55" s="442">
        <f>SUMIF(CF.data!$B$4:$B$43,CF!$A55,CF.data!U$4:U$43)</f>
        <v/>
      </c>
      <c r="I55" s="442">
        <f>SUMIF(CF.data!$B$4:$B$43,CF!$A55,CF.data!V$4:V$43)</f>
        <v/>
      </c>
      <c r="J55" s="442">
        <f>SUMIF(CF.data!$B$4:$B$43,CF!$A55,CF.data!W$4:W$43)</f>
        <v/>
      </c>
      <c r="K55" s="442" t="n"/>
      <c r="L55" s="442" t="n"/>
      <c r="M55" s="442" t="n"/>
      <c r="N55" s="442" t="n"/>
    </row>
    <row r="59">
      <c r="O59" s="486" t="n">
        <v>13287366812.22984</v>
      </c>
      <c r="P59" s="486" t="n">
        <v>91425814390.11981</v>
      </c>
      <c r="Q59" s="486" t="n">
        <v>156653459590.252</v>
      </c>
    </row>
    <row r="61">
      <c r="O61" s="442" t="n">
        <v>77662213687.4079</v>
      </c>
      <c r="P61" s="442" t="n">
        <v>178483740624.141</v>
      </c>
      <c r="Q61" s="442" t="n">
        <v>302380589500.5519</v>
      </c>
    </row>
    <row r="62">
      <c r="O62" s="442" t="n">
        <v>-521253048</v>
      </c>
      <c r="P62" s="442" t="n">
        <v>-469127743.1999998</v>
      </c>
      <c r="Q62" s="442" t="n">
        <v>-422214968.8800001</v>
      </c>
    </row>
    <row r="64">
      <c r="O64" s="442" t="n">
        <v>-126862138130.3999</v>
      </c>
      <c r="P64" s="442" t="n">
        <v>-131703438366.2075</v>
      </c>
      <c r="Q64" s="442" t="n">
        <v>-127083519745.4682</v>
      </c>
    </row>
    <row r="72">
      <c r="O72" s="442" t="n">
        <v>221426920261.906</v>
      </c>
      <c r="P72" s="442" t="n">
        <v>204475455344.6315</v>
      </c>
      <c r="Q72" s="442" t="n">
        <v>213381269885.553</v>
      </c>
    </row>
    <row r="73">
      <c r="O73" s="442" t="n">
        <v>4115748571</v>
      </c>
      <c r="P73" s="442" t="n">
        <v>4115748571</v>
      </c>
      <c r="Q73" s="442" t="n">
        <v>5355748571</v>
      </c>
    </row>
    <row r="76">
      <c r="O76" s="442" t="n">
        <v>2908915821831.7</v>
      </c>
      <c r="P76" s="442" t="n">
        <v>1036273600000.415</v>
      </c>
      <c r="Q76" s="442" t="n">
        <v>-14855957216.10123</v>
      </c>
    </row>
    <row r="77">
      <c r="O77" s="442" t="n">
        <v>-2688504750.900002</v>
      </c>
      <c r="P77" s="442" t="n">
        <v>-14786776129.95</v>
      </c>
      <c r="Q77" s="442" t="n">
        <v>-26616197033.91</v>
      </c>
    </row>
    <row r="78">
      <c r="O78" s="442" t="n">
        <v>-1167676356894.16</v>
      </c>
      <c r="P78" s="442" t="n">
        <v>-172666038453.017</v>
      </c>
      <c r="Q78" s="442" t="n">
        <v>-21349295807.7855</v>
      </c>
    </row>
    <row r="79">
      <c r="O79" s="442" t="n">
        <v>-61893140805</v>
      </c>
      <c r="P79" s="442" t="n">
        <v>-295073050036.5</v>
      </c>
      <c r="Q79" s="442" t="n">
        <v>-69943769311.95004</v>
      </c>
    </row>
    <row r="80">
      <c r="O80" s="442" t="n">
        <v>36280922000.09998</v>
      </c>
      <c r="P80" s="442" t="n">
        <v>263264149000.45</v>
      </c>
      <c r="Q80" s="442" t="n">
        <v>0</v>
      </c>
    </row>
    <row r="81">
      <c r="O81" s="442" t="n">
        <v>-155532629312.5512</v>
      </c>
      <c r="P81" s="442" t="n">
        <v>-143625739643.6497</v>
      </c>
      <c r="Q81" s="442" t="n">
        <v>-149881278717.5849</v>
      </c>
    </row>
    <row r="82">
      <c r="O82" s="442" t="n">
        <v>-27000000000</v>
      </c>
      <c r="P82" s="442" t="n">
        <v>-30000000000</v>
      </c>
      <c r="Q82" s="442" t="n">
        <v>-32000000000</v>
      </c>
    </row>
    <row r="83">
      <c r="O83" s="442" t="n">
        <v>20332090.30000001</v>
      </c>
      <c r="P83" s="442" t="n">
        <v>22365299.33000001</v>
      </c>
      <c r="Q83" s="442" t="n">
        <v>24601829.26300004</v>
      </c>
    </row>
    <row r="84">
      <c r="O84" s="442" t="n">
        <v>0</v>
      </c>
    </row>
    <row r="89">
      <c r="O89" s="442" t="n">
        <v>-1509320000000</v>
      </c>
      <c r="P89" s="442" t="n">
        <v>-1836960000000</v>
      </c>
      <c r="Q89" s="442" t="n">
        <v>-1658975850999.55</v>
      </c>
    </row>
    <row r="92">
      <c r="O92" s="442" t="n">
        <v>3622524145</v>
      </c>
      <c r="P92" s="442" t="n">
        <v>0</v>
      </c>
      <c r="Q92" s="442" t="n">
        <v>0</v>
      </c>
    </row>
    <row r="95">
      <c r="O95" s="442" t="n">
        <v>192230457892</v>
      </c>
      <c r="P95" s="442" t="n">
        <v>182392093482</v>
      </c>
      <c r="Q95" s="442" t="n">
        <v>160568729300</v>
      </c>
    </row>
    <row r="100">
      <c r="O100" s="442" t="n">
        <v>2340000000000</v>
      </c>
      <c r="P100" s="442" t="n">
        <v>250000000000</v>
      </c>
      <c r="Q100" s="442" t="n">
        <v>500000000000</v>
      </c>
    </row>
    <row r="102">
      <c r="O102" s="442" t="n">
        <v>520000000000</v>
      </c>
      <c r="P102" s="442" t="n">
        <v>600000000000</v>
      </c>
      <c r="Q102" s="442" t="n">
        <v>900000000000</v>
      </c>
    </row>
    <row r="103">
      <c r="O103" s="442" t="n">
        <v>-3262152529548</v>
      </c>
      <c r="P103" s="442" t="n">
        <v>-180000000000</v>
      </c>
      <c r="Q103" s="442" t="n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>
  <sheetPr codeName="Sheet16">
    <outlinePr summaryBelow="1" summaryRight="1"/>
    <pageSetUpPr/>
  </sheetPr>
  <dimension ref="B2:W84"/>
  <sheetViews>
    <sheetView topLeftCell="A50" workbookViewId="0">
      <selection activeCell="B48" sqref="B48:C78"/>
    </sheetView>
  </sheetViews>
  <sheetFormatPr baseColWidth="8" defaultColWidth="8.88671875" defaultRowHeight="14.4" outlineLevelCol="0"/>
  <cols>
    <col width="3.33203125" customWidth="1" style="337" min="1" max="1"/>
    <col width="8.88671875" customWidth="1" style="324" min="2" max="2"/>
    <col width="64.88671875" customWidth="1" style="337" min="3" max="3"/>
    <col width="31.33203125" customWidth="1" style="337" min="4" max="4"/>
    <col width="9.6640625" customWidth="1" style="337" min="5" max="8"/>
    <col width="11.33203125" customWidth="1" style="337" min="9" max="9"/>
    <col width="9.6640625" customWidth="1" style="337" min="10" max="11"/>
    <col width="11.33203125" customWidth="1" style="337" min="12" max="15"/>
    <col width="11.33203125" bestFit="1" customWidth="1" style="337" min="16" max="18"/>
    <col width="12.33203125" bestFit="1" customWidth="1" style="337" min="19" max="23"/>
    <col width="8.88671875" customWidth="1" style="337" min="24" max="16384"/>
  </cols>
  <sheetData>
    <row r="1" ht="15" customHeight="1" s="337" thickBot="1"/>
    <row r="2" ht="26.4" customHeight="1" s="337" thickBot="1">
      <c r="B2" s="325" t="inlineStr">
        <is>
          <t>BÁO CÁO LƯU CHUYỂN TIỀN TỆ (Gián tiếp)</t>
        </is>
      </c>
      <c r="C2" s="338" t="n"/>
      <c r="D2" s="339" t="n"/>
      <c r="E2" s="107" t="inlineStr">
        <is>
          <t>2018</t>
        </is>
      </c>
      <c r="F2" s="107" t="inlineStr">
        <is>
          <t>2019</t>
        </is>
      </c>
      <c r="G2" s="107" t="inlineStr">
        <is>
          <t>2020</t>
        </is>
      </c>
      <c r="H2" s="107" t="inlineStr">
        <is>
          <t>2021</t>
        </is>
      </c>
      <c r="I2" s="107" t="inlineStr">
        <is>
          <t>2022</t>
        </is>
      </c>
      <c r="J2" s="107" t="n"/>
      <c r="K2" s="107" t="n"/>
      <c r="L2" s="107" t="n"/>
      <c r="M2" s="107" t="n"/>
      <c r="N2" s="107" t="n"/>
      <c r="O2" s="107" t="n"/>
      <c r="P2" s="107" t="n"/>
      <c r="Q2" s="107" t="n"/>
      <c r="R2" s="107" t="n"/>
      <c r="S2" s="107" t="n"/>
      <c r="T2" s="107" t="n"/>
      <c r="U2" s="107" t="n"/>
      <c r="V2" s="107" t="n"/>
      <c r="W2" s="107" t="n"/>
    </row>
    <row r="3" ht="18.6" customHeight="1" s="337" thickTop="1">
      <c r="B3" s="326" t="n"/>
      <c r="C3" s="128" t="inlineStr">
        <is>
          <t>I. Lưu chuyển tiền từ hoạt động kinh doanh</t>
        </is>
      </c>
      <c r="D3" s="340" t="n"/>
    </row>
    <row r="4">
      <c r="B4" s="327" t="inlineStr">
        <is>
          <t>01</t>
        </is>
      </c>
      <c r="C4" s="114" t="inlineStr">
        <is>
          <t>1. Lợi nhuận trước thuế</t>
        </is>
      </c>
      <c r="D4" s="340" t="n"/>
      <c r="E4" s="442" t="n">
        <v>85179</v>
      </c>
      <c r="F4" s="442" t="n">
        <v>235079</v>
      </c>
      <c r="G4" s="442" t="n">
        <v>244085</v>
      </c>
      <c r="H4" s="442" t="n">
        <v>328813</v>
      </c>
      <c r="I4" s="442" t="n">
        <v>-214910</v>
      </c>
      <c r="J4" s="442" t="n"/>
      <c r="K4" s="442" t="n"/>
      <c r="L4" s="442" t="n"/>
      <c r="M4" s="442" t="n"/>
      <c r="N4" s="442" t="n"/>
      <c r="O4" s="442" t="n"/>
      <c r="P4" s="442" t="n"/>
      <c r="Q4" s="442" t="n"/>
      <c r="R4" s="442" t="n"/>
      <c r="S4" s="442" t="n"/>
      <c r="T4" s="442" t="n"/>
      <c r="U4" s="442" t="n"/>
      <c r="V4" s="442" t="n"/>
      <c r="W4" s="442" t="n"/>
    </row>
    <row r="5">
      <c r="B5" s="326" t="n"/>
      <c r="C5" s="114" t="inlineStr">
        <is>
          <t>2. Điều chỉnh cho các khoản</t>
        </is>
      </c>
      <c r="D5" s="340" t="n"/>
      <c r="E5" s="442" t="n"/>
      <c r="F5" s="442" t="n"/>
      <c r="G5" s="442" t="n"/>
      <c r="H5" s="442" t="n"/>
      <c r="I5" s="442" t="n"/>
      <c r="J5" s="442" t="n"/>
      <c r="K5" s="442" t="n"/>
      <c r="L5" s="442" t="n"/>
      <c r="M5" s="442" t="n"/>
      <c r="N5" s="442" t="n"/>
      <c r="O5" s="442" t="n"/>
      <c r="P5" s="442" t="n"/>
      <c r="Q5" s="442" t="n"/>
      <c r="R5" s="442" t="n"/>
      <c r="S5" s="442" t="n"/>
      <c r="T5" s="442" t="n"/>
      <c r="U5" s="442" t="n"/>
      <c r="V5" s="442" t="n"/>
      <c r="W5" s="442" t="n"/>
    </row>
    <row r="6">
      <c r="B6" s="327" t="inlineStr">
        <is>
          <t>02</t>
        </is>
      </c>
      <c r="C6" s="129" t="inlineStr">
        <is>
          <t xml:space="preserve">    - Khấu hao TSCĐ và BĐSĐT</t>
        </is>
      </c>
      <c r="D6" s="417" t="inlineStr">
        <is>
          <t>Depreciation</t>
        </is>
      </c>
      <c r="E6" s="442" t="n">
        <v>30093</v>
      </c>
      <c r="F6" s="442" t="n">
        <v>34038</v>
      </c>
      <c r="G6" s="442" t="n">
        <v>35107</v>
      </c>
      <c r="H6" s="442" t="n">
        <v>35377</v>
      </c>
      <c r="I6" s="442" t="n">
        <v>36795</v>
      </c>
      <c r="J6" s="442" t="n"/>
      <c r="K6" s="442" t="n"/>
      <c r="L6" s="442" t="n"/>
      <c r="M6" s="442" t="n"/>
      <c r="N6" s="442" t="n"/>
      <c r="O6" s="442" t="n"/>
      <c r="P6" s="442" t="n"/>
      <c r="Q6" s="442" t="n"/>
      <c r="R6" s="442" t="n"/>
      <c r="S6" s="442" t="n"/>
      <c r="T6" s="442" t="n"/>
      <c r="U6" s="442" t="n"/>
      <c r="V6" s="442" t="n"/>
      <c r="W6" s="442" t="n"/>
    </row>
    <row r="7">
      <c r="B7" s="328" t="inlineStr">
        <is>
          <t>03</t>
        </is>
      </c>
      <c r="C7" s="129" t="inlineStr">
        <is>
          <t xml:space="preserve">    - Các khoản dự phòng</t>
        </is>
      </c>
      <c r="D7" s="343" t="inlineStr">
        <is>
          <t>Provisions</t>
        </is>
      </c>
      <c r="E7" s="442" t="n">
        <v>50425</v>
      </c>
      <c r="F7" s="442" t="n">
        <v>70148</v>
      </c>
      <c r="G7" s="442" t="n">
        <v>-60361</v>
      </c>
      <c r="H7" s="442" t="n">
        <v>47992</v>
      </c>
      <c r="I7" s="442" t="n">
        <v>33985</v>
      </c>
      <c r="J7" s="442" t="n"/>
      <c r="K7" s="442" t="n"/>
      <c r="L7" s="442" t="n"/>
      <c r="M7" s="442" t="n"/>
      <c r="N7" s="442" t="n"/>
      <c r="O7" s="442" t="n"/>
      <c r="P7" s="442" t="n"/>
      <c r="Q7" s="442" t="n"/>
      <c r="R7" s="442" t="n"/>
      <c r="S7" s="442" t="n"/>
      <c r="T7" s="442" t="n"/>
      <c r="U7" s="442" t="n"/>
      <c r="V7" s="442" t="n"/>
      <c r="W7" s="442" t="n"/>
    </row>
    <row r="8">
      <c r="B8" s="328" t="inlineStr">
        <is>
          <t>04</t>
        </is>
      </c>
      <c r="C8" s="129" t="inlineStr">
        <is>
          <t xml:space="preserve">    - Lãi, lỗ chênh lệch tỷ giá hối đoái do đánh giá lại các khoản mục tiền tệ có gốc ngoại tệ</t>
        </is>
      </c>
      <c r="D8" s="344" t="n"/>
      <c r="E8" s="442" t="n">
        <v>-2181</v>
      </c>
      <c r="F8" s="442" t="n">
        <v>805</v>
      </c>
      <c r="G8" s="442" t="n">
        <v>-50</v>
      </c>
      <c r="H8" s="442" t="n">
        <v>-51</v>
      </c>
      <c r="I8" s="442" t="n">
        <v>-2</v>
      </c>
      <c r="J8" s="442" t="n"/>
      <c r="K8" s="442" t="n"/>
      <c r="L8" s="442" t="n"/>
      <c r="M8" s="442" t="n"/>
      <c r="N8" s="442" t="n"/>
      <c r="O8" s="442" t="n"/>
      <c r="P8" s="442" t="n"/>
      <c r="Q8" s="442" t="n"/>
      <c r="R8" s="442" t="n"/>
      <c r="S8" s="442" t="n"/>
      <c r="T8" s="442" t="n"/>
      <c r="U8" s="442" t="n"/>
      <c r="V8" s="442" t="n"/>
      <c r="W8" s="442" t="n"/>
    </row>
    <row r="9">
      <c r="B9" s="328" t="inlineStr">
        <is>
          <t>05</t>
        </is>
      </c>
      <c r="C9" s="129" t="inlineStr">
        <is>
          <t xml:space="preserve">    - Lãi, lỗ từ hoạt động đầu tư</t>
        </is>
      </c>
      <c r="D9" s="344" t="n"/>
      <c r="E9" s="442" t="n">
        <v>-24409</v>
      </c>
      <c r="F9" s="442" t="n">
        <v>-6735</v>
      </c>
      <c r="G9" s="442" t="n">
        <v>9736</v>
      </c>
      <c r="H9" s="442" t="n">
        <v>-16751</v>
      </c>
      <c r="I9" s="442" t="n">
        <v>-17097</v>
      </c>
      <c r="J9" s="442" t="n"/>
      <c r="K9" s="442" t="n"/>
      <c r="L9" s="442" t="n"/>
      <c r="M9" s="442" t="n"/>
      <c r="N9" s="442" t="n"/>
      <c r="O9" s="442" t="n"/>
      <c r="P9" s="442" t="n"/>
      <c r="Q9" s="442" t="n"/>
      <c r="R9" s="442" t="n"/>
      <c r="S9" s="442" t="n"/>
      <c r="T9" s="442" t="n"/>
      <c r="U9" s="442" t="n"/>
      <c r="V9" s="442" t="n"/>
      <c r="W9" s="442" t="n"/>
    </row>
    <row r="10">
      <c r="B10" s="328" t="inlineStr">
        <is>
          <t>06</t>
        </is>
      </c>
      <c r="C10" s="129" t="inlineStr">
        <is>
          <t xml:space="preserve">    - Chi phí lãi vay </t>
        </is>
      </c>
      <c r="D10" s="344" t="n"/>
      <c r="E10" s="442" t="n">
        <v>56795</v>
      </c>
      <c r="F10" s="442" t="n">
        <v>57156</v>
      </c>
      <c r="G10" s="442" t="n">
        <v>28718</v>
      </c>
      <c r="H10" s="442" t="n">
        <v>13642</v>
      </c>
      <c r="I10" s="442" t="n">
        <v>1119</v>
      </c>
      <c r="J10" s="442" t="n"/>
      <c r="K10" s="442" t="n"/>
      <c r="L10" s="442" t="n"/>
      <c r="M10" s="442" t="n"/>
      <c r="N10" s="442" t="n"/>
      <c r="O10" s="442" t="n"/>
      <c r="P10" s="442" t="n"/>
      <c r="Q10" s="442" t="n"/>
      <c r="R10" s="442" t="n"/>
      <c r="S10" s="442" t="n"/>
      <c r="T10" s="442" t="n"/>
      <c r="U10" s="442" t="n"/>
      <c r="V10" s="442" t="n"/>
      <c r="W10" s="442" t="n"/>
    </row>
    <row r="11">
      <c r="B11" s="328" t="inlineStr">
        <is>
          <t>07</t>
        </is>
      </c>
      <c r="C11" s="129" t="inlineStr">
        <is>
          <t xml:space="preserve">- Các khoản điều chỉnh khác </t>
        </is>
      </c>
      <c r="D11" s="344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442" t="n"/>
      <c r="O11" s="442" t="n"/>
      <c r="P11" s="442" t="n"/>
      <c r="Q11" s="442" t="n"/>
      <c r="R11" s="442" t="n"/>
      <c r="S11" s="442" t="n"/>
      <c r="T11" s="442" t="n"/>
      <c r="U11" s="442" t="n"/>
      <c r="V11" s="442" t="n"/>
      <c r="W11" s="442" t="n"/>
    </row>
    <row r="12" customFormat="1" s="347">
      <c r="B12" s="328" t="inlineStr">
        <is>
          <t>08</t>
        </is>
      </c>
      <c r="C12" s="112" t="inlineStr">
        <is>
          <t>3. Lợi nhuận từ hoạt động kinh doanh trước thay đổi vốn  lưu động</t>
        </is>
      </c>
      <c r="D12" s="345" t="n"/>
      <c r="E12" s="480" t="n">
        <v>195902</v>
      </c>
      <c r="F12" s="480" t="n">
        <v>390491</v>
      </c>
      <c r="G12" s="480" t="n">
        <v>257235</v>
      </c>
      <c r="H12" s="480" t="n">
        <v>409021</v>
      </c>
      <c r="I12" s="480" t="n">
        <v>-160110</v>
      </c>
      <c r="J12" s="480" t="n"/>
      <c r="K12" s="480" t="n"/>
      <c r="L12" s="480" t="n"/>
      <c r="M12" s="480" t="n"/>
      <c r="N12" s="480" t="n"/>
      <c r="O12" s="480" t="n"/>
      <c r="P12" s="480" t="n"/>
      <c r="Q12" s="480" t="n"/>
      <c r="R12" s="480" t="n"/>
      <c r="S12" s="480" t="n"/>
      <c r="T12" s="480" t="n"/>
      <c r="U12" s="480" t="n"/>
      <c r="V12" s="480" t="n"/>
      <c r="W12" s="480" t="n"/>
    </row>
    <row r="13">
      <c r="B13" s="328" t="inlineStr">
        <is>
          <t>09</t>
        </is>
      </c>
      <c r="C13" s="129" t="inlineStr">
        <is>
          <t xml:space="preserve">    - Tăng, giảm các khoản phải thu</t>
        </is>
      </c>
      <c r="D13" s="344" t="inlineStr">
        <is>
          <t xml:space="preserve">Changes in Net Working Capital </t>
        </is>
      </c>
      <c r="E13" s="442" t="n">
        <v>601518</v>
      </c>
      <c r="F13" s="442" t="n">
        <v>27268</v>
      </c>
      <c r="G13" s="442" t="n">
        <v>-311497</v>
      </c>
      <c r="H13" s="442" t="n">
        <v>135997</v>
      </c>
      <c r="I13" s="442" t="n">
        <v>952827</v>
      </c>
      <c r="J13" s="442" t="n"/>
      <c r="K13" s="442" t="n"/>
      <c r="L13" s="442" t="n"/>
      <c r="M13" s="442" t="n"/>
      <c r="N13" s="442" t="n"/>
      <c r="O13" s="442" t="n"/>
      <c r="P13" s="442" t="n"/>
      <c r="Q13" s="442" t="n"/>
      <c r="R13" s="442" t="n"/>
      <c r="S13" s="442" t="n"/>
      <c r="T13" s="442" t="n"/>
      <c r="U13" s="442" t="n"/>
      <c r="V13" s="442" t="n"/>
      <c r="W13" s="442" t="n"/>
    </row>
    <row r="14">
      <c r="B14" s="324" t="n">
        <v>10</v>
      </c>
      <c r="C14" s="129" t="inlineStr">
        <is>
          <t xml:space="preserve">    - Tăng, giảm hàng tồn kho</t>
        </is>
      </c>
      <c r="D14" s="344" t="inlineStr">
        <is>
          <t xml:space="preserve">Changes in Net Working Capital </t>
        </is>
      </c>
      <c r="E14" s="442" t="n">
        <v>-856322</v>
      </c>
      <c r="F14" s="442" t="n">
        <v>191580</v>
      </c>
      <c r="G14" s="442" t="n">
        <v>115929</v>
      </c>
      <c r="H14" s="442" t="n">
        <v>343121</v>
      </c>
      <c r="I14" s="442" t="n">
        <v>-1568789</v>
      </c>
      <c r="J14" s="442" t="n"/>
      <c r="K14" s="442" t="n"/>
      <c r="L14" s="442" t="n"/>
      <c r="M14" s="442" t="n"/>
      <c r="N14" s="442" t="n"/>
      <c r="O14" s="442" t="n"/>
      <c r="P14" s="442" t="n"/>
      <c r="Q14" s="442" t="n"/>
      <c r="R14" s="442" t="n"/>
      <c r="S14" s="442" t="n"/>
      <c r="T14" s="442" t="n"/>
      <c r="U14" s="442" t="n"/>
      <c r="V14" s="442" t="n"/>
      <c r="W14" s="442" t="n"/>
    </row>
    <row r="15">
      <c r="B15" s="324" t="n">
        <v>11</v>
      </c>
      <c r="C15" s="129" t="inlineStr">
        <is>
          <t xml:space="preserve">    - Tăng, giảm các khoản phải trả (Không kể lãi vay phải trả, thuế thu nhập doanh nghiệp phải nộp)</t>
        </is>
      </c>
      <c r="D15" s="344" t="inlineStr">
        <is>
          <t xml:space="preserve">Changes in Net Working Capital </t>
        </is>
      </c>
      <c r="E15" s="442" t="n">
        <v>344768</v>
      </c>
      <c r="F15" s="442" t="n">
        <v>-68724</v>
      </c>
      <c r="G15" s="442" t="n">
        <v>195721</v>
      </c>
      <c r="H15" s="442" t="n">
        <v>-318536</v>
      </c>
      <c r="I15" s="442" t="n">
        <v>87935</v>
      </c>
      <c r="J15" s="442" t="n"/>
      <c r="K15" s="442" t="n"/>
      <c r="L15" s="442" t="n"/>
      <c r="M15" s="442" t="n"/>
      <c r="N15" s="442" t="n"/>
      <c r="O15" s="442" t="n"/>
      <c r="P15" s="442" t="n"/>
      <c r="Q15" s="442" t="n"/>
      <c r="R15" s="442" t="n"/>
      <c r="S15" s="442" t="n"/>
      <c r="T15" s="442" t="n"/>
      <c r="U15" s="442" t="n"/>
      <c r="V15" s="442" t="n"/>
      <c r="W15" s="442" t="n"/>
    </row>
    <row r="16">
      <c r="B16" s="324" t="n">
        <v>12</v>
      </c>
      <c r="C16" s="129" t="inlineStr">
        <is>
          <t xml:space="preserve">    - Tăng, giảm chi phí trả trước </t>
        </is>
      </c>
      <c r="D16" s="344" t="inlineStr">
        <is>
          <t xml:space="preserve">Changes in Net Working Capital </t>
        </is>
      </c>
      <c r="E16" s="442" t="n">
        <v>1980</v>
      </c>
      <c r="F16" s="442" t="n">
        <v>-6099</v>
      </c>
      <c r="G16" s="442" t="n">
        <v>5622</v>
      </c>
      <c r="H16" s="442" t="n">
        <v>-3126</v>
      </c>
      <c r="I16" s="442" t="n">
        <v>1192</v>
      </c>
      <c r="J16" s="442" t="n"/>
      <c r="K16" s="442" t="n"/>
      <c r="L16" s="442" t="n"/>
      <c r="M16" s="442" t="n"/>
      <c r="N16" s="442" t="n"/>
      <c r="O16" s="442" t="n"/>
      <c r="P16" s="442" t="n"/>
      <c r="Q16" s="442" t="n"/>
      <c r="R16" s="442" t="n"/>
      <c r="S16" s="442" t="n"/>
      <c r="T16" s="442" t="n"/>
      <c r="U16" s="442" t="n"/>
      <c r="V16" s="442" t="n"/>
      <c r="W16" s="442" t="n"/>
    </row>
    <row r="17">
      <c r="B17" s="324" t="n">
        <v>13</v>
      </c>
      <c r="C17" s="129" t="inlineStr">
        <is>
          <t xml:space="preserve">    - Tăng, giảm chứng khoán kinh doanh</t>
        </is>
      </c>
      <c r="D17" s="344" t="n"/>
      <c r="E17" s="442" t="n"/>
      <c r="F17" s="442" t="n"/>
      <c r="G17" s="442" t="n"/>
      <c r="H17" s="442" t="n"/>
      <c r="I17" s="442" t="n"/>
      <c r="J17" s="442" t="n"/>
      <c r="K17" s="442" t="n"/>
      <c r="L17" s="442" t="n"/>
      <c r="M17" s="442" t="n"/>
      <c r="N17" s="442" t="n"/>
      <c r="O17" s="442" t="n"/>
      <c r="P17" s="442" t="n"/>
      <c r="Q17" s="442" t="n"/>
      <c r="R17" s="442" t="n"/>
      <c r="S17" s="442" t="n"/>
      <c r="T17" s="442" t="n"/>
      <c r="U17" s="442" t="n"/>
      <c r="V17" s="442" t="n"/>
      <c r="W17" s="442" t="n"/>
    </row>
    <row r="18">
      <c r="B18" s="324" t="n">
        <v>14</v>
      </c>
      <c r="C18" s="129" t="inlineStr">
        <is>
          <t xml:space="preserve">    - Tiền lãi vay đã trả</t>
        </is>
      </c>
      <c r="D18" s="489" t="inlineStr">
        <is>
          <t>Total Interest Paid</t>
        </is>
      </c>
      <c r="E18" s="442" t="n">
        <v>-33017</v>
      </c>
      <c r="F18" s="442" t="n">
        <v>-15052</v>
      </c>
      <c r="G18" s="442" t="n">
        <v>-28555</v>
      </c>
      <c r="H18" s="442" t="n">
        <v>-30150</v>
      </c>
      <c r="I18" s="442" t="n">
        <v>-73223</v>
      </c>
      <c r="J18" s="442" t="n"/>
      <c r="K18" s="442" t="n"/>
      <c r="L18" s="442" t="n"/>
      <c r="M18" s="442" t="n"/>
      <c r="N18" s="442" t="n"/>
      <c r="O18" s="442" t="n"/>
      <c r="P18" s="442" t="n"/>
      <c r="Q18" s="442" t="n"/>
      <c r="R18" s="442" t="n"/>
      <c r="S18" s="442" t="n"/>
      <c r="T18" s="442" t="n"/>
      <c r="U18" s="442" t="n"/>
      <c r="V18" s="442" t="n"/>
      <c r="W18" s="442" t="n"/>
    </row>
    <row r="19">
      <c r="B19" s="324" t="n">
        <v>15</v>
      </c>
      <c r="C19" s="129" t="inlineStr">
        <is>
          <t xml:space="preserve">    - Thuế thu nhập doanh nghiệp đã nộp</t>
        </is>
      </c>
      <c r="D19" s="490" t="inlineStr">
        <is>
          <t>Total Tax Paid</t>
        </is>
      </c>
      <c r="E19" s="442" t="n">
        <v>-3412</v>
      </c>
      <c r="F19" s="442" t="n">
        <v>-29812</v>
      </c>
      <c r="G19" s="442" t="n">
        <v>-67443</v>
      </c>
      <c r="H19" s="442" t="n">
        <v>-44377</v>
      </c>
      <c r="I19" s="442" t="n">
        <v>-58201</v>
      </c>
      <c r="J19" s="442" t="n"/>
      <c r="K19" s="442" t="n"/>
      <c r="L19" s="442" t="n"/>
      <c r="M19" s="442" t="n"/>
      <c r="N19" s="442" t="n"/>
      <c r="O19" s="442" t="n"/>
      <c r="P19" s="442" t="n"/>
      <c r="Q19" s="442" t="n"/>
      <c r="R19" s="442" t="n"/>
      <c r="S19" s="442" t="n"/>
      <c r="T19" s="442" t="n"/>
      <c r="U19" s="442" t="n"/>
      <c r="V19" s="442" t="n"/>
      <c r="W19" s="442" t="n"/>
    </row>
    <row r="20">
      <c r="B20" s="324" t="n">
        <v>16</v>
      </c>
      <c r="C20" s="129" t="inlineStr">
        <is>
          <t xml:space="preserve">    - Tiền thu khác từ hoạt động kinh doanh</t>
        </is>
      </c>
      <c r="D20" s="344" t="inlineStr">
        <is>
          <t xml:space="preserve">Changes in Net Working Capital </t>
        </is>
      </c>
      <c r="E20" s="442" t="n"/>
      <c r="F20" s="442" t="n"/>
      <c r="G20" s="442" t="n"/>
      <c r="H20" s="442" t="n"/>
      <c r="I20" s="442" t="n"/>
      <c r="J20" s="442" t="n"/>
      <c r="K20" s="442" t="n"/>
      <c r="L20" s="442" t="n"/>
      <c r="M20" s="442" t="n"/>
      <c r="N20" s="442" t="n"/>
      <c r="O20" s="442" t="n"/>
      <c r="P20" s="442" t="n"/>
      <c r="Q20" s="442" t="n"/>
      <c r="R20" s="442" t="n"/>
      <c r="S20" s="442" t="n"/>
      <c r="T20" s="442" t="n"/>
      <c r="U20" s="442" t="n"/>
      <c r="V20" s="442" t="n"/>
      <c r="W20" s="442" t="n"/>
    </row>
    <row r="21">
      <c r="B21" s="324" t="n">
        <v>17</v>
      </c>
      <c r="C21" s="129" t="inlineStr">
        <is>
          <t xml:space="preserve">    - Tiền chi khác cho hoạt động kinh doanh</t>
        </is>
      </c>
      <c r="D21" s="344" t="inlineStr">
        <is>
          <t xml:space="preserve">Changes in Net Working Capital </t>
        </is>
      </c>
      <c r="E21" s="442" t="n"/>
      <c r="F21" s="442" t="n"/>
      <c r="G21" s="442" t="n"/>
      <c r="H21" s="442" t="n"/>
      <c r="I21" s="442" t="n">
        <v>-5160</v>
      </c>
      <c r="J21" s="442" t="n"/>
      <c r="K21" s="442" t="n"/>
      <c r="L21" s="442" t="n"/>
      <c r="M21" s="442" t="n"/>
      <c r="N21" s="442" t="n"/>
      <c r="O21" s="442" t="n"/>
      <c r="P21" s="442" t="n"/>
      <c r="Q21" s="442" t="n"/>
      <c r="R21" s="442" t="n"/>
      <c r="S21" s="442" t="n"/>
      <c r="T21" s="442" t="n"/>
      <c r="U21" s="442" t="n"/>
      <c r="V21" s="442" t="n"/>
      <c r="W21" s="442" t="n"/>
    </row>
    <row r="22" customFormat="1" s="347">
      <c r="B22" s="329" t="n">
        <v>20</v>
      </c>
      <c r="C22" s="130" t="inlineStr">
        <is>
          <t>Lưu chuyển tiền thuần từ hoạt động kinh doanh</t>
        </is>
      </c>
      <c r="D22" s="345" t="n"/>
      <c r="E22" s="480" t="n">
        <v>251416</v>
      </c>
      <c r="F22" s="480" t="n">
        <v>489654</v>
      </c>
      <c r="G22" s="480" t="n">
        <v>167013</v>
      </c>
      <c r="H22" s="480" t="n">
        <v>491951</v>
      </c>
      <c r="I22" s="480" t="n">
        <v>-823531</v>
      </c>
      <c r="J22" s="480" t="n"/>
      <c r="K22" s="480" t="n"/>
      <c r="L22" s="480" t="n"/>
      <c r="M22" s="480" t="n"/>
      <c r="N22" s="480" t="n"/>
      <c r="O22" s="480" t="n"/>
      <c r="P22" s="480" t="n"/>
      <c r="Q22" s="480" t="n"/>
      <c r="R22" s="480" t="n"/>
      <c r="S22" s="480" t="n"/>
      <c r="T22" s="480" t="n"/>
      <c r="U22" s="480" t="n"/>
      <c r="V22" s="480" t="n"/>
      <c r="W22" s="480" t="n"/>
    </row>
    <row r="23" ht="18" customHeight="1" s="337">
      <c r="B23" s="326" t="n"/>
      <c r="C23" s="128" t="inlineStr">
        <is>
          <t>II. Lưu chuyển tiền từ hoạt động đầu tư</t>
        </is>
      </c>
      <c r="D23" s="340" t="n"/>
      <c r="E23" s="442" t="n"/>
      <c r="F23" s="442" t="n"/>
      <c r="G23" s="442" t="n"/>
      <c r="H23" s="442" t="n"/>
      <c r="I23" s="442" t="n"/>
      <c r="J23" s="442" t="n"/>
      <c r="K23" s="442" t="n"/>
      <c r="L23" s="442" t="n"/>
      <c r="M23" s="442" t="n"/>
      <c r="N23" s="442" t="n"/>
      <c r="O23" s="442" t="n"/>
      <c r="P23" s="442" t="n"/>
      <c r="Q23" s="442" t="n"/>
      <c r="R23" s="442" t="n"/>
      <c r="S23" s="442" t="n"/>
      <c r="T23" s="442" t="n"/>
      <c r="U23" s="442" t="n"/>
      <c r="V23" s="442" t="n"/>
      <c r="W23" s="442" t="n"/>
    </row>
    <row r="24">
      <c r="B24" s="327" t="n">
        <v>21</v>
      </c>
      <c r="C24" s="114" t="inlineStr">
        <is>
          <t>1.Tiền chi để mua sắm, xây dựng TSCĐ và các tài sản dài hạn khác</t>
        </is>
      </c>
      <c r="D24" s="405" t="inlineStr">
        <is>
          <t>Purchases Fixed assets, intangible assets</t>
        </is>
      </c>
      <c r="E24" s="442" t="n">
        <v>15567</v>
      </c>
      <c r="F24" s="442" t="n">
        <v>-40977</v>
      </c>
      <c r="G24" s="442" t="n">
        <v>-27998</v>
      </c>
      <c r="H24" s="442" t="n">
        <v>-51622</v>
      </c>
      <c r="I24" s="442" t="n">
        <v>-21160</v>
      </c>
      <c r="J24" s="442" t="n"/>
      <c r="K24" s="442" t="n"/>
      <c r="L24" s="442" t="n"/>
      <c r="M24" s="442" t="n"/>
      <c r="N24" s="442" t="n"/>
      <c r="O24" s="442" t="n"/>
      <c r="P24" s="442" t="n"/>
      <c r="Q24" s="442" t="n"/>
      <c r="R24" s="442" t="n"/>
      <c r="S24" s="442" t="n"/>
      <c r="T24" s="442" t="n"/>
      <c r="U24" s="442" t="n"/>
      <c r="V24" s="442" t="n"/>
      <c r="W24" s="442" t="n"/>
    </row>
    <row r="25">
      <c r="B25" s="327" t="n">
        <v>22</v>
      </c>
      <c r="C25" s="114" t="inlineStr">
        <is>
          <t>2.Tiền thu từ thanh lý, nhượng bán TSCĐ và các tài sản dài hạn khác</t>
        </is>
      </c>
      <c r="D25" s="405" t="inlineStr">
        <is>
          <t>Purchases Fixed assets, intangible assets</t>
        </is>
      </c>
      <c r="E25" s="442" t="n"/>
      <c r="F25" s="442" t="n">
        <v>41</v>
      </c>
      <c r="G25" s="442" t="n"/>
      <c r="H25" s="442" t="n">
        <v>627</v>
      </c>
      <c r="I25" s="442" t="n">
        <v>54105</v>
      </c>
      <c r="J25" s="442" t="n"/>
      <c r="K25" s="442" t="n"/>
      <c r="L25" s="442" t="n"/>
      <c r="M25" s="442" t="n"/>
      <c r="N25" s="442" t="n"/>
      <c r="O25" s="442" t="n"/>
      <c r="P25" s="442" t="n"/>
      <c r="Q25" s="442" t="n"/>
      <c r="R25" s="442" t="n"/>
      <c r="S25" s="442" t="n"/>
      <c r="T25" s="442" t="n"/>
      <c r="U25" s="442" t="n"/>
      <c r="V25" s="442" t="n"/>
      <c r="W25" s="442" t="n"/>
    </row>
    <row r="26">
      <c r="B26" s="327" t="n">
        <v>23</v>
      </c>
      <c r="C26" s="114" t="inlineStr">
        <is>
          <t>3.Tiền chi cho vay, mua các công cụ nợ của đơn vị khác</t>
        </is>
      </c>
      <c r="D26" s="405" t="inlineStr">
        <is>
          <t>Acquisitions, Investments net of Divestments</t>
        </is>
      </c>
      <c r="E26" s="442" t="n"/>
      <c r="F26" s="442" t="n"/>
      <c r="G26" s="442" t="n"/>
      <c r="H26" s="442" t="n">
        <v>-5700</v>
      </c>
      <c r="I26" s="442" t="n">
        <v>-141100</v>
      </c>
      <c r="J26" s="442" t="n"/>
      <c r="K26" s="442" t="n"/>
      <c r="L26" s="442" t="n"/>
      <c r="M26" s="442" t="n"/>
      <c r="N26" s="442" t="n"/>
      <c r="O26" s="442" t="n"/>
      <c r="P26" s="442" t="n"/>
      <c r="Q26" s="442" t="n"/>
      <c r="R26" s="442" t="n"/>
      <c r="S26" s="442" t="n"/>
      <c r="T26" s="442" t="n"/>
      <c r="U26" s="442" t="n"/>
      <c r="V26" s="442" t="n"/>
      <c r="W26" s="442" t="n"/>
    </row>
    <row r="27">
      <c r="B27" s="327" t="n">
        <v>24</v>
      </c>
      <c r="C27" s="114" t="inlineStr">
        <is>
          <t>4.Tiền thu hồi cho vay, bán lại các công cụ nợ của đơn vị khác</t>
        </is>
      </c>
      <c r="D27" s="405" t="inlineStr">
        <is>
          <t>Acquisitions, Investments net of Divestments</t>
        </is>
      </c>
      <c r="E27" s="442" t="n"/>
      <c r="F27" s="442" t="n"/>
      <c r="G27" s="442" t="n">
        <v>-6000</v>
      </c>
      <c r="H27" s="442" t="n"/>
      <c r="I27" s="442" t="n">
        <v>141000</v>
      </c>
      <c r="J27" s="442" t="n"/>
      <c r="K27" s="442" t="n"/>
      <c r="L27" s="442" t="n"/>
      <c r="M27" s="442" t="n"/>
      <c r="N27" s="442" t="n"/>
      <c r="O27" s="442" t="n"/>
      <c r="P27" s="442" t="n"/>
      <c r="Q27" s="442" t="n"/>
      <c r="R27" s="442" t="n"/>
      <c r="S27" s="442" t="n"/>
      <c r="T27" s="442" t="n"/>
      <c r="U27" s="442" t="n"/>
      <c r="V27" s="442" t="n"/>
      <c r="W27" s="442" t="n"/>
    </row>
    <row r="28">
      <c r="B28" s="327" t="n">
        <v>25</v>
      </c>
      <c r="C28" s="114" t="inlineStr">
        <is>
          <t>5.Tiền chi đầu tư góp vốn vào đơn vị khác</t>
        </is>
      </c>
      <c r="D28" s="405" t="inlineStr">
        <is>
          <t>Acquisitions, Investments net of Divestments</t>
        </is>
      </c>
      <c r="E28" s="442" t="n"/>
      <c r="F28" s="442" t="n">
        <v>-49400</v>
      </c>
      <c r="G28" s="442" t="n">
        <v>-4000</v>
      </c>
      <c r="H28" s="442" t="n">
        <v>-159010</v>
      </c>
      <c r="I28" s="442" t="n">
        <v>-15309</v>
      </c>
      <c r="J28" s="442" t="n"/>
      <c r="K28" s="442" t="n"/>
      <c r="L28" s="442" t="n"/>
      <c r="M28" s="442" t="n"/>
      <c r="N28" s="442" t="n"/>
      <c r="O28" s="442" t="n"/>
      <c r="P28" s="442" t="n"/>
      <c r="Q28" s="442" t="n"/>
      <c r="R28" s="442" t="n"/>
      <c r="S28" s="442" t="n"/>
      <c r="T28" s="442" t="n"/>
      <c r="U28" s="442" t="n"/>
      <c r="V28" s="442" t="n"/>
      <c r="W28" s="442" t="n"/>
    </row>
    <row r="29">
      <c r="B29" s="327" t="n">
        <v>26</v>
      </c>
      <c r="C29" s="114" t="inlineStr">
        <is>
          <t>6.Tiền thu hồi đầu tư góp vốn vào đơn vị khác</t>
        </is>
      </c>
      <c r="D29" s="405" t="inlineStr">
        <is>
          <t>Acquisitions, Investments net of Divestments</t>
        </is>
      </c>
      <c r="E29" s="442" t="n">
        <v>14376</v>
      </c>
      <c r="F29" s="442" t="n"/>
      <c r="G29" s="442" t="n"/>
      <c r="H29" s="442" t="n">
        <v>27152</v>
      </c>
      <c r="I29" s="442" t="n">
        <v>678873</v>
      </c>
      <c r="J29" s="442" t="n"/>
      <c r="K29" s="442" t="n"/>
      <c r="L29" s="442" t="n"/>
      <c r="M29" s="442" t="n"/>
      <c r="N29" s="442" t="n"/>
      <c r="O29" s="442" t="n"/>
      <c r="P29" s="442" t="n"/>
      <c r="Q29" s="442" t="n"/>
      <c r="R29" s="442" t="n"/>
      <c r="S29" s="442" t="n"/>
      <c r="T29" s="442" t="n"/>
      <c r="U29" s="442" t="n"/>
      <c r="V29" s="442" t="n"/>
      <c r="W29" s="442" t="n"/>
    </row>
    <row r="30">
      <c r="B30" s="327" t="n">
        <v>27</v>
      </c>
      <c r="C30" s="114" t="inlineStr">
        <is>
          <t>7.Tiền thu lãi cho vay, cổ tức và lợi nhuận được chia</t>
        </is>
      </c>
      <c r="D30" s="405" t="inlineStr">
        <is>
          <t xml:space="preserve">Interest, Dividend  and FX results </t>
        </is>
      </c>
      <c r="E30" s="442" t="n">
        <v>469</v>
      </c>
      <c r="F30" s="442" t="n">
        <v>254</v>
      </c>
      <c r="G30" s="442" t="n">
        <v>654</v>
      </c>
      <c r="H30" s="442" t="n">
        <v>19108</v>
      </c>
      <c r="I30" s="442" t="n">
        <v>17097</v>
      </c>
      <c r="J30" s="442" t="n"/>
      <c r="K30" s="442" t="n"/>
      <c r="L30" s="442" t="n"/>
      <c r="M30" s="442" t="n"/>
      <c r="N30" s="442" t="n"/>
      <c r="O30" s="442" t="n"/>
      <c r="P30" s="442" t="n"/>
      <c r="Q30" s="442" t="n"/>
      <c r="R30" s="442" t="n"/>
      <c r="S30" s="442" t="n"/>
      <c r="T30" s="442" t="n"/>
      <c r="U30" s="442" t="n"/>
      <c r="V30" s="442" t="n"/>
      <c r="W30" s="442" t="n"/>
    </row>
    <row r="31" customFormat="1" s="347">
      <c r="B31" s="330" t="n">
        <v>30</v>
      </c>
      <c r="C31" s="130" t="inlineStr">
        <is>
          <t>Lưu chuyển tiền thuần từ hoạt động đầu tư</t>
        </is>
      </c>
      <c r="D31" s="345" t="n"/>
      <c r="E31" s="480" t="n">
        <v>30413</v>
      </c>
      <c r="F31" s="480" t="n">
        <v>-90082</v>
      </c>
      <c r="G31" s="480" t="n">
        <v>-37344</v>
      </c>
      <c r="H31" s="480" t="n">
        <v>-169444</v>
      </c>
      <c r="I31" s="480" t="n">
        <v>713506</v>
      </c>
      <c r="J31" s="480" t="n"/>
      <c r="K31" s="480" t="n"/>
      <c r="L31" s="480" t="n"/>
      <c r="M31" s="480" t="n"/>
      <c r="N31" s="480" t="n"/>
      <c r="O31" s="480" t="n"/>
      <c r="P31" s="480" t="n"/>
      <c r="Q31" s="480" t="n"/>
      <c r="R31" s="480" t="n"/>
      <c r="S31" s="480" t="n"/>
      <c r="T31" s="480" t="n"/>
      <c r="U31" s="480" t="n"/>
      <c r="V31" s="480" t="n"/>
      <c r="W31" s="480" t="n"/>
    </row>
    <row r="32" ht="18" customHeight="1" s="337">
      <c r="B32" s="326" t="n"/>
      <c r="C32" s="128" t="inlineStr">
        <is>
          <t>III. Lưu chuyển tiền từ hoạt động tài chính</t>
        </is>
      </c>
      <c r="D32" s="340" t="n"/>
      <c r="E32" s="442" t="n"/>
      <c r="F32" s="442" t="n"/>
      <c r="G32" s="442" t="n"/>
      <c r="H32" s="442" t="n"/>
      <c r="I32" s="442" t="n"/>
      <c r="J32" s="442" t="n"/>
      <c r="K32" s="442" t="n"/>
      <c r="L32" s="442" t="n"/>
      <c r="M32" s="442" t="n"/>
      <c r="N32" s="442" t="n"/>
      <c r="O32" s="442" t="n"/>
      <c r="P32" s="442" t="n"/>
      <c r="Q32" s="442" t="n"/>
      <c r="R32" s="442" t="n"/>
      <c r="S32" s="442" t="n"/>
      <c r="T32" s="442" t="n"/>
      <c r="U32" s="442" t="n"/>
      <c r="V32" s="442" t="n"/>
      <c r="W32" s="442" t="n"/>
    </row>
    <row r="33">
      <c r="B33" s="327" t="n">
        <v>31</v>
      </c>
      <c r="C33" s="114" t="inlineStr">
        <is>
          <t>1.Tiền thu từ phát hành cổ phiếu, nhận vốn góp của chủ sở hữu</t>
        </is>
      </c>
      <c r="D33" s="491" t="inlineStr">
        <is>
          <t>Share Issues / Repurchases</t>
        </is>
      </c>
      <c r="E33" s="442" t="n"/>
      <c r="F33" s="442" t="n"/>
      <c r="G33" s="442" t="n"/>
      <c r="H33" s="442" t="n"/>
      <c r="I33" s="442" t="n"/>
      <c r="J33" s="442" t="n"/>
      <c r="K33" s="442" t="n"/>
      <c r="L33" s="442" t="n"/>
      <c r="M33" s="442" t="n"/>
      <c r="N33" s="442" t="n"/>
      <c r="O33" s="442" t="n"/>
      <c r="P33" s="442" t="n"/>
      <c r="Q33" s="442" t="n"/>
      <c r="R33" s="442" t="n"/>
      <c r="S33" s="442" t="n"/>
      <c r="T33" s="442" t="n"/>
      <c r="U33" s="442" t="n"/>
      <c r="V33" s="442" t="n"/>
      <c r="W33" s="442" t="n"/>
    </row>
    <row r="34">
      <c r="B34" s="327" t="n">
        <v>32</v>
      </c>
      <c r="C34" s="114" t="inlineStr">
        <is>
          <t>2.Tiền chi trả vốn góp cho các chủ sở hữu, mua lại cổ phiếu của doanh nghiệp đã phát hành</t>
        </is>
      </c>
      <c r="D34" s="491" t="inlineStr">
        <is>
          <t>Share Issues / Repurchases</t>
        </is>
      </c>
      <c r="E34" s="442" t="n"/>
      <c r="F34" s="442" t="n"/>
      <c r="G34" s="442" t="n"/>
      <c r="H34" s="442" t="n"/>
      <c r="I34" s="442" t="n"/>
      <c r="J34" s="442" t="n"/>
      <c r="K34" s="442" t="n"/>
      <c r="L34" s="442" t="n"/>
      <c r="M34" s="442" t="n"/>
      <c r="N34" s="442" t="n"/>
      <c r="O34" s="442" t="n"/>
      <c r="P34" s="442" t="n"/>
      <c r="Q34" s="442" t="n"/>
      <c r="R34" s="442" t="n"/>
      <c r="S34" s="442" t="n"/>
      <c r="T34" s="442" t="n"/>
      <c r="U34" s="442" t="n"/>
      <c r="V34" s="442" t="n"/>
      <c r="W34" s="442" t="n"/>
    </row>
    <row r="35">
      <c r="B35" s="327" t="n">
        <v>33</v>
      </c>
      <c r="C35" s="114" t="inlineStr">
        <is>
          <t>3.Tiền thu từ đi vay</t>
        </is>
      </c>
      <c r="D35" s="491" t="inlineStr">
        <is>
          <t>Net Debt Drawings / Repayments</t>
        </is>
      </c>
      <c r="E35" s="442" t="n">
        <v>66295</v>
      </c>
      <c r="F35" s="442" t="n">
        <v>60322</v>
      </c>
      <c r="G35" s="442" t="n">
        <v>81517</v>
      </c>
      <c r="H35" s="442" t="n">
        <v>31933</v>
      </c>
      <c r="I35" s="442" t="n">
        <v>20750</v>
      </c>
      <c r="J35" s="442" t="n"/>
      <c r="K35" s="442" t="n"/>
      <c r="L35" s="442" t="n"/>
      <c r="M35" s="442" t="n"/>
      <c r="N35" s="442" t="n"/>
      <c r="O35" s="442" t="n"/>
      <c r="P35" s="442" t="n"/>
      <c r="Q35" s="442" t="n"/>
      <c r="R35" s="442" t="n"/>
      <c r="S35" s="442" t="n"/>
      <c r="T35" s="442" t="n"/>
      <c r="U35" s="442" t="n"/>
      <c r="V35" s="442" t="n"/>
      <c r="W35" s="442" t="n"/>
    </row>
    <row r="36">
      <c r="B36" s="327" t="n">
        <v>34</v>
      </c>
      <c r="C36" s="114" t="inlineStr">
        <is>
          <t>4.Tiền trả nợ gốc vay</t>
        </is>
      </c>
      <c r="D36" s="491" t="inlineStr">
        <is>
          <t>Net Debt Drawings / Repayments</t>
        </is>
      </c>
      <c r="E36" s="442" t="n">
        <v>-410009</v>
      </c>
      <c r="F36" s="442" t="n">
        <v>-408232</v>
      </c>
      <c r="G36" s="442" t="n">
        <v>-231442</v>
      </c>
      <c r="H36" s="442" t="n">
        <v>-195682</v>
      </c>
      <c r="I36" s="442" t="n">
        <v>-118699</v>
      </c>
      <c r="J36" s="442" t="n"/>
      <c r="K36" s="442" t="n"/>
      <c r="L36" s="442" t="n"/>
      <c r="M36" s="442" t="n"/>
      <c r="N36" s="442" t="n"/>
      <c r="O36" s="442" t="n"/>
      <c r="P36" s="442" t="n"/>
      <c r="Q36" s="442" t="n"/>
      <c r="R36" s="442" t="n"/>
      <c r="S36" s="442" t="n"/>
      <c r="T36" s="442" t="n"/>
      <c r="U36" s="442" t="n"/>
      <c r="V36" s="442" t="n"/>
      <c r="W36" s="442" t="n"/>
    </row>
    <row r="37">
      <c r="B37" s="327" t="n">
        <v>35</v>
      </c>
      <c r="C37" s="114" t="inlineStr">
        <is>
          <t>5.Tiền trả nợ gốc thuê tài chính</t>
        </is>
      </c>
      <c r="D37" s="491" t="inlineStr">
        <is>
          <t>Net Debt Drawings / Repayments</t>
        </is>
      </c>
      <c r="E37" s="442" t="n"/>
      <c r="F37" s="442" t="n"/>
      <c r="G37" s="442" t="n"/>
      <c r="H37" s="442" t="n"/>
      <c r="I37" s="442" t="n">
        <v>-6114</v>
      </c>
      <c r="J37" s="442" t="n"/>
      <c r="K37" s="442" t="n"/>
      <c r="L37" s="442" t="n"/>
      <c r="M37" s="442" t="n"/>
      <c r="N37" s="442" t="n"/>
      <c r="O37" s="442" t="n"/>
      <c r="P37" s="442" t="n"/>
      <c r="Q37" s="442" t="n"/>
      <c r="R37" s="442" t="n"/>
      <c r="S37" s="442" t="n"/>
      <c r="T37" s="442" t="n"/>
      <c r="U37" s="442" t="n"/>
      <c r="V37" s="442" t="n"/>
      <c r="W37" s="442" t="n"/>
    </row>
    <row r="38">
      <c r="B38" s="327" t="n">
        <v>36</v>
      </c>
      <c r="C38" s="114" t="inlineStr">
        <is>
          <t>6. Cổ tức, lợi nhuận đã trả cho chủ sở hữu</t>
        </is>
      </c>
      <c r="D38" s="491" t="inlineStr">
        <is>
          <t>Total Dividend Paid</t>
        </is>
      </c>
      <c r="E38" s="442" t="n"/>
      <c r="F38" s="442" t="n"/>
      <c r="G38" s="442" t="n"/>
      <c r="H38" s="442" t="n">
        <v>-8934</v>
      </c>
      <c r="I38" s="442" t="n"/>
      <c r="J38" s="442" t="n"/>
      <c r="K38" s="442" t="n"/>
      <c r="L38" s="442" t="n"/>
      <c r="M38" s="442" t="n"/>
      <c r="N38" s="442" t="n"/>
      <c r="O38" s="442" t="n"/>
      <c r="P38" s="442" t="n"/>
      <c r="Q38" s="442" t="n"/>
      <c r="R38" s="442" t="n"/>
      <c r="S38" s="442" t="n"/>
      <c r="T38" s="442" t="n"/>
      <c r="U38" s="442" t="n"/>
      <c r="V38" s="442" t="n"/>
      <c r="W38" s="442" t="n"/>
    </row>
    <row r="39" customFormat="1" s="347">
      <c r="B39" s="330" t="n">
        <v>40</v>
      </c>
      <c r="C39" s="130" t="inlineStr">
        <is>
          <t>Lưu chuyển tiền thuần từ hoạt động tài chính</t>
        </is>
      </c>
      <c r="D39" s="345" t="n"/>
      <c r="E39" s="480" t="n">
        <v>-343713</v>
      </c>
      <c r="F39" s="480" t="n">
        <v>-347910</v>
      </c>
      <c r="G39" s="480" t="n">
        <v>-149925</v>
      </c>
      <c r="H39" s="480" t="n">
        <v>-172683</v>
      </c>
      <c r="I39" s="480" t="n">
        <v>-104063</v>
      </c>
      <c r="J39" s="480" t="n"/>
      <c r="K39" s="480" t="n"/>
      <c r="L39" s="480" t="n"/>
      <c r="M39" s="480" t="n"/>
      <c r="N39" s="480" t="n"/>
      <c r="O39" s="480" t="n"/>
      <c r="P39" s="480" t="n"/>
      <c r="Q39" s="480" t="n"/>
      <c r="R39" s="480" t="n"/>
      <c r="S39" s="480" t="n"/>
      <c r="T39" s="480" t="n"/>
      <c r="U39" s="480" t="n"/>
      <c r="V39" s="480" t="n"/>
      <c r="W39" s="480" t="n"/>
    </row>
    <row r="40" customFormat="1" s="347">
      <c r="B40" s="330" t="n">
        <v>50</v>
      </c>
      <c r="C40" s="130" t="inlineStr">
        <is>
          <t>Lưu chuyển tiền thuần trong kỳ (50=20+30+40)</t>
        </is>
      </c>
      <c r="D40" s="345" t="n"/>
      <c r="E40" s="480" t="n">
        <v>-61885</v>
      </c>
      <c r="F40" s="480" t="n">
        <v>51661</v>
      </c>
      <c r="G40" s="480" t="n">
        <v>-20256</v>
      </c>
      <c r="H40" s="480" t="n">
        <v>149823</v>
      </c>
      <c r="I40" s="480" t="n">
        <v>-214088</v>
      </c>
      <c r="J40" s="480" t="n"/>
      <c r="K40" s="480" t="n"/>
      <c r="L40" s="480" t="n"/>
      <c r="M40" s="480" t="n"/>
      <c r="N40" s="480" t="n"/>
      <c r="O40" s="480" t="n"/>
      <c r="P40" s="480" t="n"/>
      <c r="Q40" s="480" t="n"/>
      <c r="R40" s="480" t="n"/>
      <c r="S40" s="480" t="n"/>
      <c r="T40" s="480" t="n"/>
      <c r="U40" s="480" t="n"/>
      <c r="V40" s="480" t="n"/>
      <c r="W40" s="480" t="n"/>
    </row>
    <row r="41" customFormat="1" s="347">
      <c r="B41" s="330" t="n">
        <v>60</v>
      </c>
      <c r="C41" s="130" t="inlineStr">
        <is>
          <t>Tiền và tương đương tiền đầu kỳ</t>
        </is>
      </c>
      <c r="D41" s="345" t="n"/>
      <c r="E41" s="480" t="n">
        <v>112315</v>
      </c>
      <c r="F41" s="480" t="n">
        <v>50430</v>
      </c>
      <c r="G41" s="480" t="n">
        <v>102092</v>
      </c>
      <c r="H41" s="480" t="n">
        <v>81836</v>
      </c>
      <c r="I41" s="480" t="n">
        <v>231659</v>
      </c>
      <c r="J41" s="480" t="n"/>
      <c r="K41" s="480" t="n"/>
      <c r="L41" s="480" t="n"/>
      <c r="M41" s="480" t="n"/>
      <c r="N41" s="480" t="n"/>
      <c r="O41" s="480" t="n"/>
      <c r="P41" s="480" t="n"/>
      <c r="Q41" s="480" t="n"/>
      <c r="R41" s="480" t="n"/>
      <c r="S41" s="480" t="n"/>
      <c r="T41" s="480" t="n"/>
      <c r="U41" s="480" t="n"/>
      <c r="V41" s="480" t="n"/>
      <c r="W41" s="480" t="n"/>
    </row>
    <row r="42" customFormat="1" s="347">
      <c r="B42" s="330" t="n">
        <v>61</v>
      </c>
      <c r="C42" s="130" t="inlineStr">
        <is>
          <t>Ảnh hưởng của thay đổi tỷ giá hối đoái quy đổi ngoại tệ</t>
        </is>
      </c>
      <c r="D42" s="345" t="n"/>
      <c r="E42" s="480" t="n"/>
      <c r="F42" s="480" t="n"/>
      <c r="G42" s="480" t="n"/>
      <c r="H42" s="480" t="n"/>
      <c r="I42" s="480" t="n">
        <v>2</v>
      </c>
      <c r="J42" s="480" t="n"/>
      <c r="K42" s="480" t="n"/>
      <c r="L42" s="480" t="n"/>
      <c r="M42" s="480" t="n"/>
      <c r="N42" s="480" t="n"/>
      <c r="O42" s="480" t="n"/>
      <c r="P42" s="480" t="n"/>
      <c r="Q42" s="480" t="n"/>
      <c r="R42" s="480" t="n"/>
      <c r="S42" s="480" t="n"/>
      <c r="T42" s="480" t="n"/>
      <c r="U42" s="480" t="n"/>
      <c r="V42" s="480" t="n"/>
      <c r="W42" s="480" t="n"/>
    </row>
    <row r="43" customFormat="1" s="347">
      <c r="B43" s="330" t="n">
        <v>70</v>
      </c>
      <c r="C43" s="130" t="inlineStr">
        <is>
          <t>Tiền và tương đương tiền cuối kỳ (70=50+60+61)</t>
        </is>
      </c>
      <c r="D43" s="345" t="n"/>
      <c r="E43" s="480" t="n">
        <v>50430</v>
      </c>
      <c r="F43" s="480" t="n">
        <v>102092</v>
      </c>
      <c r="G43" s="480" t="n">
        <v>81836</v>
      </c>
      <c r="H43" s="480" t="n">
        <v>231659</v>
      </c>
      <c r="I43" s="480" t="n">
        <v>17573</v>
      </c>
      <c r="J43" s="480" t="n"/>
      <c r="K43" s="480" t="n"/>
      <c r="L43" s="480" t="n"/>
      <c r="M43" s="480" t="n"/>
      <c r="N43" s="480" t="n"/>
      <c r="O43" s="480" t="n"/>
      <c r="P43" s="480" t="n"/>
      <c r="Q43" s="480" t="n"/>
      <c r="R43" s="480" t="n"/>
      <c r="S43" s="480" t="n"/>
      <c r="T43" s="480" t="n"/>
      <c r="U43" s="480" t="n"/>
      <c r="V43" s="480" t="n"/>
      <c r="W43" s="480" t="n"/>
    </row>
    <row r="46" ht="25.2" customHeight="1" s="337" thickBot="1">
      <c r="B46" s="331" t="inlineStr">
        <is>
          <t>BÁO CÁO LƯU CHUYỂN TIỀN TỆ (Trực tiếp)</t>
        </is>
      </c>
      <c r="C46" s="351" t="n"/>
    </row>
    <row r="47" ht="15" customHeight="1" s="337" thickTop="1">
      <c r="B47" s="332" t="n"/>
      <c r="C47" s="319" t="inlineStr">
        <is>
          <t>I. Lưu chuyển tiền từ hoạt động kinh doanh</t>
        </is>
      </c>
    </row>
    <row r="48">
      <c r="B48" s="327" t="inlineStr">
        <is>
          <t>01</t>
        </is>
      </c>
      <c r="C48" s="322" t="inlineStr">
        <is>
          <t>1. Tiền thu từ bán hàng, cung cấp dịch vụ và doanh thu khác</t>
        </is>
      </c>
    </row>
    <row r="49">
      <c r="B49" s="327" t="inlineStr">
        <is>
          <t>02</t>
        </is>
      </c>
      <c r="C49" s="322" t="inlineStr">
        <is>
          <t>2. Tiền chi trả cho người cung cấp hàng hóa và dịch vụ</t>
        </is>
      </c>
    </row>
    <row r="50">
      <c r="B50" s="328" t="inlineStr">
        <is>
          <t>03</t>
        </is>
      </c>
      <c r="C50" s="322" t="inlineStr">
        <is>
          <t>3. Tiền chi trả cho người lao động</t>
        </is>
      </c>
    </row>
    <row r="51">
      <c r="B51" s="328" t="inlineStr">
        <is>
          <t>04</t>
        </is>
      </c>
      <c r="C51" s="322" t="inlineStr">
        <is>
          <t>4. Tiền lãi vay đã trả</t>
        </is>
      </c>
    </row>
    <row r="52">
      <c r="B52" s="328" t="inlineStr">
        <is>
          <t>05</t>
        </is>
      </c>
      <c r="C52" s="322" t="inlineStr">
        <is>
          <t>5. Thuế thu nhập doanh nghiệp đã nộp</t>
        </is>
      </c>
    </row>
    <row r="53">
      <c r="B53" s="328" t="inlineStr">
        <is>
          <t>06</t>
        </is>
      </c>
      <c r="C53" s="322" t="inlineStr">
        <is>
          <t>6. Tiền thu khác từ hoạt động kinh doanh</t>
        </is>
      </c>
    </row>
    <row r="54">
      <c r="B54" s="328" t="inlineStr">
        <is>
          <t>07</t>
        </is>
      </c>
      <c r="C54" s="322" t="inlineStr">
        <is>
          <t>7. Tiền chi khác cho hoạt động kinh doanh</t>
        </is>
      </c>
    </row>
    <row r="55">
      <c r="B55" s="334" t="n">
        <v>20</v>
      </c>
      <c r="C55" s="323" t="inlineStr">
        <is>
          <t>Lưu chuyển tiền thuần từ hoạt động kinh doanh</t>
        </is>
      </c>
    </row>
    <row r="56">
      <c r="B56" s="333" t="n"/>
      <c r="C56" s="321" t="n"/>
    </row>
    <row r="57">
      <c r="B57" s="333" t="n"/>
      <c r="C57" s="321" t="inlineStr">
        <is>
          <t>II. Lưu chuyển tiền từ hoạt động đầu tư</t>
        </is>
      </c>
    </row>
    <row r="58">
      <c r="B58" s="333" t="n">
        <v>21</v>
      </c>
      <c r="C58" s="322" t="inlineStr">
        <is>
          <t>1.Tiền chi để mua sắm, xây dựng TSCĐ và các tài sản dài hạn khác</t>
        </is>
      </c>
    </row>
    <row r="59">
      <c r="B59" s="333" t="n">
        <v>22</v>
      </c>
      <c r="C59" s="322" t="inlineStr">
        <is>
          <t>2.Tiền thu từ thanh lý, nhượng bán TSCĐ và các tài sản dài hạn khác</t>
        </is>
      </c>
    </row>
    <row r="60">
      <c r="B60" s="333" t="n">
        <v>23</v>
      </c>
      <c r="C60" s="322" t="inlineStr">
        <is>
          <t>3.Tiền chi cho vay, mua các công cụ nợ của đơn vị khác</t>
        </is>
      </c>
    </row>
    <row r="61">
      <c r="B61" s="333" t="n">
        <v>24</v>
      </c>
      <c r="C61" s="322" t="inlineStr">
        <is>
          <t>4.Tiền thu hồi cho vay, bán lại các công cụ nợ của đơn vị khác</t>
        </is>
      </c>
    </row>
    <row r="62">
      <c r="B62" s="333" t="n">
        <v>25</v>
      </c>
      <c r="C62" s="322" t="inlineStr">
        <is>
          <t>5.Tiền chi đầu tư góp vốn vào đơn vị khác</t>
        </is>
      </c>
    </row>
    <row r="63">
      <c r="B63" s="333" t="n">
        <v>26</v>
      </c>
      <c r="C63" s="322" t="inlineStr">
        <is>
          <t>6.Tiền thu hồi đầu tư góp vốn vào đơn vị khác</t>
        </is>
      </c>
    </row>
    <row r="64">
      <c r="B64" s="333" t="n">
        <v>27</v>
      </c>
      <c r="C64" s="322" t="inlineStr">
        <is>
          <t>7.Tiền thu lãi cho vay, cổ tức và lợi nhuận được chia</t>
        </is>
      </c>
    </row>
    <row r="65">
      <c r="B65" s="334" t="n">
        <v>30</v>
      </c>
      <c r="C65" s="323" t="inlineStr">
        <is>
          <t>Lưu chuyển tiền thuần từ hoạt động đầu tư</t>
        </is>
      </c>
    </row>
    <row r="66">
      <c r="B66" s="333" t="n"/>
      <c r="C66" s="321" t="n"/>
    </row>
    <row r="67">
      <c r="B67" s="333" t="n"/>
      <c r="C67" s="321" t="inlineStr">
        <is>
          <t>III. Lưu chuyển tiền từ hoạt động tài chính</t>
        </is>
      </c>
    </row>
    <row r="68">
      <c r="B68" s="333" t="n">
        <v>31</v>
      </c>
      <c r="C68" s="322" t="inlineStr">
        <is>
          <t>1. Tiền thu từ phát hành cổ phiếu, nhận vốn góp của chủ sở hữu</t>
        </is>
      </c>
    </row>
    <row r="69" ht="27.6" customHeight="1" s="337">
      <c r="B69" s="333" t="n">
        <v>32</v>
      </c>
      <c r="C69" s="322" t="inlineStr">
        <is>
          <t xml:space="preserve">2. Tiền trả lại vốn góp cho các chủ sở hữu, mua lại cổ phiếu  của doanh nghiệp đã phát hành   </t>
        </is>
      </c>
    </row>
    <row r="70">
      <c r="B70" s="333" t="n">
        <v>33</v>
      </c>
      <c r="C70" s="322" t="inlineStr">
        <is>
          <t>3. Tiền thu từ đi vay</t>
        </is>
      </c>
    </row>
    <row r="71">
      <c r="B71" s="333" t="n">
        <v>34</v>
      </c>
      <c r="C71" s="322" t="inlineStr">
        <is>
          <t>4. Tiền trả nợ gốc vay</t>
        </is>
      </c>
    </row>
    <row r="72">
      <c r="B72" s="333" t="n">
        <v>35</v>
      </c>
      <c r="C72" s="322" t="inlineStr">
        <is>
          <t>5. Tiền trả nợ gốc thuê tài chính</t>
        </is>
      </c>
    </row>
    <row r="73">
      <c r="B73" s="333" t="n">
        <v>36</v>
      </c>
      <c r="C73" s="322" t="inlineStr">
        <is>
          <t>6. Cổ tức, lợi nhuận đã trả cho chủ sở hữu</t>
        </is>
      </c>
    </row>
    <row r="74">
      <c r="B74" s="334" t="n">
        <v>40</v>
      </c>
      <c r="C74" s="323" t="inlineStr">
        <is>
          <t>Lưu chuyển tiền thuần từ hoạt động tài chính</t>
        </is>
      </c>
    </row>
    <row r="75">
      <c r="B75" s="335" t="n">
        <v>50</v>
      </c>
      <c r="C75" s="321" t="inlineStr">
        <is>
          <t>Lưu chuyển tiền thuần trong kỳ (50 = 20+30+40)</t>
        </is>
      </c>
    </row>
    <row r="76">
      <c r="B76" s="335" t="n">
        <v>60</v>
      </c>
      <c r="C76" s="321" t="inlineStr">
        <is>
          <t>Tiền và tương đương tiền đầu kỳ</t>
        </is>
      </c>
    </row>
    <row r="77">
      <c r="B77" s="333" t="n">
        <v>61</v>
      </c>
      <c r="C77" s="322" t="inlineStr">
        <is>
          <t>Ảnh hưởng của thay đổi tỷ giá hối đoái quy đổi ngoại tệ</t>
        </is>
      </c>
    </row>
    <row r="78" ht="15" customHeight="1" s="337" thickBot="1">
      <c r="B78" s="336" t="n">
        <v>70</v>
      </c>
      <c r="C78" s="320" t="inlineStr">
        <is>
          <t>Tiền và tương đương tiền cuối kỳ (70 = 50+60+61)</t>
        </is>
      </c>
    </row>
    <row r="79"/>
    <row r="80"/>
    <row r="81"/>
    <row r="82"/>
    <row r="83"/>
    <row r="84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L105"/>
  <sheetViews>
    <sheetView zoomScale="80" zoomScaleNormal="80" workbookViewId="0">
      <selection activeCell="G12" sqref="G12"/>
    </sheetView>
  </sheetViews>
  <sheetFormatPr baseColWidth="8" defaultColWidth="8.6640625" defaultRowHeight="14.4" outlineLevelCol="0"/>
  <cols>
    <col width="32.109375" customWidth="1" style="337" min="1" max="1"/>
    <col width="15.44140625" customWidth="1" style="337" min="2" max="2"/>
    <col width="11" customWidth="1" style="337" min="3" max="3"/>
    <col width="10.44140625" customWidth="1" style="337" min="4" max="5"/>
    <col width="12" bestFit="1" customWidth="1" style="337" min="6" max="6"/>
    <col width="12.44140625" bestFit="1" customWidth="1" style="337" min="7" max="9"/>
    <col width="12.33203125" bestFit="1" customWidth="1" style="337" min="10" max="13"/>
    <col width="11.33203125" customWidth="1" style="337" min="14" max="14"/>
    <col width="10.109375" customWidth="1" style="337" min="15" max="15"/>
    <col width="43.6640625" customWidth="1" style="337" min="16" max="16"/>
    <col width="8.6640625" customWidth="1" style="337" min="17" max="17"/>
    <col width="13.33203125" customWidth="1" style="337" min="18" max="18"/>
    <col width="12.109375" customWidth="1" style="337" min="19" max="20"/>
    <col width="11.33203125" bestFit="1" customWidth="1" style="337" min="21" max="21"/>
    <col width="11.6640625" bestFit="1" customWidth="1" style="337" min="22" max="22"/>
    <col width="11.88671875" bestFit="1" customWidth="1" style="337" min="23" max="23"/>
    <col width="13.109375" bestFit="1" customWidth="1" style="337" min="24" max="24"/>
    <col width="13.6640625" bestFit="1" customWidth="1" style="337" min="25" max="25"/>
    <col width="13.33203125" customWidth="1" style="337" min="26" max="28"/>
    <col width="13.109375" bestFit="1" customWidth="1" style="337" min="30" max="30"/>
  </cols>
  <sheetData>
    <row r="1" ht="21.75" customHeight="1" s="337">
      <c r="A1" s="398" t="inlineStr">
        <is>
          <t>Assumption</t>
        </is>
      </c>
      <c r="B1" s="398" t="n"/>
      <c r="D1" s="399" t="n">
        <v>2022</v>
      </c>
      <c r="E1" s="399" t="n">
        <v>2023</v>
      </c>
      <c r="F1" s="399" t="n">
        <v>2024</v>
      </c>
      <c r="G1" s="399" t="n">
        <v>2025</v>
      </c>
    </row>
    <row r="2" ht="21.75" customHeight="1" s="337">
      <c r="A2" t="inlineStr">
        <is>
          <t>Effective tax rate</t>
        </is>
      </c>
      <c r="C2" s="174" t="n"/>
      <c r="D2" s="174" t="n">
        <v>0.1646118887838786</v>
      </c>
      <c r="E2" s="174" t="n">
        <v>0.1908893865344811</v>
      </c>
      <c r="F2" s="174" t="n">
        <v>0.2054135727474566</v>
      </c>
      <c r="G2" s="174" t="n">
        <v>0.1919596529152776</v>
      </c>
    </row>
    <row r="3" ht="21.75" customHeight="1" s="337">
      <c r="A3" t="inlineStr">
        <is>
          <t>Gross margin</t>
        </is>
      </c>
      <c r="C3" s="174" t="n"/>
      <c r="D3" s="174" t="n">
        <v>0.1260008356377786</v>
      </c>
      <c r="E3" s="174" t="n">
        <v>0.1312276287753312</v>
      </c>
      <c r="F3" s="174" t="n">
        <v>0.1431518765983398</v>
      </c>
      <c r="G3" s="174" t="n">
        <v>0.1507601085809887</v>
      </c>
    </row>
    <row r="4" ht="21.75" customHeight="1" s="337">
      <c r="A4" t="inlineStr">
        <is>
          <t>Original profit after tax</t>
        </is>
      </c>
      <c r="D4" s="400" t="n">
        <v>873458</v>
      </c>
      <c r="E4" s="400" t="n">
        <v>958677.946807074</v>
      </c>
      <c r="F4" s="400" t="n">
        <v>1296893.772277366</v>
      </c>
      <c r="G4" s="400" t="n">
        <v>1814838.418543609</v>
      </c>
      <c r="H4" s="174" t="n"/>
    </row>
    <row r="5" ht="21.75" customHeight="1" s="337">
      <c r="A5" t="inlineStr">
        <is>
          <t>% Phải thu ngắn hạn khách hàng + Trả trước người bán</t>
        </is>
      </c>
      <c r="C5" s="178" t="n">
        <v>0.5</v>
      </c>
      <c r="D5" s="174" t="n"/>
      <c r="E5" s="174" t="n"/>
      <c r="F5" s="174" t="n"/>
      <c r="G5" s="174" t="n"/>
      <c r="H5" s="174" t="n"/>
    </row>
    <row r="6" ht="18" customHeight="1" s="337">
      <c r="A6" t="inlineStr">
        <is>
          <t>Đầu tư nắm giữ đến ngày đáo hạn</t>
        </is>
      </c>
      <c r="C6" s="179" t="n">
        <v>1422878</v>
      </c>
      <c r="D6" s="174" t="n"/>
      <c r="E6" s="174" t="n"/>
      <c r="F6" s="174" t="n"/>
      <c r="G6" s="174" t="n"/>
      <c r="H6" s="174" t="n"/>
    </row>
    <row r="7" ht="21.75" customHeight="1" s="337">
      <c r="A7" s="16" t="inlineStr">
        <is>
          <t>1st Test: revenue drop</t>
        </is>
      </c>
    </row>
    <row r="8">
      <c r="A8" t="inlineStr">
        <is>
          <t>Test revene reduction</t>
        </is>
      </c>
      <c r="C8" s="178" t="n">
        <v>0</v>
      </c>
      <c r="I8" s="401" t="n"/>
      <c r="J8" s="401" t="n"/>
      <c r="O8" s="21" t="n"/>
      <c r="R8" s="400" t="n"/>
      <c r="S8" s="400" t="n"/>
      <c r="T8" s="400" t="n"/>
      <c r="U8" s="400" t="n"/>
      <c r="V8" s="400" t="n"/>
      <c r="W8" s="400" t="n"/>
      <c r="X8" s="400" t="n"/>
      <c r="Y8" s="400" t="n"/>
      <c r="Z8" s="400" t="n"/>
      <c r="AA8" s="400" t="n"/>
      <c r="AB8" s="400" t="n"/>
    </row>
    <row r="9">
      <c r="A9" t="inlineStr">
        <is>
          <t>Change in profit after tax</t>
        </is>
      </c>
      <c r="D9" s="402">
        <f>J31-D4</f>
        <v/>
      </c>
      <c r="E9" s="402">
        <f>K31-E4</f>
        <v/>
      </c>
      <c r="F9" s="402">
        <f>L31-F4</f>
        <v/>
      </c>
      <c r="G9" s="402">
        <f>M31-G4</f>
        <v/>
      </c>
      <c r="I9" s="401" t="n"/>
      <c r="J9" s="401" t="n"/>
      <c r="O9" s="21" t="n"/>
      <c r="R9" s="400" t="n"/>
      <c r="S9" s="400" t="n"/>
      <c r="T9" s="400" t="n"/>
      <c r="U9" s="400" t="n"/>
      <c r="V9" s="400" t="n"/>
      <c r="W9" s="400" t="n"/>
      <c r="X9" s="400" t="n"/>
      <c r="Y9" s="400" t="n"/>
      <c r="Z9" s="400" t="n"/>
      <c r="AA9" s="400" t="n"/>
      <c r="AB9" s="400" t="n"/>
    </row>
    <row r="10">
      <c r="I10" s="401" t="n"/>
      <c r="J10" s="401" t="n"/>
      <c r="O10" s="21" t="n"/>
      <c r="R10" s="400" t="n"/>
      <c r="S10" s="400" t="n"/>
      <c r="T10" s="400" t="n"/>
      <c r="U10" s="400" t="n"/>
      <c r="V10" s="400" t="n"/>
      <c r="W10" s="400" t="n"/>
      <c r="X10" s="400" t="n"/>
      <c r="Y10" s="400" t="n"/>
      <c r="Z10" s="400" t="n"/>
      <c r="AA10" s="400" t="n"/>
      <c r="AB10" s="400" t="n"/>
    </row>
    <row r="11">
      <c r="A11" s="16" t="inlineStr">
        <is>
          <t>2nd test: No capital injection</t>
        </is>
      </c>
    </row>
    <row r="12" customFormat="1" s="30">
      <c r="A12" t="inlineStr">
        <is>
          <t>Capital injection plan</t>
        </is>
      </c>
      <c r="C12" s="403" t="n">
        <v>2202028.1325</v>
      </c>
    </row>
    <row r="13">
      <c r="A13" t="inlineStr">
        <is>
          <t>Capital injection successful rate</t>
        </is>
      </c>
      <c r="C13" s="178" t="n">
        <v>0</v>
      </c>
      <c r="AD13" s="404" t="n"/>
    </row>
    <row r="14" customFormat="1" s="30">
      <c r="A14" t="inlineStr">
        <is>
          <t>Deduction in capital</t>
        </is>
      </c>
      <c r="C14" s="181">
        <f>C12*(1-capital)</f>
        <v/>
      </c>
    </row>
    <row r="15" customFormat="1" s="30"/>
    <row r="16">
      <c r="A16" s="398" t="n"/>
      <c r="B16" s="398" t="n"/>
    </row>
    <row r="17" ht="22.8" customHeight="1" s="337">
      <c r="A17" s="405" t="n"/>
      <c r="B17" s="167" t="n"/>
      <c r="C17" s="406" t="n"/>
      <c r="D17" s="407" t="n"/>
      <c r="E17" s="407" t="n"/>
      <c r="F17" s="407" t="n"/>
      <c r="G17" s="401" t="n"/>
      <c r="H17" s="401" t="n"/>
      <c r="K17" t="inlineStr">
        <is>
          <t>Test year</t>
        </is>
      </c>
      <c r="L17" t="inlineStr">
        <is>
          <t>Test year</t>
        </is>
      </c>
      <c r="M17" t="inlineStr">
        <is>
          <t>Test year</t>
        </is>
      </c>
    </row>
    <row r="18" customFormat="1" s="30">
      <c r="A18" s="408" t="inlineStr">
        <is>
          <t>PROFIT/LOSS</t>
        </is>
      </c>
      <c r="B18" s="408" t="inlineStr">
        <is>
          <t>YE  31 Dec</t>
        </is>
      </c>
      <c r="C18" s="399">
        <f>D18-1</f>
        <v/>
      </c>
      <c r="D18" s="399">
        <f>E18-1</f>
        <v/>
      </c>
      <c r="E18" s="399" t="n">
        <v>2017</v>
      </c>
      <c r="F18" s="399" t="n">
        <v>2018</v>
      </c>
      <c r="G18" s="399" t="n">
        <v>2019</v>
      </c>
      <c r="H18" s="399" t="n">
        <v>2020</v>
      </c>
      <c r="I18" s="399" t="n">
        <v>2021</v>
      </c>
      <c r="J18" s="399" t="n">
        <v>2022</v>
      </c>
      <c r="K18" s="399" t="n">
        <v>2023</v>
      </c>
      <c r="L18" s="399" t="n">
        <v>2024</v>
      </c>
      <c r="M18" s="399" t="n">
        <v>2025</v>
      </c>
      <c r="N18" s="399" t="n"/>
      <c r="P18" s="408" t="inlineStr">
        <is>
          <t xml:space="preserve">CASH FLOW </t>
        </is>
      </c>
      <c r="Q18" s="408" t="n"/>
      <c r="R18" s="399">
        <f>C40</f>
        <v/>
      </c>
      <c r="S18" s="399">
        <f>D40</f>
        <v/>
      </c>
      <c r="T18" s="399">
        <f>E40</f>
        <v/>
      </c>
      <c r="U18" s="399">
        <f>F40</f>
        <v/>
      </c>
      <c r="V18" s="399">
        <f>G40</f>
        <v/>
      </c>
      <c r="W18" s="399">
        <f>H40</f>
        <v/>
      </c>
      <c r="X18" s="399">
        <f>I40</f>
        <v/>
      </c>
      <c r="Y18" s="399">
        <f>J40</f>
        <v/>
      </c>
      <c r="Z18" s="399">
        <f>K40</f>
        <v/>
      </c>
      <c r="AA18" s="399">
        <f>L40</f>
        <v/>
      </c>
      <c r="AB18" s="399">
        <f>M40</f>
        <v/>
      </c>
    </row>
    <row r="19">
      <c r="A19" s="409" t="inlineStr">
        <is>
          <t>VND Millions</t>
        </is>
      </c>
      <c r="B19" s="409" t="n"/>
      <c r="C19" s="410" t="n"/>
      <c r="D19" s="410" t="n"/>
      <c r="E19" s="410" t="n"/>
      <c r="F19" s="410" t="n"/>
      <c r="G19" s="411" t="n"/>
      <c r="H19" s="411" t="n"/>
      <c r="I19" s="411" t="n"/>
      <c r="J19" s="411" t="n"/>
      <c r="K19" s="168" t="n"/>
      <c r="L19" s="168" t="n"/>
      <c r="M19" s="168" t="n"/>
      <c r="N19" s="168" t="n"/>
      <c r="P19" s="412" t="inlineStr">
        <is>
          <t>EBITDA</t>
        </is>
      </c>
      <c r="Q19" s="398" t="n"/>
      <c r="R19" s="413">
        <f>C38</f>
        <v/>
      </c>
      <c r="S19" s="413">
        <f>D38</f>
        <v/>
      </c>
      <c r="T19" s="413">
        <f>E38</f>
        <v/>
      </c>
      <c r="U19" s="413">
        <f>F38</f>
        <v/>
      </c>
      <c r="V19" s="413">
        <f>G38</f>
        <v/>
      </c>
      <c r="W19" s="413">
        <f>H38</f>
        <v/>
      </c>
      <c r="X19" s="413">
        <f>I38</f>
        <v/>
      </c>
      <c r="Y19" s="413">
        <f>J38</f>
        <v/>
      </c>
      <c r="Z19" s="413">
        <f>K38</f>
        <v/>
      </c>
      <c r="AA19" s="413">
        <f>L38</f>
        <v/>
      </c>
      <c r="AB19" s="413">
        <f>M38</f>
        <v/>
      </c>
    </row>
    <row r="20" customFormat="1" s="30">
      <c r="A20" s="405" t="inlineStr">
        <is>
          <t>Sales</t>
        </is>
      </c>
      <c r="B20" s="405" t="n"/>
      <c r="C20" s="74">
        <f>PL!C7</f>
        <v/>
      </c>
      <c r="D20" s="74">
        <f>PL!D7</f>
        <v/>
      </c>
      <c r="E20" s="74">
        <f>PL!E7</f>
        <v/>
      </c>
      <c r="F20" s="74">
        <f>PL!F7</f>
        <v/>
      </c>
      <c r="G20" s="74">
        <f>PL!G7</f>
        <v/>
      </c>
      <c r="H20" s="74">
        <f>PL!H7</f>
        <v/>
      </c>
      <c r="I20" s="74">
        <f>PL!I7</f>
        <v/>
      </c>
      <c r="J20" s="74">
        <f>PL!J7</f>
        <v/>
      </c>
      <c r="K20" s="169">
        <f>22973150*(1-test)</f>
        <v/>
      </c>
      <c r="L20" s="169">
        <f>28097515*(1-test)</f>
        <v/>
      </c>
      <c r="M20" s="169">
        <f>30725084*(1-test)</f>
        <v/>
      </c>
      <c r="N20" s="169" t="n"/>
      <c r="P20" s="414" t="inlineStr">
        <is>
          <t>Other Non-Cash charges</t>
        </is>
      </c>
      <c r="Q20" s="415" t="n"/>
      <c r="R20" s="416" t="n"/>
      <c r="S20" s="416" t="n"/>
      <c r="T20" s="416" t="n"/>
      <c r="U20" s="416" t="n"/>
      <c r="V20" s="416" t="n"/>
      <c r="W20" s="416" t="n"/>
      <c r="X20" s="416" t="n"/>
      <c r="Y20" s="416" t="n"/>
    </row>
    <row r="21">
      <c r="A21" s="405" t="inlineStr">
        <is>
          <t>Cost of Goods Sold</t>
        </is>
      </c>
      <c r="B21" s="417" t="n"/>
      <c r="C21" s="418">
        <f>PL!C8</f>
        <v/>
      </c>
      <c r="D21" s="418">
        <f>PL!D8</f>
        <v/>
      </c>
      <c r="E21" s="418">
        <f>PL!E8</f>
        <v/>
      </c>
      <c r="F21" s="418">
        <f>PL!F8</f>
        <v/>
      </c>
      <c r="G21" s="418">
        <f>PL!G8</f>
        <v/>
      </c>
      <c r="H21" s="418">
        <f>PL!H8</f>
        <v/>
      </c>
      <c r="I21" s="418">
        <f>PL!I8</f>
        <v/>
      </c>
      <c r="J21" s="418">
        <f>-J20*(1-D3)</f>
        <v/>
      </c>
      <c r="K21" s="418">
        <f>-K20*(1-E3)</f>
        <v/>
      </c>
      <c r="L21" s="418">
        <f>-L20*(1-F3)</f>
        <v/>
      </c>
      <c r="M21" s="418">
        <f>-M20*(1-G3)</f>
        <v/>
      </c>
      <c r="N21" s="169" t="n"/>
      <c r="P21" s="405" t="inlineStr">
        <is>
          <t xml:space="preserve">  Total Interest Paid</t>
        </is>
      </c>
      <c r="Q21" s="30" t="n"/>
      <c r="R21" s="418">
        <f>CF.data!P18</f>
        <v/>
      </c>
      <c r="S21" s="418">
        <f>CF.data!Q18</f>
        <v/>
      </c>
      <c r="T21" s="418">
        <f>CF.data!R18</f>
        <v/>
      </c>
      <c r="U21" s="418">
        <f>CF.data!S18</f>
        <v/>
      </c>
      <c r="V21" s="418">
        <f>CF.data!T18</f>
        <v/>
      </c>
      <c r="W21" s="418">
        <f>CF.data!U18</f>
        <v/>
      </c>
      <c r="X21" s="418">
        <f>CF.data!V18</f>
        <v/>
      </c>
      <c r="Y21" s="418">
        <f>CF.data!W18</f>
        <v/>
      </c>
      <c r="Z21" s="400">
        <f>K27</f>
        <v/>
      </c>
      <c r="AA21" s="400">
        <f>L27</f>
        <v/>
      </c>
      <c r="AB21" s="400">
        <f>M27</f>
        <v/>
      </c>
    </row>
    <row r="22" customFormat="1" s="47">
      <c r="A22" s="398" t="inlineStr">
        <is>
          <t>Gross Profit</t>
        </is>
      </c>
      <c r="B22" s="398" t="n"/>
      <c r="C22" s="413">
        <f>C20+C21</f>
        <v/>
      </c>
      <c r="D22" s="413">
        <f>D20+D21</f>
        <v/>
      </c>
      <c r="E22" s="413">
        <f>E20+E21</f>
        <v/>
      </c>
      <c r="F22" s="413">
        <f>F20+F21</f>
        <v/>
      </c>
      <c r="G22" s="413">
        <f>G20+G21</f>
        <v/>
      </c>
      <c r="H22" s="413">
        <f>H20+H21</f>
        <v/>
      </c>
      <c r="I22" s="413">
        <f>I20+I21</f>
        <v/>
      </c>
      <c r="J22" s="413">
        <f>J20+J21</f>
        <v/>
      </c>
      <c r="K22" s="413">
        <f>K20+K21</f>
        <v/>
      </c>
      <c r="L22" s="413">
        <f>L20+L21</f>
        <v/>
      </c>
      <c r="M22" s="413">
        <f>M20+M21</f>
        <v/>
      </c>
      <c r="N22" s="170" t="n"/>
      <c r="O22" s="30" t="n"/>
      <c r="P22" s="419" t="inlineStr">
        <is>
          <t xml:space="preserve">  Total Tax Paid</t>
        </is>
      </c>
      <c r="R22" s="418">
        <f>CF.data!P19</f>
        <v/>
      </c>
      <c r="S22" s="418">
        <f>CF.data!Q19</f>
        <v/>
      </c>
      <c r="T22" s="418">
        <f>CF.data!R19</f>
        <v/>
      </c>
      <c r="U22" s="418">
        <f>CF.data!S19</f>
        <v/>
      </c>
      <c r="V22" s="418">
        <f>CF.data!T19</f>
        <v/>
      </c>
      <c r="W22" s="418">
        <f>CF.data!U19</f>
        <v/>
      </c>
      <c r="X22" s="418">
        <f>CF.data!V19</f>
        <v/>
      </c>
      <c r="Y22" s="418">
        <f>CF.data!W19</f>
        <v/>
      </c>
      <c r="Z22" s="418">
        <f>K30</f>
        <v/>
      </c>
      <c r="AA22" s="418">
        <f>L30</f>
        <v/>
      </c>
      <c r="AB22" s="418">
        <f>M30</f>
        <v/>
      </c>
      <c r="AC22" s="30" t="n"/>
    </row>
    <row r="23" customFormat="1" s="47">
      <c r="A23" s="405" t="inlineStr">
        <is>
          <t>SG and A Expenses</t>
        </is>
      </c>
      <c r="B23" s="417" t="n"/>
      <c r="C23" s="418">
        <f>PL!C14+PL!C15</f>
        <v/>
      </c>
      <c r="D23" s="418">
        <f>PL!D14+PL!D15</f>
        <v/>
      </c>
      <c r="E23" s="418">
        <f>PL!E14+PL!E15</f>
        <v/>
      </c>
      <c r="F23" s="418">
        <f>PL!F14+PL!F15</f>
        <v/>
      </c>
      <c r="G23" s="418">
        <f>PL!G14+PL!G15</f>
        <v/>
      </c>
      <c r="H23" s="418">
        <f>PL!H14+PL!H15</f>
        <v/>
      </c>
      <c r="I23" s="418">
        <f>PL!I14+PL!I15</f>
        <v/>
      </c>
      <c r="J23" s="418">
        <f>PL!J14+PL!J15</f>
        <v/>
      </c>
      <c r="K23" s="169" t="n">
        <v>-1501675</v>
      </c>
      <c r="L23" s="169" t="n">
        <v>-1862644</v>
      </c>
      <c r="M23" s="169" t="n">
        <v>-2105001</v>
      </c>
      <c r="N23" s="169" t="n"/>
      <c r="O23" s="420" t="n"/>
      <c r="P23" s="38" t="inlineStr">
        <is>
          <t>Funds from Operations</t>
        </is>
      </c>
      <c r="Q23" s="30" t="n"/>
      <c r="R23" s="413">
        <f>SUM(R19:R22)</f>
        <v/>
      </c>
      <c r="S23" s="413">
        <f>SUM(S19:S22)</f>
        <v/>
      </c>
      <c r="T23" s="413">
        <f>SUM(T19:T22)</f>
        <v/>
      </c>
      <c r="U23" s="413">
        <f>SUM(U19:U22)</f>
        <v/>
      </c>
      <c r="V23" s="413">
        <f>SUM(V19:V22)</f>
        <v/>
      </c>
      <c r="W23" s="413">
        <f>SUM(W19:W22)</f>
        <v/>
      </c>
      <c r="X23" s="413">
        <f>SUM(X19:X22)</f>
        <v/>
      </c>
      <c r="Y23" s="413">
        <f>SUM(Y19:Y22)</f>
        <v/>
      </c>
      <c r="Z23" s="413">
        <f>SUM(Z19:Z22)</f>
        <v/>
      </c>
      <c r="AA23" s="413">
        <f>SUM(AA19:AA22)</f>
        <v/>
      </c>
      <c r="AB23" s="413">
        <f>SUM(AB19:AB22)</f>
        <v/>
      </c>
    </row>
    <row r="24" customFormat="1" s="47">
      <c r="A24" s="40" t="inlineStr">
        <is>
          <t>Other Operating items</t>
        </is>
      </c>
      <c r="B24" s="30" t="n"/>
      <c r="C24" s="418" t="n"/>
      <c r="D24" s="418" t="n"/>
      <c r="E24" s="418" t="n"/>
      <c r="F24" s="418" t="n"/>
      <c r="G24" s="418" t="n"/>
      <c r="H24" s="418" t="n"/>
      <c r="I24" s="418" t="n"/>
      <c r="J24" s="418" t="n"/>
      <c r="K24" s="168" t="inlineStr">
        <is>
          <t xml:space="preserve">-   </t>
        </is>
      </c>
      <c r="L24" s="168" t="inlineStr">
        <is>
          <t xml:space="preserve"> -   </t>
        </is>
      </c>
      <c r="M24" s="168" t="inlineStr">
        <is>
          <t xml:space="preserve"> -   </t>
        </is>
      </c>
      <c r="N24" s="168" t="n"/>
      <c r="O24" s="30" t="n"/>
      <c r="P24" s="414" t="inlineStr">
        <is>
          <t xml:space="preserve">Changes in Net Working Capital </t>
        </is>
      </c>
      <c r="Q24" s="419" t="n"/>
      <c r="R24" s="418">
        <f>SUM(CF.data!P13:P21)-CF.data!P19-CF.data!P18-CF.data!P17</f>
        <v/>
      </c>
      <c r="S24" s="418">
        <f>SUM(CF.data!Q13:Q21)-CF.data!Q19-CF.data!Q18-CF.data!Q17</f>
        <v/>
      </c>
      <c r="T24" s="418">
        <f>SUM(CF.data!R13:R21)-CF.data!R19-CF.data!R18-CF.data!R17</f>
        <v/>
      </c>
      <c r="U24" s="418">
        <f>SUM(CF.data!S13:S21)-CF.data!S19-CF.data!S18-CF.data!S17</f>
        <v/>
      </c>
      <c r="V24" s="418">
        <f>SUM(CF.data!T13:T21)-CF.data!T19-CF.data!T18-CF.data!T17</f>
        <v/>
      </c>
      <c r="W24" s="418">
        <f>SUM(CF.data!U13:U21)-CF.data!U19-CF.data!U18-CF.data!U17</f>
        <v/>
      </c>
      <c r="X24" s="418">
        <f>SUM(CF.data!V13:V21)-CF.data!V19-CF.data!V18-CF.data!V17</f>
        <v/>
      </c>
      <c r="Y24" s="418">
        <f>SUM(CF.data!W13:W21)-CF.data!W19-CF.data!W18-CF.data!W17</f>
        <v/>
      </c>
      <c r="Z24" s="400" t="n">
        <v>734412</v>
      </c>
      <c r="AA24" s="400" t="n">
        <v>-184774</v>
      </c>
      <c r="AB24" s="400" t="n">
        <v>-445309</v>
      </c>
      <c r="AC24" s="30" t="n"/>
      <c r="AD24" s="421" t="n"/>
    </row>
    <row r="25" customFormat="1" s="47">
      <c r="A25" s="398" t="inlineStr">
        <is>
          <t>EBIT (Operating Profit)</t>
        </is>
      </c>
      <c r="B25" s="398" t="n"/>
      <c r="C25" s="413">
        <f>SUM(C22:C24)</f>
        <v/>
      </c>
      <c r="D25" s="413">
        <f>SUM(D22:D24)</f>
        <v/>
      </c>
      <c r="E25" s="413">
        <f>SUM(E22:E24)</f>
        <v/>
      </c>
      <c r="F25" s="413">
        <f>SUM(F22:F24)</f>
        <v/>
      </c>
      <c r="G25" s="413">
        <f>SUM(G22:G24)</f>
        <v/>
      </c>
      <c r="H25" s="413">
        <f>SUM(H22:H24)</f>
        <v/>
      </c>
      <c r="I25" s="413">
        <f>SUM(I22:I24)</f>
        <v/>
      </c>
      <c r="J25" s="413">
        <f>SUM(J22:J24)</f>
        <v/>
      </c>
      <c r="K25" s="413">
        <f>SUM(K22:K24)</f>
        <v/>
      </c>
      <c r="L25" s="413">
        <f>SUM(L22:L24)</f>
        <v/>
      </c>
      <c r="M25" s="413">
        <f>SUM(M22:M24)</f>
        <v/>
      </c>
      <c r="N25" s="170" t="n"/>
      <c r="O25" s="420" t="n"/>
      <c r="P25" s="422" t="inlineStr">
        <is>
          <t>Operating Cash Flow</t>
        </is>
      </c>
      <c r="Q25" s="422" t="n"/>
      <c r="R25" s="423">
        <f>R23+R24</f>
        <v/>
      </c>
      <c r="S25" s="423">
        <f>S23+S24</f>
        <v/>
      </c>
      <c r="T25" s="423">
        <f>T23+T24</f>
        <v/>
      </c>
      <c r="U25" s="423">
        <f>U23+U24</f>
        <v/>
      </c>
      <c r="V25" s="423">
        <f>V23+V24</f>
        <v/>
      </c>
      <c r="W25" s="423">
        <f>W23+W24</f>
        <v/>
      </c>
      <c r="X25" s="423">
        <f>X23+X24</f>
        <v/>
      </c>
      <c r="Y25" s="423">
        <f>Y23+Y24</f>
        <v/>
      </c>
      <c r="Z25" s="423">
        <f>Z23+Z24</f>
        <v/>
      </c>
      <c r="AA25" s="423">
        <f>AA23+AA24</f>
        <v/>
      </c>
      <c r="AB25" s="423">
        <f>AB23+AB24</f>
        <v/>
      </c>
    </row>
    <row r="26" customFormat="1" s="50">
      <c r="A26" s="405" t="inlineStr">
        <is>
          <t>Non-operating Items</t>
        </is>
      </c>
      <c r="B26" s="398" t="n"/>
      <c r="C26" s="418">
        <f>PL!C19+PL!C13</f>
        <v/>
      </c>
      <c r="D26" s="418">
        <f>PL!D19+PL!D13</f>
        <v/>
      </c>
      <c r="E26" s="418">
        <f>PL!E19+PL!E13</f>
        <v/>
      </c>
      <c r="F26" s="418">
        <f>PL!F19+PL!F13</f>
        <v/>
      </c>
      <c r="G26" s="418">
        <f>PL!G19+PL!G13</f>
        <v/>
      </c>
      <c r="H26" s="418">
        <f>PL!H19+PL!H13</f>
        <v/>
      </c>
      <c r="I26" s="418">
        <f>PL!I19+PL!I13</f>
        <v/>
      </c>
      <c r="J26" s="418">
        <f>PL!J19+PL!J13</f>
        <v/>
      </c>
      <c r="K26" s="168" t="inlineStr">
        <is>
          <t xml:space="preserve"> -   </t>
        </is>
      </c>
      <c r="L26" s="168" t="inlineStr">
        <is>
          <t xml:space="preserve"> -   </t>
        </is>
      </c>
      <c r="M26" s="168" t="inlineStr">
        <is>
          <t xml:space="preserve"> -   </t>
        </is>
      </c>
      <c r="N26" s="168" t="n"/>
      <c r="P26" s="405" t="inlineStr">
        <is>
          <t>Other non-operating items</t>
        </is>
      </c>
      <c r="R26" s="421" t="n">
        <v>-4687</v>
      </c>
      <c r="S26" s="421" t="n">
        <v>-147495</v>
      </c>
      <c r="T26" s="421" t="n">
        <v>549</v>
      </c>
      <c r="U26" s="421" t="n">
        <v>49884</v>
      </c>
      <c r="V26" s="421" t="n">
        <v>-52440</v>
      </c>
      <c r="W26" s="421" t="n">
        <v>28688</v>
      </c>
      <c r="X26" s="421" t="n">
        <v>260087</v>
      </c>
      <c r="Y26" s="421" t="n">
        <v>479609</v>
      </c>
      <c r="Z26" s="421" t="n">
        <v>-33492</v>
      </c>
      <c r="AA26" s="421" t="n">
        <v>30042</v>
      </c>
      <c r="AB26" s="421" t="n">
        <v>29711</v>
      </c>
      <c r="AE26" s="424" t="n"/>
      <c r="AF26" s="424" t="n"/>
      <c r="AG26" s="424" t="n"/>
      <c r="AH26" s="424" t="n"/>
      <c r="AI26" s="424" t="n"/>
      <c r="AJ26" s="424" t="n"/>
      <c r="AK26" s="424" t="n"/>
      <c r="AL26" s="424" t="n"/>
    </row>
    <row r="27">
      <c r="A27" s="419" t="inlineStr">
        <is>
          <t>Total Interest Expense</t>
        </is>
      </c>
      <c r="B27" s="417" t="n"/>
      <c r="C27" s="418">
        <f>PL!C12</f>
        <v/>
      </c>
      <c r="D27" s="418">
        <f>PL!D12</f>
        <v/>
      </c>
      <c r="E27" s="418">
        <f>PL!E12</f>
        <v/>
      </c>
      <c r="F27" s="418">
        <f>PL!F12</f>
        <v/>
      </c>
      <c r="G27" s="418">
        <f>PL!G12</f>
        <v/>
      </c>
      <c r="H27" s="418">
        <f>PL!H12</f>
        <v/>
      </c>
      <c r="I27" s="418">
        <f>PL!I12</f>
        <v/>
      </c>
      <c r="J27" s="418">
        <f>PL!J12</f>
        <v/>
      </c>
      <c r="K27" s="418" t="n">
        <v>-860485</v>
      </c>
      <c r="L27" s="418" t="n">
        <v>-1070855</v>
      </c>
      <c r="M27" s="418" t="n">
        <v>-835939</v>
      </c>
      <c r="N27" s="418" t="n"/>
      <c r="P27" s="405" t="inlineStr">
        <is>
          <t>Purchases Fixed assets, intangible assets</t>
        </is>
      </c>
      <c r="Q27" s="417" t="n"/>
      <c r="R27" s="418">
        <f>CF.data!P24</f>
        <v/>
      </c>
      <c r="S27" s="418">
        <f>CF.data!Q24</f>
        <v/>
      </c>
      <c r="T27" s="418">
        <f>CF.data!R24</f>
        <v/>
      </c>
      <c r="U27" s="418">
        <f>CF.data!S24</f>
        <v/>
      </c>
      <c r="V27" s="418">
        <f>CF.data!T24</f>
        <v/>
      </c>
      <c r="W27" s="418">
        <f>CF.data!U24</f>
        <v/>
      </c>
      <c r="X27" s="418">
        <f>CF.data!V24</f>
        <v/>
      </c>
      <c r="Y27" s="418">
        <f>CF.data!W24</f>
        <v/>
      </c>
      <c r="Z27" s="418" t="n">
        <v>-3678740</v>
      </c>
      <c r="AA27" s="418" t="n">
        <v>-2035790</v>
      </c>
      <c r="AB27" s="418" t="n">
        <v>-486594</v>
      </c>
    </row>
    <row r="28">
      <c r="A28" s="405" t="inlineStr">
        <is>
          <t>Interest income and other financial Income / expenses</t>
        </is>
      </c>
      <c r="B28" s="419" t="n"/>
      <c r="C28" s="418">
        <f>PL!C10+PL!C11-PL!C12</f>
        <v/>
      </c>
      <c r="D28" s="418">
        <f>PL!D10+PL!D11-PL!D12</f>
        <v/>
      </c>
      <c r="E28" s="418">
        <f>PL!E10+PL!E11-PL!E12</f>
        <v/>
      </c>
      <c r="F28" s="418">
        <f>PL!F10+PL!F11-PL!F12</f>
        <v/>
      </c>
      <c r="G28" s="418">
        <f>PL!G10+PL!G11-PL!G12</f>
        <v/>
      </c>
      <c r="H28" s="418">
        <f>PL!H10+PL!H11-PL!H12</f>
        <v/>
      </c>
      <c r="I28" s="418">
        <f>PL!I10+PL!I11-PL!I12</f>
        <v/>
      </c>
      <c r="J28" s="418">
        <f>PL!J10+PL!J11-PL!J12</f>
        <v/>
      </c>
      <c r="K28" s="169">
        <f>-328183-K27</f>
        <v/>
      </c>
      <c r="L28" s="169">
        <f>-527406-L27</f>
        <v/>
      </c>
      <c r="M28" s="169">
        <f>-281141-M27</f>
        <v/>
      </c>
      <c r="N28" s="169" t="n"/>
      <c r="O28" s="30" t="n"/>
      <c r="P28" s="405" t="inlineStr">
        <is>
          <t>Disposals Fixed assets, intangible assets</t>
        </is>
      </c>
      <c r="Q28" s="398" t="n"/>
      <c r="R28" s="418">
        <f>CF.data!P25</f>
        <v/>
      </c>
      <c r="S28" s="418">
        <f>CF.data!Q25</f>
        <v/>
      </c>
      <c r="T28" s="418">
        <f>CF.data!R25</f>
        <v/>
      </c>
      <c r="U28" s="418">
        <f>CF.data!S25</f>
        <v/>
      </c>
      <c r="V28" s="418">
        <f>CF.data!T25</f>
        <v/>
      </c>
      <c r="W28" s="418">
        <f>CF.data!U25</f>
        <v/>
      </c>
      <c r="X28" s="418">
        <f>CF.data!V25</f>
        <v/>
      </c>
      <c r="Y28" s="418">
        <f>CF.data!W25</f>
        <v/>
      </c>
      <c r="Z28" s="418" t="n"/>
      <c r="AA28" s="418" t="n"/>
      <c r="AB28" s="418" t="n"/>
      <c r="AC28" s="30" t="n"/>
    </row>
    <row r="29">
      <c r="A29" s="398" t="inlineStr">
        <is>
          <t>Profit before Tax</t>
        </is>
      </c>
      <c r="B29" s="398" t="n"/>
      <c r="C29" s="413">
        <f>SUM(C25:C28)</f>
        <v/>
      </c>
      <c r="D29" s="413">
        <f>SUM(D25:D28)</f>
        <v/>
      </c>
      <c r="E29" s="413">
        <f>SUM(E25:E28)</f>
        <v/>
      </c>
      <c r="F29" s="413">
        <f>SUM(F25:F28)</f>
        <v/>
      </c>
      <c r="G29" s="413">
        <f>SUM(G25:G28)</f>
        <v/>
      </c>
      <c r="H29" s="413">
        <f>SUM(H25:H28)</f>
        <v/>
      </c>
      <c r="I29" s="413">
        <f>SUM(I25:I28)</f>
        <v/>
      </c>
      <c r="J29" s="413">
        <f>SUM(J25:J28)</f>
        <v/>
      </c>
      <c r="K29" s="413">
        <f>SUM(K25:K28)</f>
        <v/>
      </c>
      <c r="L29" s="413">
        <f>SUM(L25:L28)</f>
        <v/>
      </c>
      <c r="M29" s="413">
        <f>SUM(M25:M28)</f>
        <v/>
      </c>
      <c r="N29" s="413" t="n"/>
      <c r="P29" s="405" t="inlineStr">
        <is>
          <t xml:space="preserve">Interest, Dividend  and FX results </t>
        </is>
      </c>
      <c r="Q29" s="405" t="n"/>
      <c r="R29" s="418">
        <f>CF.data!P30</f>
        <v/>
      </c>
      <c r="S29" s="418">
        <f>CF.data!Q30</f>
        <v/>
      </c>
      <c r="T29" s="418">
        <f>CF.data!R30</f>
        <v/>
      </c>
      <c r="U29" s="418">
        <f>CF.data!S30</f>
        <v/>
      </c>
      <c r="V29" s="418">
        <f>CF.data!T30</f>
        <v/>
      </c>
      <c r="W29" s="418">
        <f>CF.data!U30</f>
        <v/>
      </c>
      <c r="X29" s="418">
        <f>CF.data!V30</f>
        <v/>
      </c>
      <c r="Y29" s="418">
        <f>CF.data!W30</f>
        <v/>
      </c>
      <c r="Z29" s="418" t="n">
        <v>502001</v>
      </c>
      <c r="AA29" s="418" t="n">
        <v>513150</v>
      </c>
      <c r="AB29" s="418" t="n">
        <v>524594</v>
      </c>
    </row>
    <row r="30">
      <c r="A30" s="419" t="inlineStr">
        <is>
          <t>Taxation</t>
        </is>
      </c>
      <c r="B30" s="417" t="n"/>
      <c r="C30" s="418">
        <f>PL!C21+PL!C22</f>
        <v/>
      </c>
      <c r="D30" s="418">
        <f>PL!D21+PL!D22</f>
        <v/>
      </c>
      <c r="E30" s="418">
        <f>PL!E21+PL!E22</f>
        <v/>
      </c>
      <c r="F30" s="418">
        <f>PL!F21+PL!F22</f>
        <v/>
      </c>
      <c r="G30" s="418">
        <f>PL!G21+PL!G22</f>
        <v/>
      </c>
      <c r="H30" s="418">
        <f>PL!H21+PL!H22</f>
        <v/>
      </c>
      <c r="I30" s="418">
        <f>PL!I21+PL!I22</f>
        <v/>
      </c>
      <c r="J30" s="418">
        <f>PL!J21+PL!J22</f>
        <v/>
      </c>
      <c r="K30" s="169">
        <f>-K29*E2</f>
        <v/>
      </c>
      <c r="L30" s="169">
        <f>-L29*F2</f>
        <v/>
      </c>
      <c r="M30" s="169">
        <f>-M29*G2</f>
        <v/>
      </c>
      <c r="N30" s="169" t="n"/>
      <c r="O30" s="30" t="n"/>
      <c r="P30" s="405" t="inlineStr">
        <is>
          <t>Acquisitions , Investments net of Divestments</t>
        </is>
      </c>
      <c r="Q30" s="47" t="n"/>
      <c r="R30" s="418">
        <f>SUM(CF.data!P26:P29)+CF.data!P17</f>
        <v/>
      </c>
      <c r="S30" s="418">
        <f>SUM(CF.data!Q26:Q29)+CF.data!Q17</f>
        <v/>
      </c>
      <c r="T30" s="418">
        <f>SUM(CF.data!R26:R29)+CF.data!R17</f>
        <v/>
      </c>
      <c r="U30" s="418">
        <f>SUM(CF.data!S26:S29)+CF.data!S17</f>
        <v/>
      </c>
      <c r="V30" s="418">
        <f>SUM(CF.data!T26:T29)+CF.data!T17</f>
        <v/>
      </c>
      <c r="W30" s="418">
        <f>SUM(CF.data!U26:U29)+CF.data!U17</f>
        <v/>
      </c>
      <c r="X30" s="418">
        <f>SUM(CF.data!V26:V29)+CF.data!V17</f>
        <v/>
      </c>
      <c r="Y30" s="418">
        <f>SUM(CF.data!W26:W29)+CF.data!W17</f>
        <v/>
      </c>
      <c r="Z30" s="418" t="n"/>
      <c r="AA30" s="418" t="n"/>
      <c r="AB30" s="418" t="n"/>
      <c r="AC30" s="30" t="n"/>
    </row>
    <row r="31">
      <c r="A31" s="398" t="inlineStr">
        <is>
          <t>Profit after Tax</t>
        </is>
      </c>
      <c r="B31" s="398" t="n"/>
      <c r="C31" s="413">
        <f>C29+C30</f>
        <v/>
      </c>
      <c r="D31" s="413">
        <f>D29+D30</f>
        <v/>
      </c>
      <c r="E31" s="413">
        <f>E29+E30</f>
        <v/>
      </c>
      <c r="F31" s="413">
        <f>F29+F30</f>
        <v/>
      </c>
      <c r="G31" s="413">
        <f>G29+G30</f>
        <v/>
      </c>
      <c r="H31" s="413">
        <f>H29+H30</f>
        <v/>
      </c>
      <c r="I31" s="413">
        <f>I29+I30</f>
        <v/>
      </c>
      <c r="J31" s="413">
        <f>J29+J30</f>
        <v/>
      </c>
      <c r="K31" s="413">
        <f>K29+K30</f>
        <v/>
      </c>
      <c r="L31" s="413">
        <f>L29+L30</f>
        <v/>
      </c>
      <c r="M31" s="413">
        <f>M29+M30</f>
        <v/>
      </c>
      <c r="N31" s="413" t="n"/>
      <c r="P31" s="422" t="inlineStr">
        <is>
          <t xml:space="preserve">Cash Flow before Financing </t>
        </is>
      </c>
      <c r="Q31" s="422" t="n"/>
      <c r="R31" s="425">
        <f>SUM(R25:R30)</f>
        <v/>
      </c>
      <c r="S31" s="425">
        <f>SUM(S25:S30)</f>
        <v/>
      </c>
      <c r="T31" s="425">
        <f>SUM(T25:T30)</f>
        <v/>
      </c>
      <c r="U31" s="425">
        <f>SUM(U25:U30)</f>
        <v/>
      </c>
      <c r="V31" s="425">
        <f>SUM(V25:V30)</f>
        <v/>
      </c>
      <c r="W31" s="425">
        <f>SUM(W25:W30)</f>
        <v/>
      </c>
      <c r="X31" s="425">
        <f>SUM(X25:X30)</f>
        <v/>
      </c>
      <c r="Y31" s="425">
        <f>SUM(Y25:Y30)</f>
        <v/>
      </c>
      <c r="Z31" s="425">
        <f>SUM(Z25:Z30)</f>
        <v/>
      </c>
      <c r="AA31" s="425">
        <f>SUM(AA25:AA30)</f>
        <v/>
      </c>
      <c r="AB31" s="425">
        <f>SUM(AB25:AB30)</f>
        <v/>
      </c>
    </row>
    <row r="32">
      <c r="A32" s="398" t="n"/>
      <c r="B32" s="398" t="n"/>
      <c r="C32" s="62" t="n"/>
      <c r="D32" s="62" t="n"/>
      <c r="E32" s="62" t="n"/>
      <c r="F32" s="62" t="n"/>
      <c r="G32" s="62" t="n"/>
      <c r="H32" s="62" t="n"/>
      <c r="I32" s="62" t="n"/>
      <c r="J32" s="62" t="n"/>
      <c r="K32" s="168" t="n"/>
      <c r="L32" s="168" t="n"/>
      <c r="M32" s="168" t="n"/>
      <c r="N32" s="168" t="n"/>
      <c r="O32" s="47" t="n"/>
      <c r="P32" s="419" t="inlineStr">
        <is>
          <t>Total Dividend Paid</t>
        </is>
      </c>
      <c r="Q32" s="417" t="n"/>
      <c r="R32" s="418">
        <f>CF.data!P38</f>
        <v/>
      </c>
      <c r="S32" s="418">
        <f>CF.data!Q38</f>
        <v/>
      </c>
      <c r="T32" s="418">
        <f>CF.data!R38</f>
        <v/>
      </c>
      <c r="U32" s="418">
        <f>CF.data!S38</f>
        <v/>
      </c>
      <c r="V32" s="418">
        <f>CF.data!T38</f>
        <v/>
      </c>
      <c r="W32" s="418">
        <f>CF.data!U38</f>
        <v/>
      </c>
      <c r="X32" s="418">
        <f>CF.data!V38</f>
        <v/>
      </c>
      <c r="Y32" s="418">
        <f>CF.data!W38</f>
        <v/>
      </c>
      <c r="Z32" s="418" t="n">
        <v>-62241</v>
      </c>
      <c r="AA32" s="418" t="n">
        <v>-46680</v>
      </c>
      <c r="AB32" s="418" t="n">
        <v>-31120</v>
      </c>
      <c r="AC32" s="47" t="n"/>
    </row>
    <row r="33">
      <c r="A33" s="426" t="inlineStr">
        <is>
          <t>For info (included in operating profit)</t>
        </is>
      </c>
      <c r="B33" s="47" t="n"/>
      <c r="C33" s="418" t="n"/>
      <c r="D33" s="418" t="n"/>
      <c r="E33" s="418" t="n"/>
      <c r="F33" s="418" t="n"/>
      <c r="G33" s="418" t="n"/>
      <c r="H33" s="418" t="n"/>
      <c r="I33" s="418" t="n"/>
      <c r="J33" s="418" t="n"/>
      <c r="K33" s="168" t="n"/>
      <c r="L33" s="168" t="n"/>
      <c r="M33" s="168" t="n"/>
      <c r="N33" s="168" t="n"/>
      <c r="O33" s="47" t="n"/>
      <c r="P33" s="419" t="inlineStr">
        <is>
          <t>Net Debt Drawings / Repayments (exclude UPAS L/C)</t>
        </is>
      </c>
      <c r="Q33" s="419" t="n"/>
      <c r="R33" s="418">
        <f>SUM(CF.data!P35:P37)</f>
        <v/>
      </c>
      <c r="S33" s="418">
        <f>SUM(CF.data!Q35:Q37)</f>
        <v/>
      </c>
      <c r="T33" s="418">
        <f>SUM(CF.data!R35:R37)</f>
        <v/>
      </c>
      <c r="U33" s="418">
        <f>SUM(CF.data!S35:S37)</f>
        <v/>
      </c>
      <c r="V33" s="418">
        <f>SUM(CF.data!T35:T37)</f>
        <v/>
      </c>
      <c r="W33" s="418">
        <f>SUM(CF.data!U35:U37)</f>
        <v/>
      </c>
      <c r="X33" s="418">
        <f>SUM(CF.data!V35:V37)</f>
        <v/>
      </c>
      <c r="Y33" s="418">
        <f>SUM(CF.data!W35:W37)</f>
        <v/>
      </c>
      <c r="Z33" s="418" t="n">
        <v>-897512</v>
      </c>
      <c r="AA33" s="418" t="n">
        <v>922695</v>
      </c>
      <c r="AB33" s="418" t="n">
        <v>-1741912</v>
      </c>
      <c r="AC33" s="47" t="n"/>
    </row>
    <row r="34">
      <c r="A34" s="417" t="inlineStr">
        <is>
          <t>Depreciation</t>
        </is>
      </c>
      <c r="B34" s="417" t="n"/>
      <c r="C34" s="427">
        <f>CF!C7</f>
        <v/>
      </c>
      <c r="D34" s="427">
        <f>CF!D7</f>
        <v/>
      </c>
      <c r="E34" s="427">
        <f>CF!E7</f>
        <v/>
      </c>
      <c r="F34" s="427">
        <f>CF!F7</f>
        <v/>
      </c>
      <c r="G34" s="427">
        <f>CF!G7</f>
        <v/>
      </c>
      <c r="H34" s="427">
        <f>CF!H7</f>
        <v/>
      </c>
      <c r="I34" s="427">
        <f>CF!I7</f>
        <v/>
      </c>
      <c r="J34" s="427">
        <f>CF!J7</f>
        <v/>
      </c>
      <c r="K34" s="169" t="n">
        <v>710467</v>
      </c>
      <c r="L34" s="169" t="n">
        <v>781261</v>
      </c>
      <c r="M34" s="169" t="n">
        <v>858898</v>
      </c>
      <c r="N34" s="169" t="n"/>
      <c r="O34" s="47" t="n"/>
      <c r="P34" s="419" t="inlineStr">
        <is>
          <t>Share  Issues / Repurchases</t>
        </is>
      </c>
      <c r="Q34" s="419" t="n"/>
      <c r="R34" s="418">
        <f>SUM(CF.data!P33:P34)</f>
        <v/>
      </c>
      <c r="S34" s="418">
        <f>SUM(CF.data!Q33:Q34)</f>
        <v/>
      </c>
      <c r="T34" s="418">
        <f>SUM(CF.data!R33:R34)</f>
        <v/>
      </c>
      <c r="U34" s="418">
        <f>SUM(CF.data!S33:S34)</f>
        <v/>
      </c>
      <c r="V34" s="418">
        <f>SUM(CF.data!T33:T34)</f>
        <v/>
      </c>
      <c r="W34" s="418">
        <f>SUM(CF.data!U33:U34)</f>
        <v/>
      </c>
      <c r="X34" s="418">
        <f>SUM(CF.data!V33:V34)</f>
        <v/>
      </c>
      <c r="Y34" s="418">
        <f>SUM(CF.data!W33:W34)</f>
        <v/>
      </c>
      <c r="Z34" s="418">
        <f>2072360-C14</f>
        <v/>
      </c>
      <c r="AA34" s="418" t="n">
        <v>-129668</v>
      </c>
      <c r="AB34" s="418" t="n">
        <v>-129668</v>
      </c>
      <c r="AC34" s="47" t="n"/>
    </row>
    <row r="35">
      <c r="A35" s="47" t="inlineStr">
        <is>
          <t>Amortisation</t>
        </is>
      </c>
      <c r="B35" s="47" t="n"/>
      <c r="C35" s="427" t="n"/>
      <c r="D35" s="427" t="n"/>
      <c r="E35" s="427" t="n"/>
      <c r="F35" s="427" t="n"/>
      <c r="G35" s="427" t="n"/>
      <c r="H35" s="427" t="n"/>
      <c r="I35" s="427" t="n"/>
      <c r="J35" s="427" t="n"/>
      <c r="K35" s="168" t="n"/>
      <c r="L35" s="168" t="n"/>
      <c r="M35" s="168" t="n"/>
      <c r="N35" s="168" t="n"/>
      <c r="O35" s="47" t="n"/>
      <c r="P35" s="422" t="inlineStr">
        <is>
          <t>Net Cash Flow</t>
        </is>
      </c>
      <c r="Q35" s="422" t="n"/>
      <c r="R35" s="423">
        <f>SUM(R31:R34)</f>
        <v/>
      </c>
      <c r="S35" s="423">
        <f>SUM(S31:S34)</f>
        <v/>
      </c>
      <c r="T35" s="423">
        <f>SUM(T31:T34)</f>
        <v/>
      </c>
      <c r="U35" s="423">
        <f>SUM(U31:U34)</f>
        <v/>
      </c>
      <c r="V35" s="423">
        <f>SUM(V31:V34)</f>
        <v/>
      </c>
      <c r="W35" s="423">
        <f>SUM(W31:W34)</f>
        <v/>
      </c>
      <c r="X35" s="423">
        <f>SUM(X31:X34)</f>
        <v/>
      </c>
      <c r="Y35" s="423">
        <f>SUM(Y31:Y34)</f>
        <v/>
      </c>
      <c r="Z35" s="423">
        <f>SUM(Z31:Z34)</f>
        <v/>
      </c>
      <c r="AA35" s="423">
        <f>SUM(AA31:AA34)</f>
        <v/>
      </c>
      <c r="AB35" s="423">
        <f>SUM(AB31:AB34)</f>
        <v/>
      </c>
      <c r="AC35" s="47" t="n"/>
    </row>
    <row r="36">
      <c r="A36" s="47" t="inlineStr">
        <is>
          <t>Impairments</t>
        </is>
      </c>
      <c r="B36" s="50" t="n"/>
      <c r="C36" s="427" t="n"/>
      <c r="D36" s="427" t="n"/>
      <c r="E36" s="427" t="n"/>
      <c r="F36" s="427" t="n"/>
      <c r="G36" s="427" t="n"/>
      <c r="H36" s="427" t="n"/>
      <c r="I36" s="427" t="n"/>
      <c r="J36" s="427" t="n"/>
      <c r="K36" s="168" t="n"/>
      <c r="L36" s="168" t="n"/>
      <c r="M36" s="168" t="n"/>
      <c r="N36" s="168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</row>
    <row r="37">
      <c r="A37" s="417" t="inlineStr">
        <is>
          <t>Operating Leases</t>
        </is>
      </c>
      <c r="B37" s="417" t="n"/>
      <c r="C37" s="427" t="n">
        <v>884.2</v>
      </c>
      <c r="D37" s="427" t="n">
        <v>361.6</v>
      </c>
      <c r="E37" s="427" t="n">
        <v>3804.3</v>
      </c>
      <c r="F37" s="427" t="n">
        <v>26675.4</v>
      </c>
      <c r="G37" s="427" t="n">
        <v>25597.958</v>
      </c>
      <c r="H37" s="427" t="n">
        <v>31319.372</v>
      </c>
      <c r="I37" s="427" t="n">
        <v>31390.971615</v>
      </c>
      <c r="J37" s="427" t="n">
        <v>52921.161745</v>
      </c>
      <c r="K37" s="169" t="n">
        <v>55707</v>
      </c>
      <c r="L37" s="169" t="n">
        <v>54076</v>
      </c>
      <c r="M37" s="169" t="n">
        <v>50948</v>
      </c>
      <c r="N37" s="169" t="n"/>
      <c r="AD37" s="428" t="n"/>
    </row>
    <row r="38">
      <c r="A38" s="426" t="inlineStr">
        <is>
          <t>EBITDA</t>
        </is>
      </c>
      <c r="B38" s="426" t="n"/>
      <c r="C38" s="427">
        <f>C25+C34+C35</f>
        <v/>
      </c>
      <c r="D38" s="427">
        <f>D25+D34+D35</f>
        <v/>
      </c>
      <c r="E38" s="427">
        <f>E25+E34+E35</f>
        <v/>
      </c>
      <c r="F38" s="427">
        <f>F25+F34+F35</f>
        <v/>
      </c>
      <c r="G38" s="427">
        <f>G25+G34+G35</f>
        <v/>
      </c>
      <c r="H38" s="427">
        <f>H25+H34+H35</f>
        <v/>
      </c>
      <c r="I38" s="427">
        <f>I25+I34+I35</f>
        <v/>
      </c>
      <c r="J38" s="427">
        <f>J25+J34+J35</f>
        <v/>
      </c>
      <c r="K38" s="427">
        <f>K25+K34+K35</f>
        <v/>
      </c>
      <c r="L38" s="427">
        <f>L25+L34+L35</f>
        <v/>
      </c>
      <c r="M38" s="427">
        <f>M25+M34+M35</f>
        <v/>
      </c>
      <c r="N38" s="427" t="n"/>
      <c r="AC38" s="428" t="n"/>
      <c r="AD38" s="74" t="n"/>
    </row>
    <row r="39">
      <c r="A39" s="426" t="inlineStr">
        <is>
          <t>EBITDAR</t>
        </is>
      </c>
      <c r="B39" s="398" t="n"/>
      <c r="C39" s="427">
        <f>C38+C37</f>
        <v/>
      </c>
      <c r="D39" s="427">
        <f>D38+D37</f>
        <v/>
      </c>
      <c r="E39" s="427">
        <f>E38+E37</f>
        <v/>
      </c>
      <c r="F39" s="427">
        <f>F38+F37</f>
        <v/>
      </c>
      <c r="G39" s="427">
        <f>G38+G37</f>
        <v/>
      </c>
      <c r="H39" s="427">
        <f>H38+H37</f>
        <v/>
      </c>
      <c r="I39" s="427">
        <f>I38+I37</f>
        <v/>
      </c>
      <c r="J39" s="427">
        <f>J38+J37</f>
        <v/>
      </c>
      <c r="K39" s="427">
        <f>K38+K37</f>
        <v/>
      </c>
      <c r="L39" s="427">
        <f>L38+L37</f>
        <v/>
      </c>
      <c r="M39" s="427">
        <f>M38+M37</f>
        <v/>
      </c>
      <c r="N39" s="427" t="n"/>
      <c r="R39" s="21" t="n"/>
      <c r="S39" s="21" t="n"/>
      <c r="T39" s="21" t="n"/>
      <c r="U39" s="21" t="n"/>
      <c r="V39" s="21" t="n"/>
      <c r="W39" s="21" t="n"/>
      <c r="X39" s="21" t="n"/>
      <c r="Y39" s="21" t="n"/>
      <c r="AC39" s="428" t="n"/>
    </row>
    <row r="40">
      <c r="A40" s="408" t="inlineStr">
        <is>
          <t>BALANCE SHEET</t>
        </is>
      </c>
      <c r="B40" s="408" t="n"/>
      <c r="C40" s="399">
        <f>C18</f>
        <v/>
      </c>
      <c r="D40" s="399">
        <f>D18</f>
        <v/>
      </c>
      <c r="E40" s="399">
        <f>E18</f>
        <v/>
      </c>
      <c r="F40" s="399">
        <f>F18</f>
        <v/>
      </c>
      <c r="G40" s="399">
        <f>G18</f>
        <v/>
      </c>
      <c r="H40" s="399">
        <f>H18</f>
        <v/>
      </c>
      <c r="I40" s="399">
        <f>I18</f>
        <v/>
      </c>
      <c r="J40" s="399">
        <f>J18</f>
        <v/>
      </c>
      <c r="K40" s="399">
        <f>K18</f>
        <v/>
      </c>
      <c r="L40" s="399">
        <f>L18</f>
        <v/>
      </c>
      <c r="M40" s="399">
        <f>M18</f>
        <v/>
      </c>
      <c r="N40" s="399" t="n"/>
      <c r="P40" s="408" t="inlineStr">
        <is>
          <t>RATIOS</t>
        </is>
      </c>
      <c r="Q40" s="408" t="n"/>
      <c r="R40" s="399">
        <f>R18</f>
        <v/>
      </c>
      <c r="S40" s="399">
        <f>S18</f>
        <v/>
      </c>
      <c r="T40" s="399">
        <f>T18</f>
        <v/>
      </c>
      <c r="U40" s="399">
        <f>U18</f>
        <v/>
      </c>
      <c r="V40" s="399">
        <f>V18</f>
        <v/>
      </c>
      <c r="W40" s="399">
        <f>W18</f>
        <v/>
      </c>
      <c r="X40" s="399">
        <f>X18</f>
        <v/>
      </c>
      <c r="Y40" s="399">
        <f>Y18</f>
        <v/>
      </c>
      <c r="Z40" s="399">
        <f>Z18</f>
        <v/>
      </c>
      <c r="AA40" s="399">
        <f>AA18</f>
        <v/>
      </c>
      <c r="AB40" s="399">
        <f>AB18</f>
        <v/>
      </c>
    </row>
    <row r="41">
      <c r="A41" s="398" t="n"/>
      <c r="B41" s="398" t="n"/>
      <c r="C41" s="398" t="n"/>
      <c r="D41" s="398" t="n"/>
      <c r="E41" s="398" t="n"/>
      <c r="F41" s="398" t="n"/>
      <c r="G41" s="398" t="n"/>
      <c r="H41" s="398" t="n"/>
      <c r="I41" s="398" t="n"/>
      <c r="J41" s="398" t="n"/>
      <c r="K41" s="168" t="n"/>
      <c r="L41" s="168" t="n"/>
      <c r="M41" s="168" t="n"/>
      <c r="N41" s="168" t="n"/>
      <c r="P41" s="398" t="n"/>
      <c r="Q41" s="398" t="n"/>
      <c r="R41" s="398" t="n"/>
      <c r="S41" s="398" t="n"/>
      <c r="T41" s="398" t="n"/>
      <c r="U41" s="398" t="n"/>
      <c r="V41" s="429" t="n"/>
      <c r="W41" s="429" t="n"/>
      <c r="X41" s="429" t="n"/>
      <c r="Y41" s="429" t="n"/>
    </row>
    <row r="42">
      <c r="A42" s="405" t="inlineStr">
        <is>
          <t>Cash and Marketable Securities</t>
        </is>
      </c>
      <c r="B42" s="419" t="n"/>
      <c r="C42" s="430">
        <f>SUMIF(BS.data!$D$5:$D$116,'Stress test'!$A42,BS.data!P$5:P$116)</f>
        <v/>
      </c>
      <c r="D42" s="430">
        <f>SUMIF(BS.data!$D$5:$D$116,'Stress test'!$A42,BS.data!Q$5:Q$116)</f>
        <v/>
      </c>
      <c r="E42" s="430">
        <f>SUMIF(BS.data!$D$5:$D$116,'Stress test'!$A42,BS.data!R$5:R$116)</f>
        <v/>
      </c>
      <c r="F42" s="430">
        <f>SUMIF(BS.data!$D$5:$D$116,'Stress test'!$A42,BS.data!S$5:S$116)</f>
        <v/>
      </c>
      <c r="G42" s="430">
        <f>SUMIF(BS.data!$D$5:$D$116,'Stress test'!$A42,BS.data!T$5:T$116)</f>
        <v/>
      </c>
      <c r="H42" s="430">
        <f>SUMIF(BS.data!$D$5:$D$116,'Stress test'!$A42,BS.data!U$5:U$116)</f>
        <v/>
      </c>
      <c r="I42" s="430">
        <f>SUMIF(BS.data!$D$5:$D$116,'Stress test'!$A42,BS.data!V$5:V$116)</f>
        <v/>
      </c>
      <c r="J42" s="430">
        <f>SUMIF(BS.data!$D$5:$D$116,'Stress test'!$A42,BS.data!W$5:W$116)</f>
        <v/>
      </c>
      <c r="K42" s="430">
        <f>J42+Z35</f>
        <v/>
      </c>
      <c r="L42" s="430">
        <f>K42+AA35</f>
        <v/>
      </c>
      <c r="M42" s="430">
        <f>L42+AB35</f>
        <v/>
      </c>
      <c r="N42" s="172" t="n"/>
      <c r="P42" s="398" t="inlineStr">
        <is>
          <t>Business Risk:</t>
        </is>
      </c>
      <c r="Q42" s="398" t="n"/>
      <c r="R42" s="398" t="n"/>
      <c r="S42" s="398" t="n"/>
      <c r="T42" s="398" t="n"/>
      <c r="U42" s="398" t="n"/>
      <c r="V42" s="429" t="n"/>
      <c r="W42" s="429" t="n"/>
      <c r="X42" s="429" t="n"/>
      <c r="Y42" s="429" t="n"/>
    </row>
    <row r="43">
      <c r="A43" s="405" t="inlineStr">
        <is>
          <t>Trade Debtors (Accounts Receivable)</t>
        </is>
      </c>
      <c r="B43" s="419" t="n"/>
      <c r="C43" s="430">
        <f>SUMIF(BS.data!$D$5:$D$116,'Stress test'!$A43,BS.data!P$5:P$116)</f>
        <v/>
      </c>
      <c r="D43" s="430">
        <f>SUMIF(BS.data!$D$5:$D$116,'Stress test'!$A43,BS.data!Q$5:Q$116)</f>
        <v/>
      </c>
      <c r="E43" s="430">
        <f>SUMIF(BS.data!$D$5:$D$116,'Stress test'!$A43,BS.data!R$5:R$116)</f>
        <v/>
      </c>
      <c r="F43" s="430">
        <f>SUMIF(BS.data!$D$5:$D$116,'Stress test'!$A43,BS.data!S$5:S$116)</f>
        <v/>
      </c>
      <c r="G43" s="430">
        <f>SUMIF(BS.data!$D$5:$D$116,'Stress test'!$A43,BS.data!T$5:T$116)</f>
        <v/>
      </c>
      <c r="H43" s="430">
        <f>SUMIF(BS.data!$D$5:$D$116,'Stress test'!$A43,BS.data!U$5:U$116)</f>
        <v/>
      </c>
      <c r="I43" s="430">
        <f>SUMIF(BS.data!$D$5:$D$116,'Stress test'!$A43,BS.data!V$5:V$116)</f>
        <v/>
      </c>
      <c r="J43" s="430">
        <f>SUMIF(BS.data!$D$5:$D$116,'Stress test'!$A43,BS.data!W$5:W$116)</f>
        <v/>
      </c>
      <c r="K43" s="169" t="n">
        <v>7428067</v>
      </c>
      <c r="L43" s="169" t="n">
        <v>7837952</v>
      </c>
      <c r="M43" s="169" t="n">
        <v>8286718</v>
      </c>
      <c r="N43" s="172" t="n"/>
      <c r="O43" s="428" t="n"/>
      <c r="P43" s="405" t="inlineStr">
        <is>
          <t>Sale growth</t>
        </is>
      </c>
      <c r="Q43" s="405" t="n"/>
      <c r="R43" s="405" t="n"/>
      <c r="S43" s="184">
        <f>D20/C20-1</f>
        <v/>
      </c>
      <c r="T43" s="184">
        <f>E20/D20-1</f>
        <v/>
      </c>
      <c r="U43" s="184">
        <f>F20/E20-1</f>
        <v/>
      </c>
      <c r="V43" s="184">
        <f>G20/F20-1</f>
        <v/>
      </c>
      <c r="W43" s="184">
        <f>H20/G20-1</f>
        <v/>
      </c>
      <c r="X43" s="184">
        <f>I20/H20-1</f>
        <v/>
      </c>
      <c r="Y43" s="184">
        <f>J20/I20-1</f>
        <v/>
      </c>
      <c r="Z43" s="185">
        <f>K20/J20-1</f>
        <v/>
      </c>
      <c r="AA43" s="185">
        <f>L20/K20-1</f>
        <v/>
      </c>
      <c r="AB43" s="185">
        <f>M20/L20-1</f>
        <v/>
      </c>
    </row>
    <row r="44">
      <c r="A44" s="419" t="inlineStr">
        <is>
          <t>Stock (Inventory) #</t>
        </is>
      </c>
      <c r="B44" s="419" t="n"/>
      <c r="C44" s="430">
        <f>SUMIF(BS.data!$D$5:$D$116,'Stress test'!$A44,BS.data!P$5:P$116)</f>
        <v/>
      </c>
      <c r="D44" s="430">
        <f>SUMIF(BS.data!$D$5:$D$116,'Stress test'!$A44,BS.data!Q$5:Q$116)</f>
        <v/>
      </c>
      <c r="E44" s="430">
        <f>SUMIF(BS.data!$D$5:$D$116,'Stress test'!$A44,BS.data!R$5:R$116)</f>
        <v/>
      </c>
      <c r="F44" s="430">
        <f>SUMIF(BS.data!$D$5:$D$116,'Stress test'!$A44,BS.data!S$5:S$116)</f>
        <v/>
      </c>
      <c r="G44" s="430">
        <f>SUMIF(BS.data!$D$5:$D$116,'Stress test'!$A44,BS.data!T$5:T$116)</f>
        <v/>
      </c>
      <c r="H44" s="430">
        <f>SUMIF(BS.data!$D$5:$D$116,'Stress test'!$A44,BS.data!U$5:U$116)</f>
        <v/>
      </c>
      <c r="I44" s="430">
        <f>SUMIF(BS.data!$D$5:$D$116,'Stress test'!$A44,BS.data!V$5:V$116)</f>
        <v/>
      </c>
      <c r="J44" s="430">
        <f>SUMIF(BS.data!$D$5:$D$116,'Stress test'!$A44,BS.data!W$5:W$116)</f>
        <v/>
      </c>
      <c r="K44" s="169" t="n">
        <v>4092568</v>
      </c>
      <c r="L44" s="169" t="n">
        <v>5119409</v>
      </c>
      <c r="M44" s="169" t="n">
        <v>4438871</v>
      </c>
      <c r="N44" s="172" t="n"/>
      <c r="O44" s="428" t="n"/>
      <c r="P44" s="40" t="inlineStr">
        <is>
          <t>Gross Profit / Sales</t>
        </is>
      </c>
      <c r="R44" s="164">
        <f>C22/C20</f>
        <v/>
      </c>
      <c r="S44" s="164">
        <f>D22/D20</f>
        <v/>
      </c>
      <c r="T44" s="164">
        <f>E22/E20</f>
        <v/>
      </c>
      <c r="U44" s="164">
        <f>F22/F20</f>
        <v/>
      </c>
      <c r="V44" s="164">
        <f>G22/G20</f>
        <v/>
      </c>
      <c r="W44" s="164">
        <f>H22/H20</f>
        <v/>
      </c>
      <c r="X44" s="164">
        <f>I22/I20</f>
        <v/>
      </c>
      <c r="Y44" s="164">
        <f>J22/J20</f>
        <v/>
      </c>
      <c r="Z44" s="185">
        <f>K22/K20</f>
        <v/>
      </c>
      <c r="AA44" s="185">
        <f>L22/L20</f>
        <v/>
      </c>
      <c r="AB44" s="185">
        <f>M22/M20</f>
        <v/>
      </c>
    </row>
    <row r="45">
      <c r="A45" t="inlineStr">
        <is>
          <t>Prepayment to Suppliers</t>
        </is>
      </c>
      <c r="C45" s="430">
        <f>SUMIF(BS.data!$D$5:$D$116,'Stress test'!$A45,BS.data!P$5:P$116)</f>
        <v/>
      </c>
      <c r="D45" s="430">
        <f>SUMIF(BS.data!$D$5:$D$116,'Stress test'!$A45,BS.data!Q$5:Q$116)</f>
        <v/>
      </c>
      <c r="E45" s="430">
        <f>SUMIF(BS.data!$D$5:$D$116,'Stress test'!$A45,BS.data!R$5:R$116)</f>
        <v/>
      </c>
      <c r="F45" s="430">
        <f>SUMIF(BS.data!$D$5:$D$116,'Stress test'!$A45,BS.data!S$5:S$116)</f>
        <v/>
      </c>
      <c r="G45" s="430">
        <f>SUMIF(BS.data!$D$5:$D$116,'Stress test'!$A45,BS.data!T$5:T$116)</f>
        <v/>
      </c>
      <c r="H45" s="430">
        <f>SUMIF(BS.data!$D$5:$D$116,'Stress test'!$A45,BS.data!U$5:U$116)</f>
        <v/>
      </c>
      <c r="I45" s="430">
        <f>SUMIF(BS.data!$D$5:$D$116,'Stress test'!$A45,BS.data!V$5:V$116)</f>
        <v/>
      </c>
      <c r="J45" s="430">
        <f>SUMIF(BS.data!$D$5:$D$116,'Stress test'!$A45,BS.data!W$5:W$116)</f>
        <v/>
      </c>
      <c r="K45" s="168" t="n">
        <v>0</v>
      </c>
      <c r="L45" s="168" t="n">
        <v>0</v>
      </c>
      <c r="M45" s="168" t="n">
        <v>0</v>
      </c>
      <c r="N45" s="172" t="n"/>
      <c r="P45" s="62" t="inlineStr">
        <is>
          <t>EBITDA / Sales</t>
        </is>
      </c>
      <c r="Q45" s="62" t="n"/>
      <c r="R45" s="62">
        <f>C38/C20</f>
        <v/>
      </c>
      <c r="S45" s="62">
        <f>D38/D20</f>
        <v/>
      </c>
      <c r="T45" s="62">
        <f>E38/E20</f>
        <v/>
      </c>
      <c r="U45" s="62">
        <f>F38/F20</f>
        <v/>
      </c>
      <c r="V45" s="62">
        <f>G38/G20</f>
        <v/>
      </c>
      <c r="W45" s="62">
        <f>H38/H20</f>
        <v/>
      </c>
      <c r="X45" s="62">
        <f>I38/I20</f>
        <v/>
      </c>
      <c r="Y45" s="62">
        <f>J38/J20</f>
        <v/>
      </c>
      <c r="Z45" s="185">
        <f>K38/K20</f>
        <v/>
      </c>
      <c r="AA45" s="185">
        <f>L38/L20</f>
        <v/>
      </c>
      <c r="AB45" s="185">
        <f>M38/M20</f>
        <v/>
      </c>
    </row>
    <row r="46">
      <c r="A46" t="inlineStr">
        <is>
          <t>Prepaid Expenses</t>
        </is>
      </c>
      <c r="C46" s="430">
        <f>SUMIF(BS.data!$D$5:$D$116,'Stress test'!$A46,BS.data!P$5:P$116)</f>
        <v/>
      </c>
      <c r="D46" s="430">
        <f>SUMIF(BS.data!$D$5:$D$116,'Stress test'!$A46,BS.data!Q$5:Q$116)</f>
        <v/>
      </c>
      <c r="E46" s="430">
        <f>SUMIF(BS.data!$D$5:$D$116,'Stress test'!$A46,BS.data!R$5:R$116)</f>
        <v/>
      </c>
      <c r="F46" s="430">
        <f>SUMIF(BS.data!$D$5:$D$116,'Stress test'!$A46,BS.data!S$5:S$116)</f>
        <v/>
      </c>
      <c r="G46" s="430">
        <f>SUMIF(BS.data!$D$5:$D$116,'Stress test'!$A46,BS.data!T$5:T$116)</f>
        <v/>
      </c>
      <c r="H46" s="430">
        <f>SUMIF(BS.data!$D$5:$D$116,'Stress test'!$A46,BS.data!U$5:U$116)</f>
        <v/>
      </c>
      <c r="I46" s="430">
        <f>SUMIF(BS.data!$D$5:$D$116,'Stress test'!$A46,BS.data!V$5:V$116)</f>
        <v/>
      </c>
      <c r="J46" s="430">
        <f>SUMIF(BS.data!$D$5:$D$116,'Stress test'!$A46,BS.data!W$5:W$116)</f>
        <v/>
      </c>
      <c r="K46" s="168" t="n">
        <v>0</v>
      </c>
      <c r="L46" s="168" t="n">
        <v>0</v>
      </c>
      <c r="M46" s="168" t="n">
        <v>0</v>
      </c>
      <c r="N46" s="172" t="n"/>
      <c r="P46" s="405" t="inlineStr">
        <is>
          <t>FFO / Sales</t>
        </is>
      </c>
      <c r="R46" s="164">
        <f>R23/C20</f>
        <v/>
      </c>
      <c r="S46" s="164">
        <f>S23/D20</f>
        <v/>
      </c>
      <c r="T46" s="164">
        <f>T23/E20</f>
        <v/>
      </c>
      <c r="U46" s="164">
        <f>U23/F20</f>
        <v/>
      </c>
      <c r="V46" s="164">
        <f>V23/G20</f>
        <v/>
      </c>
      <c r="W46" s="164">
        <f>W23/H20</f>
        <v/>
      </c>
      <c r="X46" s="164">
        <f>X23/I20</f>
        <v/>
      </c>
      <c r="Y46" s="164">
        <f>Y23/J20</f>
        <v/>
      </c>
      <c r="Z46" s="185">
        <f>Z23/K20</f>
        <v/>
      </c>
      <c r="AA46" s="185">
        <f>AA23/L20</f>
        <v/>
      </c>
      <c r="AB46" s="185">
        <f>AB23/M20</f>
        <v/>
      </c>
    </row>
    <row r="47">
      <c r="A47" s="419" t="inlineStr">
        <is>
          <t>Other debtors and other assets</t>
        </is>
      </c>
      <c r="B47" s="419" t="n"/>
      <c r="C47" s="430">
        <f>SUMIF(BS.data!$D$5:$D$116,'Stress test'!$A47,BS.data!P$5:P$116)</f>
        <v/>
      </c>
      <c r="D47" s="430">
        <f>SUMIF(BS.data!$D$5:$D$116,'Stress test'!$A47,BS.data!Q$5:Q$116)</f>
        <v/>
      </c>
      <c r="E47" s="430">
        <f>SUMIF(BS.data!$D$5:$D$116,'Stress test'!$A47,BS.data!R$5:R$116)</f>
        <v/>
      </c>
      <c r="F47" s="430">
        <f>SUMIF(BS.data!$D$5:$D$116,'Stress test'!$A47,BS.data!S$5:S$116)</f>
        <v/>
      </c>
      <c r="G47" s="430">
        <f>SUMIF(BS.data!$D$5:$D$116,'Stress test'!$A47,BS.data!T$5:T$116)</f>
        <v/>
      </c>
      <c r="H47" s="430">
        <f>SUMIF(BS.data!$D$5:$D$116,'Stress test'!$A47,BS.data!U$5:U$116)</f>
        <v/>
      </c>
      <c r="I47" s="430">
        <f>SUMIF(BS.data!$D$5:$D$116,'Stress test'!$A47,BS.data!V$5:V$116)</f>
        <v/>
      </c>
      <c r="J47" s="430">
        <f>SUMIF(BS.data!$D$5:$D$116,'Stress test'!$A47,BS.data!W$5:W$116)</f>
        <v/>
      </c>
      <c r="K47" s="169">
        <f>1857684+223328</f>
        <v/>
      </c>
      <c r="L47" s="169">
        <f>1826079+236045</f>
        <v/>
      </c>
      <c r="M47" s="169">
        <f>1791397+244460</f>
        <v/>
      </c>
      <c r="N47" s="172" t="n"/>
      <c r="P47" s="405" t="inlineStr">
        <is>
          <t>Trade Debtors days on hand</t>
        </is>
      </c>
      <c r="R47" s="58">
        <f>(C43/C20)*365</f>
        <v/>
      </c>
      <c r="S47" s="58">
        <f>((D43+C43)/2/D20)*365</f>
        <v/>
      </c>
      <c r="T47" s="58">
        <f>((E43+D43)/2/E20)*365</f>
        <v/>
      </c>
      <c r="U47" s="58">
        <f>((F43+E43)/2/F20)*365</f>
        <v/>
      </c>
      <c r="V47" s="58">
        <f>((G43+F43)/2/G20)*365</f>
        <v/>
      </c>
      <c r="W47" s="58">
        <f>((H43+G43)/2/H20)*365</f>
        <v/>
      </c>
      <c r="X47" s="58">
        <f>((I43+H43)/2/I20)*365</f>
        <v/>
      </c>
      <c r="Y47" s="58">
        <f>((J43+I43)/2/J20)*365</f>
        <v/>
      </c>
      <c r="Z47" s="186">
        <f>((K43+J43)/2/K20)*365</f>
        <v/>
      </c>
      <c r="AA47" s="186">
        <f>((L43+K43)/2/L20)*365</f>
        <v/>
      </c>
      <c r="AB47" s="186">
        <f>((M43+L43)/2/M20)*365</f>
        <v/>
      </c>
    </row>
    <row r="48">
      <c r="A48" s="405" t="inlineStr">
        <is>
          <t>Investments and assets for sale</t>
        </is>
      </c>
      <c r="B48" s="430" t="n"/>
      <c r="C48" s="430">
        <f>SUMIF(BS.data!$D$5:$D$116,'Stress test'!$A48,BS.data!P$5:P$116)</f>
        <v/>
      </c>
      <c r="D48" s="430">
        <f>SUMIF(BS.data!$D$5:$D$116,'Stress test'!$A48,BS.data!Q$5:Q$116)</f>
        <v/>
      </c>
      <c r="E48" s="430">
        <f>SUMIF(BS.data!$D$5:$D$116,'Stress test'!$A48,BS.data!R$5:R$116)</f>
        <v/>
      </c>
      <c r="F48" s="430">
        <f>SUMIF(BS.data!$D$5:$D$116,'Stress test'!$A48,BS.data!S$5:S$116)</f>
        <v/>
      </c>
      <c r="G48" s="430">
        <f>SUMIF(BS.data!$D$5:$D$116,'Stress test'!$A48,BS.data!T$5:T$116)</f>
        <v/>
      </c>
      <c r="H48" s="430">
        <f>SUMIF(BS.data!$D$5:$D$116,'Stress test'!$A48,BS.data!U$5:U$116)</f>
        <v/>
      </c>
      <c r="I48" s="430">
        <f>SUMIF(BS.data!$D$5:$D$116,'Stress test'!$A48,BS.data!V$5:V$116)</f>
        <v/>
      </c>
      <c r="J48" s="430">
        <f>SUMIF(BS.data!$D$5:$D$116,'Stress test'!$A48,BS.data!W$5:W$116)</f>
        <v/>
      </c>
      <c r="K48" s="169" t="n">
        <v>3108949</v>
      </c>
      <c r="L48" s="169" t="n">
        <v>3082955</v>
      </c>
      <c r="M48" s="169" t="n">
        <v>3056960</v>
      </c>
      <c r="N48" s="172" t="n"/>
      <c r="P48" s="405" t="inlineStr">
        <is>
          <t>Inventory days on hand</t>
        </is>
      </c>
      <c r="R48" s="58">
        <f>(C44/-C21)*365</f>
        <v/>
      </c>
      <c r="S48" s="58">
        <f>((D44+C44)/2/-D21)*365</f>
        <v/>
      </c>
      <c r="T48" s="58">
        <f>((E44+D44)/2/-E21)*365</f>
        <v/>
      </c>
      <c r="U48" s="58">
        <f>((F44+E44)/2/-F21)*365</f>
        <v/>
      </c>
      <c r="V48" s="58">
        <f>((G44+F44)/2/-G21)*365</f>
        <v/>
      </c>
      <c r="W48" s="58">
        <f>((H44+G44)/2/-H21)*365</f>
        <v/>
      </c>
      <c r="X48" s="58">
        <f>((I44+H44)/2/-I21)*365</f>
        <v/>
      </c>
      <c r="Y48" s="58">
        <f>((J44+I44)/2/-J21)*365</f>
        <v/>
      </c>
      <c r="Z48" s="186">
        <f>((K44+J44)/2/-K21)*365</f>
        <v/>
      </c>
      <c r="AA48" s="186">
        <f>((L44+K44)/2/-L21)*365</f>
        <v/>
      </c>
      <c r="AB48" s="186">
        <f>((M44+L44)/2/-M21)*365</f>
        <v/>
      </c>
    </row>
    <row r="49">
      <c r="A49" s="405" t="inlineStr">
        <is>
          <t>Net Fixed Assets</t>
        </is>
      </c>
      <c r="B49" s="419" t="n"/>
      <c r="C49" s="430">
        <f>SUMIF(BS.data!$D$5:$D$116,'Stress test'!$A49,BS.data!P$5:P$116)</f>
        <v/>
      </c>
      <c r="D49" s="430">
        <f>SUMIF(BS.data!$D$5:$D$116,'Stress test'!$A49,BS.data!Q$5:Q$116)</f>
        <v/>
      </c>
      <c r="E49" s="430">
        <f>SUMIF(BS.data!$D$5:$D$116,'Stress test'!$A49,BS.data!R$5:R$116)</f>
        <v/>
      </c>
      <c r="F49" s="430">
        <f>SUMIF(BS.data!$D$5:$D$116,'Stress test'!$A49,BS.data!S$5:S$116)</f>
        <v/>
      </c>
      <c r="G49" s="430">
        <f>SUMIF(BS.data!$D$5:$D$116,'Stress test'!$A49,BS.data!T$5:T$116)</f>
        <v/>
      </c>
      <c r="H49" s="430">
        <f>SUMIF(BS.data!$D$5:$D$116,'Stress test'!$A49,BS.data!U$5:U$116)</f>
        <v/>
      </c>
      <c r="I49" s="430">
        <f>SUMIF(BS.data!$D$5:$D$116,'Stress test'!$A49,BS.data!V$5:V$116)</f>
        <v/>
      </c>
      <c r="J49" s="430">
        <f>SUMIF(BS.data!$D$5:$D$116,'Stress test'!$A49,BS.data!W$5:W$116)</f>
        <v/>
      </c>
      <c r="K49" s="169" t="n">
        <v>7475868</v>
      </c>
      <c r="L49" s="169" t="n">
        <v>8794698</v>
      </c>
      <c r="M49" s="169" t="n">
        <v>8486695</v>
      </c>
      <c r="N49" s="172" t="n"/>
      <c r="P49" s="405" t="inlineStr">
        <is>
          <t>Trade Creditor days on hand</t>
        </is>
      </c>
      <c r="R49" s="58">
        <f>(C53/-C21)*365</f>
        <v/>
      </c>
      <c r="S49" s="58">
        <f>((D53+C53)/2/-D21)*365</f>
        <v/>
      </c>
      <c r="T49" s="58">
        <f>((E53+D53)/2/-E21)*365</f>
        <v/>
      </c>
      <c r="U49" s="58">
        <f>((F53+E53)/2/-F21)*365</f>
        <v/>
      </c>
      <c r="V49" s="58">
        <f>((G53+F53)/2/-G21)*365</f>
        <v/>
      </c>
      <c r="W49" s="58">
        <f>((H53+G53)/2/-H21)*365</f>
        <v/>
      </c>
      <c r="X49" s="58">
        <f>((I53+H53)/2/-I21)*365</f>
        <v/>
      </c>
      <c r="Y49" s="58">
        <f>((J53+I53)/2/-J21)*365</f>
        <v/>
      </c>
      <c r="Z49" s="186">
        <f>((K53+J53)/2/-K21)*365</f>
        <v/>
      </c>
      <c r="AA49" s="186">
        <f>((L53+K53)/2/-L21)*365</f>
        <v/>
      </c>
      <c r="AB49" s="186">
        <f>((M53+L53)/2/-M21)*365</f>
        <v/>
      </c>
    </row>
    <row r="50">
      <c r="A50" s="419" t="inlineStr">
        <is>
          <t>Intangible Assets</t>
        </is>
      </c>
      <c r="B50" s="419" t="n"/>
      <c r="C50" s="430">
        <f>SUMIF(BS.data!$D$5:$D$116,'Stress test'!$A50,BS.data!P$5:P$116)</f>
        <v/>
      </c>
      <c r="D50" s="430">
        <f>SUMIF(BS.data!$D$5:$D$116,'Stress test'!$A50,BS.data!Q$5:Q$116)</f>
        <v/>
      </c>
      <c r="E50" s="430">
        <f>SUMIF(BS.data!$D$5:$D$116,'Stress test'!$A50,BS.data!R$5:R$116)</f>
        <v/>
      </c>
      <c r="F50" s="430">
        <f>SUMIF(BS.data!$D$5:$D$116,'Stress test'!$A50,BS.data!S$5:S$116)</f>
        <v/>
      </c>
      <c r="G50" s="430">
        <f>SUMIF(BS.data!$D$5:$D$116,'Stress test'!$A50,BS.data!T$5:T$116)</f>
        <v/>
      </c>
      <c r="H50" s="430">
        <f>SUMIF(BS.data!$D$5:$D$116,'Stress test'!$A50,BS.data!U$5:U$116)</f>
        <v/>
      </c>
      <c r="I50" s="430">
        <f>SUMIF(BS.data!$D$5:$D$116,'Stress test'!$A50,BS.data!V$5:V$116)</f>
        <v/>
      </c>
      <c r="J50" s="430">
        <f>SUMIF(BS.data!$D$5:$D$116,'Stress test'!$A50,BS.data!W$5:W$116)</f>
        <v/>
      </c>
      <c r="K50" s="169" t="n">
        <v>62424</v>
      </c>
      <c r="L50" s="169" t="n">
        <v>45865</v>
      </c>
      <c r="M50" s="169" t="n">
        <v>29306</v>
      </c>
      <c r="N50" s="172" t="n"/>
      <c r="P50" s="405" t="inlineStr">
        <is>
          <t>Customer advances, Defferred Income days</t>
        </is>
      </c>
      <c r="R50" s="58">
        <f>(C55+C56)/C20*365</f>
        <v/>
      </c>
      <c r="S50" s="58">
        <f>(D55+D56)/D20*365</f>
        <v/>
      </c>
      <c r="T50" s="58">
        <f>(E55+E56)/E20*365</f>
        <v/>
      </c>
      <c r="U50" s="58">
        <f>(F55+F56)/F20*365</f>
        <v/>
      </c>
      <c r="V50" s="58">
        <f>(G55+G56)/G20*365</f>
        <v/>
      </c>
      <c r="W50" s="58">
        <f>(H55+H56)/H20*365</f>
        <v/>
      </c>
      <c r="X50" s="58">
        <f>(I55+I56)/I20*365</f>
        <v/>
      </c>
      <c r="Y50" s="58">
        <f>(J55+J56)/J20*365</f>
        <v/>
      </c>
      <c r="Z50" s="186">
        <f>(K55+K56)/K20*365</f>
        <v/>
      </c>
      <c r="AA50" s="186">
        <f>(L55+L56)/L20*365</f>
        <v/>
      </c>
      <c r="AB50" s="186">
        <f>(M55+M56)/M20*365</f>
        <v/>
      </c>
    </row>
    <row r="51">
      <c r="A51" s="398" t="inlineStr">
        <is>
          <t>Assets</t>
        </is>
      </c>
      <c r="B51" s="398" t="n"/>
      <c r="C51" s="431">
        <f>SUM(C42:C50)</f>
        <v/>
      </c>
      <c r="D51" s="431">
        <f>SUM(D42:D50)</f>
        <v/>
      </c>
      <c r="E51" s="431">
        <f>SUM(E42:E50)</f>
        <v/>
      </c>
      <c r="F51" s="431">
        <f>SUM(F42:F50)</f>
        <v/>
      </c>
      <c r="G51" s="431">
        <f>SUM(G42:G50)</f>
        <v/>
      </c>
      <c r="H51" s="431">
        <f>SUM(H42:H50)</f>
        <v/>
      </c>
      <c r="I51" s="431">
        <f>SUM(I42:I50)</f>
        <v/>
      </c>
      <c r="J51" s="431">
        <f>SUM(J42:J50)</f>
        <v/>
      </c>
      <c r="K51" s="431">
        <f>SUM(K42:K50)</f>
        <v/>
      </c>
      <c r="L51" s="431">
        <f>SUM(L42:L50)</f>
        <v/>
      </c>
      <c r="M51" s="431">
        <f>SUM(M42:M50)</f>
        <v/>
      </c>
      <c r="N51" s="172" t="n"/>
      <c r="P51" s="405" t="inlineStr">
        <is>
          <t>Prepayment to Suppliers days</t>
        </is>
      </c>
      <c r="R51" s="58">
        <f>-C45/C21*365</f>
        <v/>
      </c>
      <c r="S51" s="58">
        <f>-D45/D21*365</f>
        <v/>
      </c>
      <c r="T51" s="58">
        <f>-E45/E21*365</f>
        <v/>
      </c>
      <c r="U51" s="58">
        <f>-F45/F21*365</f>
        <v/>
      </c>
      <c r="V51" s="58">
        <f>-G45/G21*365</f>
        <v/>
      </c>
      <c r="W51" s="58">
        <f>-H45/H21*365</f>
        <v/>
      </c>
      <c r="X51" s="58">
        <f>-I45/I21*365</f>
        <v/>
      </c>
      <c r="Y51" s="58">
        <f>-J45/J21*365</f>
        <v/>
      </c>
      <c r="Z51" s="186">
        <f>-K45/K21*365</f>
        <v/>
      </c>
      <c r="AA51" s="186">
        <f>-L45/L21*365</f>
        <v/>
      </c>
      <c r="AB51" s="186">
        <f>-M45/M21*365</f>
        <v/>
      </c>
    </row>
    <row r="52">
      <c r="A52" s="398" t="n"/>
      <c r="B52" s="398" t="n"/>
      <c r="C52" s="431" t="n"/>
      <c r="D52" s="431" t="n"/>
      <c r="E52" s="431" t="n"/>
      <c r="F52" s="431" t="n"/>
      <c r="G52" s="431" t="n"/>
      <c r="H52" s="431" t="n"/>
      <c r="I52" s="431" t="n"/>
      <c r="J52" s="431" t="n"/>
      <c r="K52" s="168" t="n"/>
      <c r="L52" s="168" t="n"/>
      <c r="M52" s="168" t="n"/>
      <c r="N52" s="168" t="n"/>
      <c r="P52" s="62" t="inlineStr">
        <is>
          <t>Net Working Capital / Sales</t>
        </is>
      </c>
      <c r="Q52" s="62" t="n"/>
      <c r="R52" s="62">
        <f>(C43+C44+C45+C46-C53-C54-C55-C56)/C20</f>
        <v/>
      </c>
      <c r="S52" s="62">
        <f>(D43+D44+D45+D46-D53-D54-D55-D56)/D20</f>
        <v/>
      </c>
      <c r="T52" s="62">
        <f>(E43+E44+E45+E46-E53-E54-E55-E56)/E20</f>
        <v/>
      </c>
      <c r="U52" s="62">
        <f>(F43+F44+F45+F46-F53-F54-F55-F56)/F20</f>
        <v/>
      </c>
      <c r="V52" s="62">
        <f>(G43+G44+G45+G46-G53-G54-G55-G56)/G20</f>
        <v/>
      </c>
      <c r="W52" s="62">
        <f>(H43+H44+H45+H46-H53-H54-H55-H56)/H20</f>
        <v/>
      </c>
      <c r="X52" s="62">
        <f>(I43+I44+I45+I46-I53-I54-I55-I56)/I20</f>
        <v/>
      </c>
      <c r="Y52" s="62">
        <f>(J43+J44+J45+J46-J53-J54-J55-J56)/J20</f>
        <v/>
      </c>
      <c r="Z52" s="185">
        <f>(K43+K44+K45+K46-K53-K54-K55-K56)/K20</f>
        <v/>
      </c>
      <c r="AA52" s="185">
        <f>(L43+L44+L45+L46-L53-L54-L55-L56)/L20</f>
        <v/>
      </c>
      <c r="AB52" s="185">
        <f>(M43+M44+M45+M46-M53-M54-M55-M56)/M20</f>
        <v/>
      </c>
    </row>
    <row r="53">
      <c r="A53" s="419" t="inlineStr">
        <is>
          <t>Trade Creditors (Accounts Payable)</t>
        </is>
      </c>
      <c r="B53" s="419" t="n"/>
      <c r="C53" s="430">
        <f>SUMIF(BS.data!$D$5:$D$116,'Stress test'!$A53,BS.data!P$5:P$116)</f>
        <v/>
      </c>
      <c r="D53" s="430">
        <f>SUMIF(BS.data!$D$5:$D$116,'Stress test'!$A53,BS.data!Q$5:Q$116)</f>
        <v/>
      </c>
      <c r="E53" s="430">
        <f>SUMIF(BS.data!$D$5:$D$116,'Stress test'!$A53,BS.data!R$5:R$116)</f>
        <v/>
      </c>
      <c r="F53" s="430">
        <f>SUMIF(BS.data!$D$5:$D$116,'Stress test'!$A53,BS.data!S$5:S$116)</f>
        <v/>
      </c>
      <c r="G53" s="430">
        <f>SUMIF(BS.data!$D$5:$D$116,'Stress test'!$A53,BS.data!T$5:T$116)</f>
        <v/>
      </c>
      <c r="H53" s="430">
        <f>SUMIF(BS.data!$D$5:$D$116,'Stress test'!$A53,BS.data!U$5:U$116)</f>
        <v/>
      </c>
      <c r="I53" s="430">
        <f>SUMIF(BS.data!$D$5:$D$116,'Stress test'!$A53,BS.data!V$5:V$116)</f>
        <v/>
      </c>
      <c r="J53" s="430">
        <f>SUMIF(BS.data!$D$5:$D$116,'Stress test'!$A53,BS.data!W$5:W$116)</f>
        <v/>
      </c>
      <c r="K53" s="169" t="n">
        <v>1146580</v>
      </c>
      <c r="L53" s="169" t="n">
        <v>2197702</v>
      </c>
      <c r="M53" s="169" t="n">
        <v>1426852</v>
      </c>
      <c r="N53" s="169" t="n"/>
      <c r="P53" s="62" t="inlineStr">
        <is>
          <t>Sales / Net Fixed Assets</t>
        </is>
      </c>
      <c r="Q53" s="62" t="n"/>
      <c r="R53" s="432">
        <f>C20/C49</f>
        <v/>
      </c>
      <c r="S53" s="432">
        <f>D20/D49</f>
        <v/>
      </c>
      <c r="T53" s="432">
        <f>E20/E49</f>
        <v/>
      </c>
      <c r="U53" s="432">
        <f>F20/F49</f>
        <v/>
      </c>
      <c r="V53" s="75">
        <f>G20/G49</f>
        <v/>
      </c>
      <c r="W53" s="75">
        <f>H20/H49</f>
        <v/>
      </c>
      <c r="X53" s="75">
        <f>I20/I49</f>
        <v/>
      </c>
      <c r="Y53" s="75">
        <f>J20/J49</f>
        <v/>
      </c>
      <c r="Z53" s="187">
        <f>K20/K49</f>
        <v/>
      </c>
      <c r="AA53" s="187">
        <f>L20/L49</f>
        <v/>
      </c>
      <c r="AB53" s="187">
        <f>M20/M49</f>
        <v/>
      </c>
    </row>
    <row r="54">
      <c r="A54" s="419" t="inlineStr">
        <is>
          <t>Accrued Expenses</t>
        </is>
      </c>
      <c r="B54" s="419" t="n"/>
      <c r="C54" s="430">
        <f>SUMIF(BS.data!$D$5:$D$116,'Stress test'!$A54,BS.data!P$5:P$116)</f>
        <v/>
      </c>
      <c r="D54" s="430">
        <f>SUMIF(BS.data!$D$5:$D$116,'Stress test'!$A54,BS.data!Q$5:Q$116)</f>
        <v/>
      </c>
      <c r="E54" s="430">
        <f>SUMIF(BS.data!$D$5:$D$116,'Stress test'!$A54,BS.data!R$5:R$116)</f>
        <v/>
      </c>
      <c r="F54" s="430">
        <f>SUMIF(BS.data!$D$5:$D$116,'Stress test'!$A54,BS.data!S$5:S$116)</f>
        <v/>
      </c>
      <c r="G54" s="430">
        <f>SUMIF(BS.data!$D$5:$D$116,'Stress test'!$A54,BS.data!T$5:T$116)</f>
        <v/>
      </c>
      <c r="H54" s="430">
        <f>SUMIF(BS.data!$D$5:$D$116,'Stress test'!$A54,BS.data!U$5:U$116)</f>
        <v/>
      </c>
      <c r="I54" s="430">
        <f>SUMIF(BS.data!$D$5:$D$116,'Stress test'!$A54,BS.data!V$5:V$116)</f>
        <v/>
      </c>
      <c r="J54" s="430">
        <f>SUMIF(BS.data!$D$5:$D$116,'Stress test'!$A54,BS.data!W$5:W$116)</f>
        <v/>
      </c>
      <c r="K54" s="168" t="n">
        <v>0</v>
      </c>
      <c r="L54" s="168" t="n">
        <v>0</v>
      </c>
      <c r="M54" s="168" t="n">
        <v>0</v>
      </c>
      <c r="N54" s="168" t="n"/>
      <c r="P54" s="62" t="inlineStr">
        <is>
          <t>Gross Capex Tang and Intang Assets / Depr and Amort</t>
        </is>
      </c>
      <c r="Q54" s="62" t="n"/>
      <c r="R54" s="62">
        <f>-R27/C34</f>
        <v/>
      </c>
      <c r="S54" s="62">
        <f>-S27/D34</f>
        <v/>
      </c>
      <c r="T54" s="62">
        <f>-T27/E34</f>
        <v/>
      </c>
      <c r="U54" s="62">
        <f>-U27/F34</f>
        <v/>
      </c>
      <c r="V54" s="62">
        <f>-V27/G34</f>
        <v/>
      </c>
      <c r="W54" s="62">
        <f>-W27/H34</f>
        <v/>
      </c>
      <c r="X54" s="62">
        <f>-X27/I34</f>
        <v/>
      </c>
      <c r="Y54" s="62">
        <f>-Y27/J34</f>
        <v/>
      </c>
      <c r="Z54" s="185">
        <f>-Z27/K34</f>
        <v/>
      </c>
      <c r="AA54" s="185">
        <f>-AA27/L34</f>
        <v/>
      </c>
      <c r="AB54" s="185">
        <f>-AB27/M34</f>
        <v/>
      </c>
    </row>
    <row r="55">
      <c r="A55" s="419" t="inlineStr">
        <is>
          <t>Customers advances</t>
        </is>
      </c>
      <c r="C55" s="430">
        <f>SUMIF(BS.data!$D$5:$D$116,'Stress test'!$A55,BS.data!P$5:P$116)</f>
        <v/>
      </c>
      <c r="D55" s="430">
        <f>SUMIF(BS.data!$D$5:$D$116,'Stress test'!$A55,BS.data!Q$5:Q$116)</f>
        <v/>
      </c>
      <c r="E55" s="430">
        <f>SUMIF(BS.data!$D$5:$D$116,'Stress test'!$A55,BS.data!R$5:R$116)</f>
        <v/>
      </c>
      <c r="F55" s="430">
        <f>SUMIF(BS.data!$D$5:$D$116,'Stress test'!$A55,BS.data!S$5:S$116)</f>
        <v/>
      </c>
      <c r="G55" s="430">
        <f>SUMIF(BS.data!$D$5:$D$116,'Stress test'!$A55,BS.data!T$5:T$116)</f>
        <v/>
      </c>
      <c r="H55" s="430">
        <f>SUMIF(BS.data!$D$5:$D$116,'Stress test'!$A55,BS.data!U$5:U$116)</f>
        <v/>
      </c>
      <c r="I55" s="430">
        <f>SUMIF(BS.data!$D$5:$D$116,'Stress test'!$A55,BS.data!V$5:V$116)</f>
        <v/>
      </c>
      <c r="J55" s="430">
        <f>SUMIF(BS.data!$D$5:$D$116,'Stress test'!$A55,BS.data!W$5:W$116)</f>
        <v/>
      </c>
      <c r="K55" s="168" t="n">
        <v>0</v>
      </c>
      <c r="L55" s="168" t="n">
        <v>0</v>
      </c>
      <c r="M55" s="168" t="n">
        <v>0</v>
      </c>
      <c r="N55" s="168" t="n"/>
      <c r="P55" s="62" t="inlineStr">
        <is>
          <t>Gross Capital Expenditure / Sales</t>
        </is>
      </c>
      <c r="R55" s="164">
        <f>-R27/C20</f>
        <v/>
      </c>
      <c r="S55" s="164">
        <f>-S27/D20</f>
        <v/>
      </c>
      <c r="T55" s="164">
        <f>-T27/E20</f>
        <v/>
      </c>
      <c r="U55" s="164">
        <f>-U27/F20</f>
        <v/>
      </c>
      <c r="V55" s="164">
        <f>-V27/G20</f>
        <v/>
      </c>
      <c r="W55" s="164">
        <f>-W27/H20</f>
        <v/>
      </c>
      <c r="X55" s="164">
        <f>-X27/I20</f>
        <v/>
      </c>
      <c r="Y55" s="164">
        <f>-Y27/J20</f>
        <v/>
      </c>
      <c r="Z55" s="185">
        <f>-Z27/K20</f>
        <v/>
      </c>
      <c r="AA55" s="185">
        <f>-AA27/L20</f>
        <v/>
      </c>
      <c r="AB55" s="185">
        <f>-AB27/M20</f>
        <v/>
      </c>
      <c r="AD55" t="n"/>
    </row>
    <row r="56">
      <c r="A56" s="419" t="inlineStr">
        <is>
          <t>Short-term Deferred Income</t>
        </is>
      </c>
      <c r="C56" s="430">
        <f>SUMIF(BS.data!$D$5:$D$116,'Stress test'!$A56,BS.data!P$5:P$116)</f>
        <v/>
      </c>
      <c r="D56" s="430">
        <f>SUMIF(BS.data!$D$5:$D$116,'Stress test'!$A56,BS.data!Q$5:Q$116)</f>
        <v/>
      </c>
      <c r="E56" s="430">
        <f>SUMIF(BS.data!$D$5:$D$116,'Stress test'!$A56,BS.data!R$5:R$116)</f>
        <v/>
      </c>
      <c r="F56" s="430">
        <f>SUMIF(BS.data!$D$5:$D$116,'Stress test'!$A56,BS.data!S$5:S$116)</f>
        <v/>
      </c>
      <c r="G56" s="430">
        <f>SUMIF(BS.data!$D$5:$D$116,'Stress test'!$A56,BS.data!T$5:T$116)</f>
        <v/>
      </c>
      <c r="H56" s="430">
        <f>SUMIF(BS.data!$D$5:$D$116,'Stress test'!$A56,BS.data!U$5:U$116)</f>
        <v/>
      </c>
      <c r="I56" s="430">
        <f>SUMIF(BS.data!$D$5:$D$116,'Stress test'!$A56,BS.data!V$5:V$116)</f>
        <v/>
      </c>
      <c r="J56" s="430">
        <f>SUMIF(BS.data!$D$5:$D$116,'Stress test'!$A56,BS.data!W$5:W$116)</f>
        <v/>
      </c>
      <c r="K56" s="168" t="n">
        <v>0</v>
      </c>
      <c r="L56" s="168" t="n">
        <v>0</v>
      </c>
      <c r="M56" s="168" t="n">
        <v>0</v>
      </c>
      <c r="N56" s="168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</row>
    <row r="57">
      <c r="A57" s="419" t="inlineStr">
        <is>
          <t>Other Creditors and Provisions</t>
        </is>
      </c>
      <c r="B57" s="419" t="n"/>
      <c r="C57" s="430">
        <f>SUMIF(BS.data!$D$5:$D$116,'Stress test'!$A57,BS.data!P$5:P$116)-C59</f>
        <v/>
      </c>
      <c r="D57" s="430">
        <f>SUMIF(BS.data!$D$5:$D$116,'Stress test'!$A57,BS.data!Q$5:Q$116)-D59</f>
        <v/>
      </c>
      <c r="E57" s="430">
        <f>SUMIF(BS.data!$D$5:$D$116,'Stress test'!$A57,BS.data!R$5:R$116)-E59</f>
        <v/>
      </c>
      <c r="F57" s="430">
        <f>SUMIF(BS.data!$D$5:$D$116,'Stress test'!$A57,BS.data!S$5:S$116)-F59</f>
        <v/>
      </c>
      <c r="G57" s="430">
        <f>SUMIF(BS.data!$D$5:$D$116,'Stress test'!$A57,BS.data!T$5:T$116)-G59</f>
        <v/>
      </c>
      <c r="H57" s="430">
        <f>SUMIF(BS.data!$D$5:$D$116,'Stress test'!$A57,BS.data!U$5:U$116)-H59</f>
        <v/>
      </c>
      <c r="I57" s="430">
        <f>SUMIF(BS.data!$D$5:$D$116,'Stress test'!$A57,BS.data!V$5:V$116)-I59</f>
        <v/>
      </c>
      <c r="J57" s="430">
        <f>SUMIF(BS.data!$D$5:$D$116,'Stress test'!$A57,BS.data!W$5:W$116)-J59</f>
        <v/>
      </c>
      <c r="K57" s="169">
        <f>4549415-K59</f>
        <v/>
      </c>
      <c r="L57" s="169">
        <f>4752845-L59</f>
        <v/>
      </c>
      <c r="M57" s="169">
        <f>4841505-M59</f>
        <v/>
      </c>
      <c r="N57" s="169" t="n"/>
      <c r="P57" s="61" t="inlineStr">
        <is>
          <t>Financial Risk:</t>
        </is>
      </c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</row>
    <row r="58">
      <c r="A58" s="419" t="inlineStr">
        <is>
          <t>Tax Payable</t>
        </is>
      </c>
      <c r="B58" s="419" t="n"/>
      <c r="C58" s="430">
        <f>SUMIF(BS.data!$D$5:$D$116,'Stress test'!$A58,BS.data!P$5:P$116)</f>
        <v/>
      </c>
      <c r="D58" s="430">
        <f>SUMIF(BS.data!$D$5:$D$116,'Stress test'!$A58,BS.data!Q$5:Q$116)</f>
        <v/>
      </c>
      <c r="E58" s="430">
        <f>SUMIF(BS.data!$D$5:$D$116,'Stress test'!$A58,BS.data!R$5:R$116)</f>
        <v/>
      </c>
      <c r="F58" s="430">
        <f>SUMIF(BS.data!$D$5:$D$116,'Stress test'!$A58,BS.data!S$5:S$116)</f>
        <v/>
      </c>
      <c r="G58" s="430">
        <f>SUMIF(BS.data!$D$5:$D$116,'Stress test'!$A58,BS.data!T$5:T$116)</f>
        <v/>
      </c>
      <c r="H58" s="430">
        <f>SUMIF(BS.data!$D$5:$D$116,'Stress test'!$A58,BS.data!U$5:U$116)</f>
        <v/>
      </c>
      <c r="I58" s="430">
        <f>SUMIF(BS.data!$D$5:$D$116,'Stress test'!$A58,BS.data!V$5:V$116)</f>
        <v/>
      </c>
      <c r="J58" s="430">
        <f>SUMIF(BS.data!$D$5:$D$116,'Stress test'!$A58,BS.data!W$5:W$116)</f>
        <v/>
      </c>
      <c r="K58" s="168" t="n">
        <v>0</v>
      </c>
      <c r="L58" s="168" t="n">
        <v>0</v>
      </c>
      <c r="M58" s="168" t="n">
        <v>0</v>
      </c>
      <c r="N58" s="168" t="n"/>
      <c r="P58" s="16" t="inlineStr">
        <is>
          <t>Gross Debt</t>
        </is>
      </c>
    </row>
    <row r="59">
      <c r="A59" s="419" t="inlineStr">
        <is>
          <t>UPAS L/C</t>
        </is>
      </c>
      <c r="B59" s="419" t="n"/>
      <c r="C59" s="430" t="n">
        <v>0</v>
      </c>
      <c r="D59" s="430" t="n">
        <v>0</v>
      </c>
      <c r="E59" s="430" t="n">
        <v>0</v>
      </c>
      <c r="F59" s="430" t="n">
        <v>0</v>
      </c>
      <c r="G59" s="430" t="n">
        <v>0</v>
      </c>
      <c r="H59" s="430" t="n">
        <v>0</v>
      </c>
      <c r="I59" s="430" t="n">
        <v>715495</v>
      </c>
      <c r="J59" s="430" t="n">
        <v>2433294</v>
      </c>
      <c r="K59" s="433">
        <f>J59</f>
        <v/>
      </c>
      <c r="L59" s="433">
        <f>K59</f>
        <v/>
      </c>
      <c r="M59" s="433">
        <f>L59</f>
        <v/>
      </c>
      <c r="N59" s="169" t="n"/>
      <c r="O59" s="428" t="n"/>
      <c r="P59" s="62" t="inlineStr">
        <is>
          <t>Debt / Equity</t>
        </is>
      </c>
      <c r="Q59" s="61" t="n"/>
      <c r="R59" s="184">
        <f>C63/SUM(C65:C67)</f>
        <v/>
      </c>
      <c r="S59" s="184">
        <f>D63/SUM(D65:D67)</f>
        <v/>
      </c>
      <c r="T59" s="184">
        <f>E63/SUM(E65:E67)</f>
        <v/>
      </c>
      <c r="U59" s="184">
        <f>F63/SUM(F65:F67)</f>
        <v/>
      </c>
      <c r="V59" s="184">
        <f>G63/SUM(G65:G67)</f>
        <v/>
      </c>
      <c r="W59" s="184">
        <f>H63/SUM(H65:H67)</f>
        <v/>
      </c>
      <c r="X59" s="184">
        <f>I63/SUM(I65:I67)</f>
        <v/>
      </c>
      <c r="Y59" s="184">
        <f>J63/SUM(J65:J67)</f>
        <v/>
      </c>
      <c r="Z59" s="185">
        <f>K63/SUM(K65:K67)</f>
        <v/>
      </c>
      <c r="AA59" s="185">
        <f>L63/SUM(L65:L67)</f>
        <v/>
      </c>
      <c r="AB59" s="185">
        <f>M63/SUM(M65:M67)</f>
        <v/>
      </c>
    </row>
    <row r="60">
      <c r="A60" s="419" t="inlineStr">
        <is>
          <t>Short Term Debt*</t>
        </is>
      </c>
      <c r="B60" s="419" t="n"/>
      <c r="C60" s="430">
        <f>SUMIF(BS.data!$D$5:$D$116,'Stress test'!$A60,BS.data!P$5:P$116)</f>
        <v/>
      </c>
      <c r="D60" s="430">
        <f>SUMIF(BS.data!$D$5:$D$116,'Stress test'!$A60,BS.data!Q$5:Q$116)</f>
        <v/>
      </c>
      <c r="E60" s="430">
        <f>SUMIF(BS.data!$D$5:$D$116,'Stress test'!$A60,BS.data!R$5:R$116)</f>
        <v/>
      </c>
      <c r="F60" s="430">
        <f>SUMIF(BS.data!$D$5:$D$116,'Stress test'!$A60,BS.data!S$5:S$116)</f>
        <v/>
      </c>
      <c r="G60" s="430">
        <f>SUMIF(BS.data!$D$5:$D$116,'Stress test'!$A60,BS.data!T$5:T$116)</f>
        <v/>
      </c>
      <c r="H60" s="430">
        <f>SUMIF(BS.data!$D$5:$D$116,'Stress test'!$A60,BS.data!U$5:U$116)</f>
        <v/>
      </c>
      <c r="I60" s="430">
        <f>SUMIF(BS.data!$D$5:$D$116,'Stress test'!$A60,BS.data!V$5:V$116)</f>
        <v/>
      </c>
      <c r="J60" s="430">
        <f>SUMIF(BS.data!$D$5:$D$116,'Stress test'!$A60,BS.data!W$5:W$116)</f>
        <v/>
      </c>
      <c r="K60" s="169">
        <f>8026738</f>
        <v/>
      </c>
      <c r="L60" s="169">
        <f>7886657</f>
        <v/>
      </c>
      <c r="M60" s="169">
        <f>6815721</f>
        <v/>
      </c>
      <c r="N60" s="169" t="n"/>
      <c r="P60" s="405" t="inlineStr">
        <is>
          <t>Equity / Total Liabilities</t>
        </is>
      </c>
      <c r="Q60" s="405" t="n"/>
      <c r="R60" s="62">
        <f>(C65+C66+C67)/C64</f>
        <v/>
      </c>
      <c r="S60" s="62">
        <f>(D65+D66+D67)/D64</f>
        <v/>
      </c>
      <c r="T60" s="62">
        <f>(E65+E66+E67)/E64</f>
        <v/>
      </c>
      <c r="U60" s="62">
        <f>(F65+F66+F67)/F64</f>
        <v/>
      </c>
      <c r="V60" s="62">
        <f>(G65+G66+G67)/G64</f>
        <v/>
      </c>
      <c r="W60" s="62">
        <f>(H65+H66+H67)/H64</f>
        <v/>
      </c>
      <c r="X60" s="62">
        <f>(I65+I66+I67)/I64</f>
        <v/>
      </c>
      <c r="Y60" s="62">
        <f>(J65+J66)/J64</f>
        <v/>
      </c>
      <c r="Z60" s="185">
        <f>(K65+K66)/K64</f>
        <v/>
      </c>
      <c r="AA60" s="185">
        <f>(L65+L66)/L64</f>
        <v/>
      </c>
      <c r="AB60" s="185">
        <f>(M65+M66)/M64</f>
        <v/>
      </c>
    </row>
    <row r="61">
      <c r="A61" s="419" t="inlineStr">
        <is>
          <t>Existing Long Term Debt and Financial Leases</t>
        </is>
      </c>
      <c r="B61" s="419" t="n"/>
      <c r="C61" s="430">
        <f>SUMIF(BS.data!$D$5:$D$116,'Stress test'!$A61,BS.data!P$5:P$116)</f>
        <v/>
      </c>
      <c r="D61" s="430">
        <f>SUMIF(BS.data!$D$5:$D$116,'Stress test'!$A61,BS.data!Q$5:Q$116)</f>
        <v/>
      </c>
      <c r="E61" s="430">
        <f>SUMIF(BS.data!$D$5:$D$116,'Stress test'!$A61,BS.data!R$5:R$116)</f>
        <v/>
      </c>
      <c r="F61" s="430">
        <f>SUMIF(BS.data!$D$5:$D$116,'Stress test'!$A61,BS.data!S$5:S$116)</f>
        <v/>
      </c>
      <c r="G61" s="430">
        <f>SUMIF(BS.data!$D$5:$D$116,'Stress test'!$A61,BS.data!T$5:T$116)</f>
        <v/>
      </c>
      <c r="H61" s="430">
        <f>SUMIF(BS.data!$D$5:$D$116,'Stress test'!$A61,BS.data!U$5:U$116)</f>
        <v/>
      </c>
      <c r="I61" s="430">
        <f>SUMIF(BS.data!$D$5:$D$116,'Stress test'!$A61,BS.data!V$5:V$116)</f>
        <v/>
      </c>
      <c r="J61" s="430">
        <f>SUMIF(BS.data!$D$5:$D$116,'Stress test'!$A61,BS.data!W$5:W$116)</f>
        <v/>
      </c>
      <c r="K61" s="169" t="n">
        <v>2256837</v>
      </c>
      <c r="L61" s="169" t="n">
        <v>3319613</v>
      </c>
      <c r="M61" s="169" t="n">
        <v>2648638</v>
      </c>
      <c r="P61" s="405" t="inlineStr">
        <is>
          <t>Adj Debt / EBITDAR *</t>
        </is>
      </c>
      <c r="Q61" s="405" t="n"/>
      <c r="R61" s="434">
        <f>((C37*8)+C63)/C39</f>
        <v/>
      </c>
      <c r="S61" s="434">
        <f>((D37*8)+D63)/D39</f>
        <v/>
      </c>
      <c r="T61" s="434">
        <f>((E37*8)+E63)/E39</f>
        <v/>
      </c>
      <c r="U61" s="434">
        <f>((F37*8)+F63)/F39</f>
        <v/>
      </c>
      <c r="V61" s="434">
        <f>((G37*8)+G63)/G39</f>
        <v/>
      </c>
      <c r="W61" s="434">
        <f>((H37*8)+H63)/H39</f>
        <v/>
      </c>
      <c r="X61" s="434">
        <f>((I37*8)+I63)/I39</f>
        <v/>
      </c>
      <c r="Y61" s="434">
        <f>((J37*8)+J63)/J39</f>
        <v/>
      </c>
      <c r="Z61" s="435">
        <f>((K37*8)+K63)/K39</f>
        <v/>
      </c>
      <c r="AA61" s="435">
        <f>((L37*8)+L63)/L39</f>
        <v/>
      </c>
      <c r="AB61" s="435">
        <f>((M37*8)+M63)/M39</f>
        <v/>
      </c>
    </row>
    <row r="62">
      <c r="N62" s="431" t="n"/>
      <c r="P62" s="405" t="inlineStr">
        <is>
          <t>FFO adj for interest and Lease payments / Adj Debt</t>
        </is>
      </c>
      <c r="R62" s="184">
        <f>(R23-C37-R21)/(C63+(C37*8))</f>
        <v/>
      </c>
      <c r="S62" s="184">
        <f>(S23-D37-S21)/(D63+(D37*8))</f>
        <v/>
      </c>
      <c r="T62" s="184">
        <f>(T23-E37-T21)/(E63+(E37*8))</f>
        <v/>
      </c>
      <c r="U62" s="184">
        <f>(U23-F37-U21)/(F63+(F37*8))</f>
        <v/>
      </c>
      <c r="V62" s="184">
        <f>(V23-G37-V21)/(G63+(G37*8))</f>
        <v/>
      </c>
      <c r="W62" s="184">
        <f>(W23-H37-W21)/(H63+(H37*8))</f>
        <v/>
      </c>
      <c r="X62" s="184">
        <f>(X23-I37-X21)/(I63+(I37*8))</f>
        <v/>
      </c>
      <c r="Y62" s="184">
        <f>(Y23-J37-Y21)/(J63+(J37*8))</f>
        <v/>
      </c>
      <c r="Z62" s="185">
        <f>(Z23-K37-Z21)/(K63+(K37*8))</f>
        <v/>
      </c>
      <c r="AA62" s="185">
        <f>(AA23-L37-AA21)/(L63+(L37*8))</f>
        <v/>
      </c>
      <c r="AB62" s="185">
        <f>(AB23-M37-AB21)/(M63+(M37*8))</f>
        <v/>
      </c>
    </row>
    <row r="63">
      <c r="A63" s="398" t="inlineStr">
        <is>
          <t>Total Debt</t>
        </is>
      </c>
      <c r="B63" s="398" t="n"/>
      <c r="C63" s="431">
        <f>C60+C61+C59</f>
        <v/>
      </c>
      <c r="D63" s="431">
        <f>D60+D61+D59</f>
        <v/>
      </c>
      <c r="E63" s="431">
        <f>E60+E61+E59</f>
        <v/>
      </c>
      <c r="F63" s="431">
        <f>F60+F61+F59</f>
        <v/>
      </c>
      <c r="G63" s="431">
        <f>G60+G61+G59</f>
        <v/>
      </c>
      <c r="H63" s="431">
        <f>H60+H61+H59</f>
        <v/>
      </c>
      <c r="I63" s="431">
        <f>I60+I61+I59</f>
        <v/>
      </c>
      <c r="J63" s="431">
        <f>J60+J61+J59</f>
        <v/>
      </c>
      <c r="K63" s="431">
        <f>K60+K61+K59</f>
        <v/>
      </c>
      <c r="L63" s="431">
        <f>L60+L61+L59</f>
        <v/>
      </c>
      <c r="M63" s="431">
        <f>M60+M61+M59</f>
        <v/>
      </c>
      <c r="N63" s="431" t="n"/>
      <c r="P63" s="405" t="inlineStr">
        <is>
          <t>CFO minus Capex / Total Debt</t>
        </is>
      </c>
      <c r="R63" s="184">
        <f>(R25+R27)/(C63)</f>
        <v/>
      </c>
      <c r="S63" s="184">
        <f>(S25+S27)/(D63)</f>
        <v/>
      </c>
      <c r="T63" s="184">
        <f>(T25+T27)/(E63)</f>
        <v/>
      </c>
      <c r="U63" s="184">
        <f>(U25+U27)/(F63)</f>
        <v/>
      </c>
      <c r="V63" s="184">
        <f>(V25+V27)/(G63)</f>
        <v/>
      </c>
      <c r="W63" s="184">
        <f>(W25+W27)/(H63)</f>
        <v/>
      </c>
      <c r="X63" s="184">
        <f>(X25+X27)/(I63)</f>
        <v/>
      </c>
      <c r="Y63" s="184">
        <f>(Y25+Y27)/(J63)</f>
        <v/>
      </c>
      <c r="Z63" s="185">
        <f>(Z25+Z27)/(K63)</f>
        <v/>
      </c>
      <c r="AA63" s="185">
        <f>(AA25+AA27)/(L63)</f>
        <v/>
      </c>
      <c r="AB63" s="185">
        <f>(AB25+AB27)/(M63)</f>
        <v/>
      </c>
    </row>
    <row r="64">
      <c r="A64" s="398" t="inlineStr">
        <is>
          <t>Total Liabilities</t>
        </is>
      </c>
      <c r="B64" s="398" t="n"/>
      <c r="C64" s="431">
        <f>SUM(C53:C61)</f>
        <v/>
      </c>
      <c r="D64" s="431">
        <f>SUM(D53:D61)</f>
        <v/>
      </c>
      <c r="E64" s="431">
        <f>SUM(E53:E61)</f>
        <v/>
      </c>
      <c r="F64" s="431">
        <f>SUM(F53:F61)</f>
        <v/>
      </c>
      <c r="G64" s="431">
        <f>SUM(G53:G61)</f>
        <v/>
      </c>
      <c r="H64" s="431">
        <f>SUM(H53:H61)</f>
        <v/>
      </c>
      <c r="I64" s="431">
        <f>SUM(I53:I61)</f>
        <v/>
      </c>
      <c r="J64" s="431">
        <f>SUM(J53:J61)</f>
        <v/>
      </c>
      <c r="K64" s="431">
        <f>SUM(K53:K61)</f>
        <v/>
      </c>
      <c r="L64" s="431">
        <f>SUM(L53:L61)</f>
        <v/>
      </c>
      <c r="M64" s="431">
        <f>SUM(M53:M61)</f>
        <v/>
      </c>
      <c r="N64" s="169" t="n"/>
      <c r="P64" s="405" t="inlineStr">
        <is>
          <t>CFO / Total Debt</t>
        </is>
      </c>
      <c r="Q64" s="405" t="n"/>
      <c r="R64" s="184">
        <f>(R25+C34)/(C63)</f>
        <v/>
      </c>
      <c r="S64" s="184">
        <f>(S25+D34)/(D63)</f>
        <v/>
      </c>
      <c r="T64" s="184">
        <f>(T25+E34)/(E63)</f>
        <v/>
      </c>
      <c r="U64" s="184">
        <f>(U25+F34)/(F63)</f>
        <v/>
      </c>
      <c r="V64" s="184">
        <f>(V25+G34)/(G63)</f>
        <v/>
      </c>
      <c r="W64" s="184">
        <f>(W25+H34)/(H63)</f>
        <v/>
      </c>
      <c r="X64" s="184">
        <f>(X25+I34)/(I63)</f>
        <v/>
      </c>
      <c r="Y64" s="184">
        <f>(Y25+J34)/(J63)</f>
        <v/>
      </c>
      <c r="Z64" s="185">
        <f>(Z25+K34)/(K63)</f>
        <v/>
      </c>
      <c r="AA64" s="185">
        <f>(AA25+L34)/(L63)</f>
        <v/>
      </c>
      <c r="AB64" s="185">
        <f>(AB25+M34)/(M63)</f>
        <v/>
      </c>
    </row>
    <row r="65">
      <c r="A65" s="419" t="inlineStr">
        <is>
          <t>Share Capital and Reserves</t>
        </is>
      </c>
      <c r="B65" s="419" t="n"/>
      <c r="C65" s="430">
        <f>SUMIF(BS.data!$D$5:$D$116,'Stress test'!$A65,BS.data!P$5:P$116)</f>
        <v/>
      </c>
      <c r="D65" s="430">
        <f>SUMIF(BS.data!$D$5:$D$116,'Stress test'!$A65,BS.data!Q$5:Q$116)</f>
        <v/>
      </c>
      <c r="E65" s="430">
        <f>SUMIF(BS.data!$D$5:$D$116,'Stress test'!$A65,BS.data!R$5:R$116)</f>
        <v/>
      </c>
      <c r="F65" s="430">
        <f>SUMIF(BS.data!$D$5:$D$116,'Stress test'!$A65,BS.data!S$5:S$116)</f>
        <v/>
      </c>
      <c r="G65" s="430">
        <f>SUMIF(BS.data!$D$5:$D$116,'Stress test'!$A65,BS.data!T$5:T$116)</f>
        <v/>
      </c>
      <c r="H65" s="430">
        <f>SUMIF(BS.data!$D$5:$D$116,'Stress test'!$A65,BS.data!U$5:U$116)</f>
        <v/>
      </c>
      <c r="I65" s="430">
        <f>SUMIF(BS.data!$D$5:$D$116,'Stress test'!$A65,BS.data!V$5:V$116)</f>
        <v/>
      </c>
      <c r="J65" s="430">
        <f>SUMIF(BS.data!$D$5:$D$116,'Stress test'!$A65,BS.data!W$5:W$116)</f>
        <v/>
      </c>
      <c r="K65" s="430">
        <f>10527361-158-C14</f>
        <v/>
      </c>
      <c r="L65" s="430">
        <f>10828661-157-C14</f>
        <v/>
      </c>
      <c r="M65" s="430">
        <f>11151510-158-C14</f>
        <v/>
      </c>
      <c r="N65" s="169" t="n"/>
    </row>
    <row r="66">
      <c r="A66" s="419" t="inlineStr">
        <is>
          <t>Retained Earnings</t>
        </is>
      </c>
      <c r="B66" s="419" t="n"/>
      <c r="C66" s="430">
        <f>SUMIF(BS.data!$D$5:$D$116,'Stress test'!$A66,BS.data!P$5:P$116)</f>
        <v/>
      </c>
      <c r="D66" s="430">
        <f>SUMIF(BS.data!$D$5:$D$116,'Stress test'!$A66,BS.data!Q$5:Q$116)</f>
        <v/>
      </c>
      <c r="E66" s="430">
        <f>SUMIF(BS.data!$D$5:$D$116,'Stress test'!$A66,BS.data!R$5:R$116)</f>
        <v/>
      </c>
      <c r="F66" s="430">
        <f>SUMIF(BS.data!$D$5:$D$116,'Stress test'!$A66,BS.data!S$5:S$116)</f>
        <v/>
      </c>
      <c r="G66" s="430">
        <f>SUMIF(BS.data!$D$5:$D$116,'Stress test'!$A66,BS.data!T$5:T$116)</f>
        <v/>
      </c>
      <c r="H66" s="430">
        <f>SUMIF(BS.data!$D$5:$D$116,'Stress test'!$A66,BS.data!U$5:U$116)</f>
        <v/>
      </c>
      <c r="I66" s="430">
        <f>SUMIF(BS.data!$D$5:$D$116,'Stress test'!$A66,BS.data!V$5:V$116)</f>
        <v/>
      </c>
      <c r="J66" s="430">
        <f>SUMIF(BS.data!$D$5:$D$116,'Stress test'!$A66,BS.data!W$5:W$116)</f>
        <v/>
      </c>
      <c r="K66" s="169">
        <f>1261396+E9</f>
        <v/>
      </c>
      <c r="L66" s="169">
        <f>2080642+F9</f>
        <v/>
      </c>
      <c r="M66" s="169">
        <f>3411844+G9</f>
        <v/>
      </c>
      <c r="N66" s="169" t="n"/>
      <c r="P66" s="16" t="inlineStr">
        <is>
          <t>Net Debt</t>
        </is>
      </c>
    </row>
    <row r="67">
      <c r="A67" s="405" t="inlineStr">
        <is>
          <t>Minority Interest</t>
        </is>
      </c>
      <c r="B67" s="405" t="n"/>
      <c r="C67" s="430">
        <f>SUMIF(BS.data!$D$5:$D$116,'Stress test'!$A67,BS.data!P$5:P$116)</f>
        <v/>
      </c>
      <c r="D67" s="430">
        <f>SUMIF(BS.data!$D$5:$D$116,'Stress test'!$A67,BS.data!Q$5:Q$116)</f>
        <v/>
      </c>
      <c r="E67" s="430">
        <f>SUMIF(BS.data!$D$5:$D$116,'Stress test'!$A67,BS.data!R$5:R$116)</f>
        <v/>
      </c>
      <c r="F67" s="430">
        <f>SUMIF(BS.data!$D$5:$D$116,'Stress test'!$A67,BS.data!S$5:S$116)</f>
        <v/>
      </c>
      <c r="G67" s="430">
        <f>SUMIF(BS.data!$D$5:$D$116,'Stress test'!$A67,BS.data!T$5:T$116)</f>
        <v/>
      </c>
      <c r="H67" s="430">
        <f>SUMIF(BS.data!$D$5:$D$116,'Stress test'!$A67,BS.data!U$5:U$116)</f>
        <v/>
      </c>
      <c r="I67" s="430">
        <f>SUMIF(BS.data!$D$5:$D$116,'Stress test'!$A67,BS.data!V$5:V$116)</f>
        <v/>
      </c>
      <c r="J67" s="430">
        <f>SUMIF(BS.data!$D$5:$D$116,'Stress test'!$A67,BS.data!W$5:W$116)</f>
        <v/>
      </c>
      <c r="K67" s="169" t="n">
        <v>849076</v>
      </c>
      <c r="L67" s="169" t="n">
        <v>849076</v>
      </c>
      <c r="M67" s="169" t="n">
        <v>849076</v>
      </c>
      <c r="N67" s="431" t="n"/>
      <c r="P67" s="62" t="inlineStr">
        <is>
          <t>Net Debt / Equity</t>
        </is>
      </c>
      <c r="Q67" s="62" t="n"/>
      <c r="R67" s="62">
        <f>(C63-C42)/(C65+C66+C67)</f>
        <v/>
      </c>
      <c r="S67" s="62">
        <f>(D63-D42)/(D65+D66+D67)</f>
        <v/>
      </c>
      <c r="T67" s="62">
        <f>(E63-E42)/(E65+E66+E67)</f>
        <v/>
      </c>
      <c r="U67" s="62">
        <f>(F63-F42)/(F65+F66+F67)</f>
        <v/>
      </c>
      <c r="V67" s="62">
        <f>(G63-G42)/(G65+G66+G67)</f>
        <v/>
      </c>
      <c r="W67" s="62">
        <f>(H63-H42)/(H65+H66+H67)</f>
        <v/>
      </c>
      <c r="X67" s="62">
        <f>(I63-I42)/(I65+I66+I67)</f>
        <v/>
      </c>
      <c r="Y67" s="62">
        <f>(J63-J42)/(J65+J66)</f>
        <v/>
      </c>
      <c r="Z67" s="185">
        <f>(K63-K42)/(K65+K66)</f>
        <v/>
      </c>
      <c r="AA67" s="185">
        <f>(L63-L42)/(L65+L66)</f>
        <v/>
      </c>
      <c r="AB67" s="185">
        <f>(M63-M42)/(M65+M66)</f>
        <v/>
      </c>
    </row>
    <row r="68">
      <c r="A68" s="398" t="inlineStr">
        <is>
          <t>Liabilities and Equity</t>
        </is>
      </c>
      <c r="B68" s="398" t="n"/>
      <c r="C68" s="431">
        <f>+C64+C65+C66+C67</f>
        <v/>
      </c>
      <c r="D68" s="431">
        <f>+D64+D65+D66+D67</f>
        <v/>
      </c>
      <c r="E68" s="431">
        <f>+E64+E65+E66+E67</f>
        <v/>
      </c>
      <c r="F68" s="431">
        <f>+F64+F65+F66+F67</f>
        <v/>
      </c>
      <c r="G68" s="431">
        <f>+G64+G65+G66+G67</f>
        <v/>
      </c>
      <c r="H68" s="431">
        <f>+H64+H65+H66+H67</f>
        <v/>
      </c>
      <c r="I68" s="431">
        <f>+I64+I65+I66+I67</f>
        <v/>
      </c>
      <c r="J68" s="431">
        <f>+J64+J65+J66+J67</f>
        <v/>
      </c>
      <c r="K68" s="431">
        <f>+K64+K65+K66+K67</f>
        <v/>
      </c>
      <c r="L68" s="431">
        <f>+L64+L65+L66+L67</f>
        <v/>
      </c>
      <c r="M68" s="431">
        <f>+M64+M65+M66+M67</f>
        <v/>
      </c>
      <c r="N68" s="436" t="n"/>
      <c r="P68" s="405" t="inlineStr">
        <is>
          <t>Net Debt / EBITDA</t>
        </is>
      </c>
      <c r="Q68" s="405" t="n"/>
      <c r="R68" s="434">
        <f>(C63-C42)/C38</f>
        <v/>
      </c>
      <c r="S68" s="434">
        <f>(D63-D42)/D38</f>
        <v/>
      </c>
      <c r="T68" s="434">
        <f>(E63-E42)/E38</f>
        <v/>
      </c>
      <c r="U68" s="434">
        <f>(F63-F42)/F38</f>
        <v/>
      </c>
      <c r="V68" s="434">
        <f>(G63-G42)/G38</f>
        <v/>
      </c>
      <c r="W68" s="434">
        <f>(H63-H42)/H38</f>
        <v/>
      </c>
      <c r="X68" s="434">
        <f>(I63-I42)/I38</f>
        <v/>
      </c>
      <c r="Y68" s="434">
        <f>(J63-J42)/J38</f>
        <v/>
      </c>
      <c r="Z68" s="435">
        <f>(K63-K42)/K38</f>
        <v/>
      </c>
      <c r="AA68" s="435">
        <f>(L63-L42)/L38</f>
        <v/>
      </c>
      <c r="AB68" s="435">
        <f>(M63-M42)/M38</f>
        <v/>
      </c>
    </row>
    <row r="69">
      <c r="A69" s="436" t="inlineStr">
        <is>
          <t>Cross check</t>
        </is>
      </c>
      <c r="B69" s="436" t="n"/>
      <c r="C69" s="437">
        <f>C51-C68</f>
        <v/>
      </c>
      <c r="D69" s="437">
        <f>D51-D68</f>
        <v/>
      </c>
      <c r="E69" s="437">
        <f>E51-E68</f>
        <v/>
      </c>
      <c r="F69" s="437">
        <f>F51-F68</f>
        <v/>
      </c>
      <c r="G69" s="437">
        <f>G51-G68</f>
        <v/>
      </c>
      <c r="H69" s="437">
        <f>H51-H68</f>
        <v/>
      </c>
      <c r="I69" s="437">
        <f>I51-I68</f>
        <v/>
      </c>
      <c r="J69" s="437">
        <f>J51-J68</f>
        <v/>
      </c>
      <c r="K69" s="437">
        <f>K51-K68</f>
        <v/>
      </c>
      <c r="L69" s="437">
        <f>L51-L68</f>
        <v/>
      </c>
      <c r="M69" s="437">
        <f>M51-M68</f>
        <v/>
      </c>
      <c r="N69" s="168" t="n"/>
      <c r="P69" s="405" t="inlineStr">
        <is>
          <t>Adj Debt / EBITDAR *</t>
        </is>
      </c>
      <c r="Q69" s="405" t="n"/>
      <c r="R69" s="434">
        <f>((C37*8)+C63-C42)/C39</f>
        <v/>
      </c>
      <c r="S69" s="434">
        <f>((D37*8)+D63-D42)/D39</f>
        <v/>
      </c>
      <c r="T69" s="434">
        <f>((E37*8)+E63-E42)/E39</f>
        <v/>
      </c>
      <c r="U69" s="434">
        <f>((F37*8)+F63-F42)/F39</f>
        <v/>
      </c>
      <c r="V69" s="434">
        <f>((G37*8)+G63-G42)/G39</f>
        <v/>
      </c>
      <c r="W69" s="434">
        <f>((H37*8)+H63-H42)/H39</f>
        <v/>
      </c>
      <c r="X69" s="434">
        <f>((I37*8)+I63-I42)/I39</f>
        <v/>
      </c>
      <c r="Y69" s="434">
        <f>((J37*8)+J63-J42)/J39</f>
        <v/>
      </c>
      <c r="Z69" s="435">
        <f>((K37*8)+K63-K42)/K39</f>
        <v/>
      </c>
      <c r="AA69" s="435">
        <f>((L37*8)+L63-L42)/L39</f>
        <v/>
      </c>
      <c r="AB69" s="435">
        <f>((M37*8)+M63-M42)/M39</f>
        <v/>
      </c>
    </row>
    <row r="70">
      <c r="K70" s="168" t="n"/>
      <c r="L70" s="168" t="n"/>
      <c r="M70" s="168" t="n"/>
      <c r="N70" s="171" t="n"/>
      <c r="P70" s="405" t="inlineStr">
        <is>
          <t>FFO adj for interest and Lease payments / Adj Net Debt</t>
        </is>
      </c>
      <c r="R70" s="184">
        <f>(R23-C37-R21)/(C63-C42+(C37*8))</f>
        <v/>
      </c>
      <c r="S70" s="184">
        <f>(S23-D37-S21)/(D63-D42+(D37*8))</f>
        <v/>
      </c>
      <c r="T70" s="184">
        <f>(T23-E37-T21)/(E63-E42+(E37*8))</f>
        <v/>
      </c>
      <c r="U70" s="184">
        <f>(U23-F37-U21)/(F63-F42+(F37*8))</f>
        <v/>
      </c>
      <c r="V70" s="184">
        <f>(V23-G37-V21)/(G63-G42+(G37*8))</f>
        <v/>
      </c>
      <c r="W70" s="184">
        <f>(W23-H37-W21)/(H63-H42+(H37*8))</f>
        <v/>
      </c>
      <c r="X70" s="184">
        <f>(X23-I37-X21)/(I63-I42+(I37*8))</f>
        <v/>
      </c>
      <c r="Y70" s="184">
        <f>(Y23-J37-Y21)/(J63-J42+(J37*8))</f>
        <v/>
      </c>
      <c r="Z70" s="185">
        <f>(Z23-K37-Z21)/(K63-K42+(K37*8))</f>
        <v/>
      </c>
      <c r="AA70" s="185">
        <f>(AA23-L37-AA21)/(L63-L42+(L37*8))</f>
        <v/>
      </c>
      <c r="AB70" s="185">
        <f>(AB23-M37-AB21)/(M63-M42+(M37*8))</f>
        <v/>
      </c>
    </row>
    <row r="71">
      <c r="A71" s="438" t="inlineStr">
        <is>
          <t>* Including Current Portion of Long Term Debt</t>
        </is>
      </c>
      <c r="B71" s="439" t="n"/>
      <c r="C71" s="430" t="n"/>
      <c r="D71" s="430" t="n">
        <v>187163</v>
      </c>
      <c r="E71" s="430" t="n">
        <v>230123</v>
      </c>
      <c r="F71" s="430" t="n">
        <v>708786</v>
      </c>
      <c r="G71" s="430" t="n">
        <v>693900</v>
      </c>
      <c r="H71" s="430" t="n">
        <v>564362</v>
      </c>
      <c r="I71" s="430" t="n">
        <v>634946</v>
      </c>
      <c r="J71" s="430" t="n">
        <v>851398</v>
      </c>
      <c r="K71" s="430" t="n">
        <v>2598867.60660921</v>
      </c>
      <c r="L71" s="430" t="n">
        <v>626302.4517978479</v>
      </c>
      <c r="M71" s="430" t="n">
        <v>1673222.506112571</v>
      </c>
      <c r="N71" s="168" t="n"/>
      <c r="P71" s="405" t="inlineStr">
        <is>
          <t>CFO minus Capex / Total Net Debt</t>
        </is>
      </c>
      <c r="R71" s="184">
        <f>(R25+R27)/(C63-C42)</f>
        <v/>
      </c>
      <c r="S71" s="184">
        <f>(S25+S27)/(D63-D42)</f>
        <v/>
      </c>
      <c r="T71" s="184">
        <f>(T25+T27)/(E63-E42)</f>
        <v/>
      </c>
      <c r="U71" s="184">
        <f>(U25+U27)/(F63-F42)</f>
        <v/>
      </c>
      <c r="V71" s="184">
        <f>(V25+V27)/(G63-G42)</f>
        <v/>
      </c>
      <c r="W71" s="184">
        <f>(W25+W27)/(H63-H42)</f>
        <v/>
      </c>
      <c r="X71" s="184">
        <f>(X25+X27)/(I63-I42)</f>
        <v/>
      </c>
      <c r="Y71" s="184">
        <f>(Y25+Y27)/(J63-J42)</f>
        <v/>
      </c>
      <c r="Z71" s="185">
        <f>(Z25+Z27)/(K63-K42)</f>
        <v/>
      </c>
      <c r="AA71" s="185">
        <f>(AA25+AA27)/(L63-L42)</f>
        <v/>
      </c>
      <c r="AB71" s="185">
        <f>(AB25+AB27)/(M63-M42)</f>
        <v/>
      </c>
    </row>
    <row r="72">
      <c r="A72" t="inlineStr">
        <is>
          <t xml:space="preserve"># including Stockpiled Inventory (non-current) </t>
        </is>
      </c>
      <c r="C72" s="430" t="n"/>
      <c r="D72" s="430" t="n"/>
      <c r="E72" s="430" t="n"/>
      <c r="F72" s="430" t="n"/>
      <c r="H72" s="430" t="n"/>
      <c r="I72" s="430" t="n"/>
      <c r="J72" s="430" t="n"/>
      <c r="K72" s="168" t="n"/>
      <c r="L72" s="168" t="n"/>
      <c r="M72" s="168" t="n"/>
      <c r="P72" s="405" t="inlineStr">
        <is>
          <t>CFO / Total Net Debt</t>
        </is>
      </c>
      <c r="Q72" s="405" t="n"/>
      <c r="R72" s="184">
        <f>(R25+C34)/(C63-C42)</f>
        <v/>
      </c>
      <c r="S72" s="184">
        <f>(S25+D34)/(D63-D42)</f>
        <v/>
      </c>
      <c r="T72" s="184">
        <f>(T25+E34)/(E63-E42)</f>
        <v/>
      </c>
      <c r="U72" s="184">
        <f>(U25+F34)/(F63-F42)</f>
        <v/>
      </c>
      <c r="V72" s="184">
        <f>(V25+G34)/(G63-G42)</f>
        <v/>
      </c>
      <c r="W72" s="184">
        <f>(W25+H34)/(H63-H42)</f>
        <v/>
      </c>
      <c r="X72" s="184">
        <f>(X25+I34)/(I63-I42)</f>
        <v/>
      </c>
      <c r="Y72" s="184">
        <f>(Y25+J34)/(J63-J42)</f>
        <v/>
      </c>
      <c r="Z72" s="185">
        <f>(Z25+K34)/(K63-K42)</f>
        <v/>
      </c>
      <c r="AA72" s="185">
        <f>(AA25+L34)/(L63-L42)</f>
        <v/>
      </c>
      <c r="AB72" s="185">
        <f>(AB25+M34)/(M63-M42)</f>
        <v/>
      </c>
    </row>
    <row r="73">
      <c r="B73" s="440" t="n"/>
      <c r="P73" s="405" t="n"/>
      <c r="Q73" s="405" t="n"/>
      <c r="R73" s="184" t="n"/>
      <c r="S73" s="184" t="n"/>
      <c r="T73" s="184" t="n"/>
      <c r="U73" s="184" t="n"/>
      <c r="V73" s="184" t="n"/>
      <c r="W73" s="184" t="n"/>
      <c r="X73" s="184" t="n"/>
      <c r="Y73" s="184" t="n"/>
      <c r="Z73" s="184" t="n"/>
      <c r="AA73" s="184" t="n"/>
      <c r="AB73" s="184" t="n"/>
    </row>
    <row r="74">
      <c r="A74" t="inlineStr">
        <is>
          <t>Finished Goods</t>
        </is>
      </c>
      <c r="C74" t="n">
        <v>658136</v>
      </c>
      <c r="D74" t="n">
        <v>1062686</v>
      </c>
      <c r="E74" t="n">
        <v>1623410</v>
      </c>
      <c r="F74" t="n">
        <v>1254207</v>
      </c>
      <c r="G74" t="n">
        <v>941735</v>
      </c>
      <c r="H74" t="n">
        <v>1051092</v>
      </c>
      <c r="I74" t="n">
        <v>1181757</v>
      </c>
      <c r="J74" t="n">
        <v>1173286</v>
      </c>
      <c r="P74" s="405" t="inlineStr">
        <is>
          <t>EBIT / Interest Expense</t>
        </is>
      </c>
      <c r="R74" s="434">
        <f>C25/-C27</f>
        <v/>
      </c>
      <c r="S74" s="434">
        <f>D25/-D27</f>
        <v/>
      </c>
      <c r="T74" s="434">
        <f>E25/-E27</f>
        <v/>
      </c>
      <c r="U74" s="434">
        <f>F25/-F27</f>
        <v/>
      </c>
      <c r="V74" s="434">
        <f>G25/-G27</f>
        <v/>
      </c>
      <c r="W74" s="434">
        <f>H25/-H27</f>
        <v/>
      </c>
      <c r="X74" s="434">
        <f>I25/-X21</f>
        <v/>
      </c>
      <c r="Y74" s="434">
        <f>J25/-Y21</f>
        <v/>
      </c>
      <c r="Z74" s="435">
        <f>K25/-Z21</f>
        <v/>
      </c>
      <c r="AA74" s="435">
        <f>L25/-AA21</f>
        <v/>
      </c>
      <c r="AB74" s="435">
        <f>M25/-AB21</f>
        <v/>
      </c>
    </row>
    <row r="75">
      <c r="A75" t="inlineStr">
        <is>
          <t>Merchandise</t>
        </is>
      </c>
      <c r="C75" t="n">
        <v>30434</v>
      </c>
      <c r="D75" t="n">
        <v>86807</v>
      </c>
      <c r="E75" t="n">
        <v>64744</v>
      </c>
      <c r="F75" t="n">
        <v>1232865</v>
      </c>
      <c r="G75" t="n">
        <v>936412</v>
      </c>
      <c r="H75" t="n">
        <v>507351</v>
      </c>
      <c r="I75" t="n">
        <v>879377</v>
      </c>
      <c r="J75" t="n">
        <v>1464672</v>
      </c>
      <c r="P75" s="405" t="inlineStr">
        <is>
          <t>EBITDA / Interest Expense</t>
        </is>
      </c>
      <c r="Q75" s="405" t="n"/>
      <c r="R75" s="434">
        <f>C38/-C27</f>
        <v/>
      </c>
      <c r="S75" s="434">
        <f>D38/-D27</f>
        <v/>
      </c>
      <c r="T75" s="434">
        <f>E38/-E27</f>
        <v/>
      </c>
      <c r="U75" s="434">
        <f>F38/-F27</f>
        <v/>
      </c>
      <c r="V75" s="434">
        <f>G38/-G27</f>
        <v/>
      </c>
      <c r="W75" s="434">
        <f>H38/-H27</f>
        <v/>
      </c>
      <c r="X75" s="434">
        <f>I38/-I27</f>
        <v/>
      </c>
      <c r="Y75" s="434">
        <f>J38/-J27</f>
        <v/>
      </c>
      <c r="Z75" s="435">
        <f>K38/-K27</f>
        <v/>
      </c>
      <c r="AA75" s="435">
        <f>L38/-L27</f>
        <v/>
      </c>
      <c r="AB75" s="435">
        <f>M38/-M27</f>
        <v/>
      </c>
    </row>
    <row r="76">
      <c r="A76" t="inlineStr">
        <is>
          <t>Goods in transit</t>
        </is>
      </c>
      <c r="G76" t="n">
        <v>65872</v>
      </c>
      <c r="I76" t="n">
        <v>5622</v>
      </c>
      <c r="J76" t="n">
        <v>582934</v>
      </c>
      <c r="P76" s="62" t="inlineStr">
        <is>
          <t>Debt Service Coverage Ratio***</t>
        </is>
      </c>
      <c r="Q76" s="62" t="n"/>
      <c r="R76" s="434" t="n"/>
      <c r="S76" s="434">
        <f>(S25-S21-D34-D35)/(-S21+C71)</f>
        <v/>
      </c>
      <c r="T76" s="434">
        <f>(T25-T21-E34-E35)/(-T21+D71)</f>
        <v/>
      </c>
      <c r="U76" s="434">
        <f>(U25-U21-F34-F35)/(-U21+E71)</f>
        <v/>
      </c>
      <c r="V76" s="434">
        <f>(V25-V21-G34-G35)/(-V21+F71)</f>
        <v/>
      </c>
      <c r="W76" s="434">
        <f>(W25-W21-H34-H35)/(-W21+G71)</f>
        <v/>
      </c>
      <c r="X76" s="434">
        <f>(X25-X21-I34-I35)/(-X21+H71)</f>
        <v/>
      </c>
      <c r="Y76" s="434">
        <f>(Y25-Y21-J34-J35)/(-Y21+I71)</f>
        <v/>
      </c>
      <c r="Z76" s="435">
        <f>(Z25-Z21-K34-K35)/(-Z21+J71)</f>
        <v/>
      </c>
      <c r="AA76" s="435">
        <f>(AA25-AA21-L34-L35)/(-AA21+K71)</f>
        <v/>
      </c>
      <c r="AB76" s="435">
        <f>(AB25-AB21-M34-M35)/(-AB21+L71)</f>
        <v/>
      </c>
    </row>
    <row r="77">
      <c r="P77" s="437" t="inlineStr">
        <is>
          <t>* Debt adjusted for op lease by 8x annual op lease expense</t>
        </is>
      </c>
      <c r="Q77" s="437" t="n"/>
      <c r="R77" s="437" t="n"/>
      <c r="S77" s="437" t="n"/>
      <c r="T77" s="437" t="n"/>
      <c r="U77" s="437" t="n"/>
      <c r="V77" s="405" t="n"/>
    </row>
    <row r="78">
      <c r="B78" s="440" t="n"/>
      <c r="C78" s="161" t="n"/>
      <c r="D78" s="161" t="n"/>
      <c r="E78" s="161" t="n"/>
      <c r="F78" s="163" t="n"/>
      <c r="G78" s="163" t="n"/>
      <c r="H78" s="163" t="n"/>
      <c r="I78" s="163" t="n"/>
      <c r="J78" s="163" t="n"/>
      <c r="P78" s="437" t="inlineStr">
        <is>
          <t>** Maintenance capex assumed to be in line with depreciation</t>
        </is>
      </c>
      <c r="S78" s="437" t="n"/>
      <c r="T78" s="437" t="n"/>
      <c r="U78" s="437" t="n"/>
      <c r="V78" s="405" t="n"/>
    </row>
    <row r="79" customFormat="1" s="40">
      <c r="A79" s="16" t="inlineStr">
        <is>
          <t>Commitment with shareholders</t>
        </is>
      </c>
      <c r="P79" s="437" t="inlineStr">
        <is>
          <t>***(Operating Cash Flow -Tax - Depreciation, Amortisation) / (Interest paid + CPLTD due)</t>
        </is>
      </c>
      <c r="Q79" s="437" t="n"/>
      <c r="R79" s="437" t="n"/>
    </row>
    <row r="80" customFormat="1" s="40">
      <c r="A80" t="inlineStr">
        <is>
          <t>Short-term debt / total assets</t>
        </is>
      </c>
      <c r="B80" s="440" t="n"/>
      <c r="C80" s="177">
        <f>(C60)/C51</f>
        <v/>
      </c>
      <c r="D80" s="177">
        <f>(D60)/D51</f>
        <v/>
      </c>
      <c r="E80" s="177">
        <f>(E60)/E51</f>
        <v/>
      </c>
      <c r="F80" s="177">
        <f>(F60)/F51</f>
        <v/>
      </c>
      <c r="G80" s="177">
        <f>(G60)/G51</f>
        <v/>
      </c>
      <c r="H80" s="177">
        <f>(H60)/H51</f>
        <v/>
      </c>
      <c r="I80" s="177">
        <f>(I60)/I51</f>
        <v/>
      </c>
      <c r="J80" s="177">
        <f>(J60)/J51</f>
        <v/>
      </c>
      <c r="K80" s="177">
        <f>(K60)/K51</f>
        <v/>
      </c>
      <c r="L80" s="177">
        <f>(L60)/L51</f>
        <v/>
      </c>
      <c r="M80" s="177">
        <f>(M60)/M51</f>
        <v/>
      </c>
    </row>
    <row r="81" customFormat="1" s="40">
      <c r="A81" t="inlineStr">
        <is>
          <t>Short-term debt + L/C / Total assets</t>
        </is>
      </c>
      <c r="B81" s="440" t="n"/>
      <c r="C81" s="177">
        <f>(C60+C59)/C51</f>
        <v/>
      </c>
      <c r="D81" s="177">
        <f>(D60+D59)/D51</f>
        <v/>
      </c>
      <c r="E81" s="177">
        <f>(E60+E59)/E51</f>
        <v/>
      </c>
      <c r="F81" s="177">
        <f>(F60+F59)/F51</f>
        <v/>
      </c>
      <c r="G81" s="177">
        <f>(G60+G59)/G51</f>
        <v/>
      </c>
      <c r="H81" s="177">
        <f>(H60+H59)/H51</f>
        <v/>
      </c>
      <c r="I81" s="177">
        <f>(I60+I59)/I51</f>
        <v/>
      </c>
      <c r="J81" s="177">
        <f>(J60+J59)/J51</f>
        <v/>
      </c>
      <c r="K81" s="177">
        <f>(K60+K59)/K51</f>
        <v/>
      </c>
      <c r="L81" s="177">
        <f>(L60+L59)/L51</f>
        <v/>
      </c>
      <c r="M81" s="177">
        <f>(M60+M59)/M51</f>
        <v/>
      </c>
      <c r="P81" s="408" t="inlineStr">
        <is>
          <t>BREAKEVEN ANALYSIS</t>
        </is>
      </c>
      <c r="Q81" s="408" t="n"/>
      <c r="R81" s="399" t="n">
        <v>2015</v>
      </c>
      <c r="S81" s="399" t="n">
        <v>2016</v>
      </c>
      <c r="T81" s="399" t="n">
        <v>2017</v>
      </c>
      <c r="U81" s="399" t="n">
        <v>2018</v>
      </c>
      <c r="V81" s="399" t="n">
        <v>2019</v>
      </c>
      <c r="W81" s="399" t="n">
        <v>2020</v>
      </c>
      <c r="X81" s="399" t="n">
        <v>2021</v>
      </c>
      <c r="Y81" s="399" t="n">
        <v>2022</v>
      </c>
      <c r="Z81" s="399" t="n">
        <v>2022</v>
      </c>
      <c r="AA81" s="399" t="n">
        <v>2022</v>
      </c>
      <c r="AB81" s="399" t="n">
        <v>2022</v>
      </c>
    </row>
    <row r="82" customFormat="1" s="40">
      <c r="A82" t="inlineStr">
        <is>
          <t>Equity / Total Assets</t>
        </is>
      </c>
      <c r="B82" s="440" t="n"/>
      <c r="C82" s="177">
        <f>SUM(C65:C67)/C51</f>
        <v/>
      </c>
      <c r="D82" s="177">
        <f>SUM(D65:D67)/D51</f>
        <v/>
      </c>
      <c r="E82" s="177">
        <f>SUM(E65:E67)/E51</f>
        <v/>
      </c>
      <c r="F82" s="177">
        <f>SUM(F65:F67)/F51</f>
        <v/>
      </c>
      <c r="G82" s="177">
        <f>SUM(G65:G67)/G51</f>
        <v/>
      </c>
      <c r="H82" s="177">
        <f>SUM(H65:H67)/H51</f>
        <v/>
      </c>
      <c r="I82" s="177">
        <f>SUM(I65:I67)/I51</f>
        <v/>
      </c>
      <c r="J82" s="177">
        <f>SUM(J65:J67)/J51</f>
        <v/>
      </c>
      <c r="K82" s="177">
        <f>SUM(K65:K67)/K51</f>
        <v/>
      </c>
      <c r="L82" s="177">
        <f>SUM(L65:L67)/L51</f>
        <v/>
      </c>
      <c r="M82" s="177">
        <f>SUM(M65:M67)/M51</f>
        <v/>
      </c>
      <c r="P82" s="437" t="n"/>
    </row>
    <row r="83" customFormat="1" s="40">
      <c r="A83" s="173" t="n"/>
      <c r="G83" s="428" t="n"/>
      <c r="H83" s="428" t="n"/>
      <c r="I83" s="428" t="n"/>
      <c r="J83" s="428" t="n"/>
      <c r="K83" s="428" t="n"/>
      <c r="L83" s="428" t="n"/>
      <c r="M83" s="428" t="n"/>
      <c r="P83" s="40" t="inlineStr">
        <is>
          <t>Fixed costs</t>
        </is>
      </c>
      <c r="R83" s="400">
        <f>C22-C29</f>
        <v/>
      </c>
      <c r="S83" s="400">
        <f>D22-D29</f>
        <v/>
      </c>
      <c r="T83" s="400">
        <f>E22-E29</f>
        <v/>
      </c>
      <c r="U83" s="400">
        <f>F22-F29</f>
        <v/>
      </c>
      <c r="V83" s="400">
        <f>G22-G29</f>
        <v/>
      </c>
      <c r="W83" s="400">
        <f>H22-H29</f>
        <v/>
      </c>
      <c r="X83" s="400">
        <f>I22-I29</f>
        <v/>
      </c>
      <c r="Y83" s="400">
        <f>J22-J29</f>
        <v/>
      </c>
      <c r="Z83" s="441">
        <f>K22-K29</f>
        <v/>
      </c>
      <c r="AA83" s="441">
        <f>L22-L29</f>
        <v/>
      </c>
      <c r="AB83" s="441">
        <f>M22-M29</f>
        <v/>
      </c>
    </row>
    <row r="84" customFormat="1" s="30">
      <c r="P84" s="62" t="inlineStr">
        <is>
          <t>Breakeven Sales</t>
        </is>
      </c>
      <c r="R84" s="442">
        <f>R83/R44</f>
        <v/>
      </c>
      <c r="S84" s="442">
        <f>S83/S44</f>
        <v/>
      </c>
      <c r="T84" s="442">
        <f>T83/T44</f>
        <v/>
      </c>
      <c r="U84" s="442">
        <f>U83/U44</f>
        <v/>
      </c>
      <c r="V84" s="442">
        <f>V83/V44</f>
        <v/>
      </c>
      <c r="W84" s="442">
        <f>W83/W44</f>
        <v/>
      </c>
      <c r="X84" s="442">
        <f>X83/X44</f>
        <v/>
      </c>
      <c r="Y84" s="442">
        <f>Y83/Y44</f>
        <v/>
      </c>
      <c r="Z84" s="443">
        <f>Z83/Z44</f>
        <v/>
      </c>
      <c r="AA84" s="443">
        <f>AA83/AA44</f>
        <v/>
      </c>
      <c r="AB84" s="443">
        <f>AB83/AB44</f>
        <v/>
      </c>
    </row>
    <row r="85" customFormat="1" s="30">
      <c r="P85" t="inlineStr">
        <is>
          <t>Margin of safety</t>
        </is>
      </c>
      <c r="R85" s="164">
        <f>(C20-R84)/C20</f>
        <v/>
      </c>
      <c r="S85" s="164">
        <f>(D20-S84)/D20</f>
        <v/>
      </c>
      <c r="T85" s="164">
        <f>(E20-T84)/E20</f>
        <v/>
      </c>
      <c r="U85" s="164">
        <f>(F20-U84)/F20</f>
        <v/>
      </c>
      <c r="V85" s="164">
        <f>(G20-V84)/G20</f>
        <v/>
      </c>
      <c r="W85" s="164">
        <f>(H20-W84)/H20</f>
        <v/>
      </c>
      <c r="X85" s="164">
        <f>(I20-X84)/I20</f>
        <v/>
      </c>
      <c r="Y85" s="164">
        <f>(J20-Y84)/J20</f>
        <v/>
      </c>
      <c r="Z85" s="185">
        <f>(K20-Z84)/K20</f>
        <v/>
      </c>
      <c r="AA85" s="185">
        <f>(L20-AA84)/L20</f>
        <v/>
      </c>
      <c r="AB85" s="185">
        <f>(M20-AB84)/M20</f>
        <v/>
      </c>
    </row>
    <row r="86" customFormat="1" s="30"/>
    <row r="87" customFormat="1" s="40"/>
    <row r="88" customFormat="1" s="40"/>
    <row r="89" customFormat="1" s="40"/>
    <row r="90" customFormat="1" s="40"/>
    <row r="91" customFormat="1" s="40"/>
    <row r="92" customFormat="1" s="40"/>
    <row r="93" customFormat="1" s="40"/>
    <row r="94" customFormat="1" s="40">
      <c r="AC94" s="30" t="n"/>
    </row>
    <row r="95">
      <c r="A95" s="30" t="n"/>
      <c r="B95" s="30" t="n"/>
      <c r="C95" s="30" t="n"/>
      <c r="D95" s="30" t="n"/>
      <c r="E95" s="30" t="n"/>
      <c r="F95" s="30" t="n"/>
      <c r="G95" s="30" t="n"/>
      <c r="H95" s="30" t="n"/>
      <c r="I95" s="30" t="n"/>
      <c r="J95" s="30" t="n"/>
      <c r="O95" s="30" t="n"/>
      <c r="P95" s="40" t="n"/>
      <c r="Q95" s="40" t="n"/>
      <c r="R95" s="40" t="n"/>
      <c r="S95" s="40" t="n"/>
      <c r="T95" s="40" t="n"/>
      <c r="U95" s="40" t="n"/>
      <c r="V95" s="40" t="n"/>
      <c r="W95" s="40" t="n"/>
      <c r="X95" s="40" t="n"/>
      <c r="Y95" s="40" t="n"/>
      <c r="AC95" s="30" t="n"/>
    </row>
    <row r="96">
      <c r="A96" s="30" t="n"/>
      <c r="B96" s="30" t="n"/>
      <c r="C96" s="30" t="n"/>
      <c r="D96" s="30" t="n"/>
      <c r="E96" s="30" t="n"/>
      <c r="F96" s="30" t="n"/>
      <c r="G96" s="30" t="n"/>
      <c r="H96" s="30" t="n"/>
      <c r="I96" s="30" t="n"/>
      <c r="J96" s="30" t="n"/>
      <c r="O96" s="30" t="n"/>
      <c r="P96" s="30" t="n"/>
      <c r="Q96" s="30" t="n"/>
      <c r="R96" s="30" t="n"/>
      <c r="S96" s="30" t="n"/>
      <c r="T96" s="30" t="n"/>
      <c r="U96" s="30" t="n"/>
      <c r="V96" s="30" t="n"/>
      <c r="W96" s="30" t="n"/>
      <c r="X96" s="30" t="n"/>
      <c r="Y96" s="30" t="n"/>
      <c r="AC96" s="30" t="n"/>
    </row>
    <row r="97">
      <c r="A97" s="30" t="n"/>
      <c r="B97" s="30" t="n"/>
      <c r="C97" s="30" t="n"/>
      <c r="D97" s="30" t="n"/>
      <c r="E97" s="30" t="n"/>
      <c r="F97" s="30" t="n"/>
      <c r="G97" s="30" t="n"/>
      <c r="H97" s="30" t="n"/>
      <c r="P97" s="30" t="n"/>
      <c r="Q97" s="30" t="n"/>
      <c r="R97" s="30" t="n"/>
      <c r="S97" s="30" t="n"/>
      <c r="T97" s="30" t="n"/>
      <c r="U97" s="30" t="n"/>
      <c r="V97" s="30" t="n"/>
      <c r="W97" s="30" t="n"/>
      <c r="X97" s="30" t="n"/>
      <c r="Y97" s="30" t="n"/>
    </row>
    <row r="98">
      <c r="A98" s="40" t="n"/>
      <c r="B98" s="40" t="n"/>
      <c r="C98" s="40" t="n"/>
      <c r="D98" s="40" t="n"/>
      <c r="E98" s="40" t="n"/>
      <c r="F98" s="40" t="n"/>
      <c r="G98" s="40" t="n"/>
      <c r="H98" s="40" t="n"/>
    </row>
    <row r="99">
      <c r="A99" s="40" t="n"/>
      <c r="B99" s="40" t="n"/>
      <c r="C99" s="40" t="n"/>
      <c r="D99" s="40" t="n"/>
      <c r="E99" s="40" t="n"/>
      <c r="F99" s="40" t="n"/>
      <c r="G99" s="40" t="n"/>
      <c r="H99" s="40" t="n"/>
    </row>
    <row r="100">
      <c r="A100" s="40" t="n"/>
      <c r="B100" s="40" t="n"/>
      <c r="C100" s="40" t="n"/>
      <c r="D100" s="40" t="n"/>
      <c r="E100" s="40" t="n"/>
      <c r="F100" s="40" t="n"/>
      <c r="G100" s="40" t="n"/>
      <c r="H100" s="40" t="n"/>
    </row>
    <row r="101">
      <c r="A101" s="40" t="n"/>
      <c r="B101" s="40" t="n"/>
      <c r="C101" s="40" t="n"/>
      <c r="D101" s="40" t="n"/>
      <c r="E101" s="40" t="n"/>
      <c r="F101" s="40" t="n"/>
      <c r="G101" s="40" t="n"/>
      <c r="H101" s="40" t="n"/>
    </row>
    <row r="102">
      <c r="A102" s="40" t="n"/>
      <c r="B102" s="40" t="n"/>
      <c r="C102" s="40" t="n"/>
      <c r="D102" s="40" t="n"/>
      <c r="E102" s="40" t="n"/>
      <c r="F102" s="40" t="n"/>
      <c r="G102" s="40" t="n"/>
      <c r="H102" s="40" t="n"/>
    </row>
    <row r="103">
      <c r="A103" s="40" t="n"/>
      <c r="B103" s="40" t="n"/>
      <c r="C103" s="40" t="n"/>
      <c r="D103" s="40" t="n"/>
      <c r="E103" s="40" t="n"/>
      <c r="F103" s="40" t="n"/>
      <c r="G103" s="40" t="n"/>
      <c r="H103" s="40" t="n"/>
    </row>
    <row r="104">
      <c r="A104" s="40" t="n"/>
      <c r="B104" s="40" t="n"/>
      <c r="C104" s="40" t="n"/>
      <c r="D104" s="40" t="n"/>
      <c r="E104" s="40" t="n"/>
      <c r="F104" s="40" t="n"/>
      <c r="G104" s="40" t="n"/>
      <c r="H104" s="40" t="n"/>
    </row>
    <row r="105">
      <c r="A105" s="40" t="n"/>
      <c r="B105" s="40" t="n"/>
      <c r="C105" s="40" t="n"/>
      <c r="D105" s="40" t="n"/>
      <c r="E105" s="40" t="n"/>
      <c r="F105" s="40" t="n"/>
      <c r="G105" s="40" t="n"/>
      <c r="H105" s="40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92"/>
  <sheetViews>
    <sheetView topLeftCell="A10" zoomScale="90" zoomScaleNormal="90" workbookViewId="0">
      <selection activeCell="D22" sqref="D22"/>
    </sheetView>
  </sheetViews>
  <sheetFormatPr baseColWidth="8" defaultColWidth="8.6640625" defaultRowHeight="13.2" outlineLevelCol="0"/>
  <cols>
    <col width="32.109375" customWidth="1" style="237" min="1" max="1"/>
    <col width="15.44140625" customWidth="1" style="237" min="2" max="2"/>
    <col width="11" customWidth="1" style="237" min="3" max="3"/>
    <col width="10.44140625" customWidth="1" style="237" min="4" max="5"/>
    <col width="12.33203125" bestFit="1" customWidth="1" style="237" min="6" max="6"/>
    <col width="12.5546875" bestFit="1" customWidth="1" style="237" min="7" max="9"/>
    <col width="12.33203125" bestFit="1" customWidth="1" style="237" min="10" max="10"/>
    <col width="10.109375" customWidth="1" style="237" min="11" max="11"/>
    <col width="13.109375" bestFit="1" customWidth="1" style="237" min="12" max="12"/>
    <col width="8.6640625" customWidth="1" style="237" min="13" max="16384"/>
  </cols>
  <sheetData>
    <row r="1">
      <c r="A1" s="354" t="inlineStr">
        <is>
          <t>Company</t>
        </is>
      </c>
      <c r="B1" s="354" t="n"/>
    </row>
    <row r="2">
      <c r="A2" s="355" t="inlineStr">
        <is>
          <t>Analyst</t>
        </is>
      </c>
      <c r="B2" s="356" t="n"/>
      <c r="C2" s="354" t="n"/>
      <c r="D2" s="357" t="n"/>
      <c r="E2" s="357" t="n"/>
      <c r="F2" s="357" t="n"/>
      <c r="G2" s="358" t="n"/>
      <c r="H2" s="358" t="n"/>
      <c r="I2" s="358" t="n"/>
      <c r="J2" s="358" t="n"/>
      <c r="K2" s="242" t="n"/>
    </row>
    <row r="3">
      <c r="A3" s="355" t="inlineStr">
        <is>
          <t>Day</t>
        </is>
      </c>
      <c r="B3" s="243" t="n"/>
      <c r="C3" s="354" t="n"/>
      <c r="D3" s="357" t="n"/>
      <c r="E3" s="357" t="n"/>
      <c r="F3" s="357" t="n"/>
      <c r="G3" s="358" t="n"/>
      <c r="H3" s="358" t="n"/>
      <c r="I3" s="358" t="n"/>
      <c r="J3" s="358" t="n"/>
      <c r="K3" s="242" t="n"/>
    </row>
    <row r="4">
      <c r="A4" s="355" t="n"/>
      <c r="B4" s="243" t="n"/>
      <c r="C4" s="354" t="n"/>
      <c r="D4" s="357" t="n"/>
      <c r="E4" s="357" t="n"/>
      <c r="F4" s="357" t="n"/>
      <c r="G4" s="358" t="n"/>
      <c r="H4" s="358" t="n"/>
      <c r="I4" s="358" t="n"/>
      <c r="J4" s="358" t="n"/>
      <c r="K4" s="242" t="n"/>
    </row>
    <row r="5">
      <c r="A5" s="359" t="inlineStr">
        <is>
          <t>PROFIT/LOSS</t>
        </is>
      </c>
      <c r="B5" s="359" t="inlineStr">
        <is>
          <t>YE  31 Dec</t>
        </is>
      </c>
      <c r="C5" s="360" t="n">
        <v>2015</v>
      </c>
      <c r="D5" s="360" t="n">
        <v>2016</v>
      </c>
      <c r="E5" s="360" t="n">
        <v>2017</v>
      </c>
      <c r="F5" s="360" t="n">
        <v>2018</v>
      </c>
      <c r="G5" s="360" t="n">
        <v>2019</v>
      </c>
      <c r="H5" s="360" t="n">
        <v>2020</v>
      </c>
      <c r="I5" s="360" t="n">
        <v>2021</v>
      </c>
      <c r="J5" s="360" t="n">
        <v>2022</v>
      </c>
    </row>
    <row r="6">
      <c r="A6" s="361" t="inlineStr">
        <is>
          <t>VND Millions</t>
        </is>
      </c>
      <c r="B6" s="361" t="n"/>
      <c r="C6" s="362" t="n"/>
      <c r="D6" s="362" t="n"/>
      <c r="E6" s="362" t="n"/>
      <c r="F6" s="362" t="n"/>
      <c r="G6" s="363" t="n"/>
      <c r="H6" s="363" t="n"/>
      <c r="I6" s="363" t="n"/>
      <c r="J6" s="363" t="n"/>
    </row>
    <row r="7" customFormat="1" s="253">
      <c r="A7" s="355" t="inlineStr">
        <is>
          <t>Sales</t>
        </is>
      </c>
      <c r="B7" s="355" t="n"/>
      <c r="C7" s="300">
        <f>FSA!C7/FSA!C$7</f>
        <v/>
      </c>
      <c r="D7" s="300">
        <f>FSA!D7/FSA!D$7</f>
        <v/>
      </c>
      <c r="E7" s="300">
        <f>FSA!E7/FSA!E$7</f>
        <v/>
      </c>
      <c r="F7" s="300">
        <f>FSA!F7/FSA!F$7</f>
        <v/>
      </c>
      <c r="G7" s="300">
        <f>FSA!G7/FSA!G$7</f>
        <v/>
      </c>
      <c r="H7" s="300">
        <f>FSA!H7/FSA!H$7</f>
        <v/>
      </c>
      <c r="I7" s="300">
        <f>FSA!I7/FSA!I$7</f>
        <v/>
      </c>
      <c r="J7" s="300">
        <f>FSA!J7/FSA!J$7</f>
        <v/>
      </c>
    </row>
    <row r="8">
      <c r="A8" s="355" t="inlineStr">
        <is>
          <t>Cost of Goods Sold</t>
        </is>
      </c>
      <c r="B8" s="369" t="n"/>
      <c r="C8" s="300">
        <f>FSA!C8/FSA!C$7</f>
        <v/>
      </c>
      <c r="D8" s="300">
        <f>FSA!D8/FSA!D$7</f>
        <v/>
      </c>
      <c r="E8" s="300">
        <f>FSA!E8/FSA!E$7</f>
        <v/>
      </c>
      <c r="F8" s="300">
        <f>FSA!F8/FSA!F$7</f>
        <v/>
      </c>
      <c r="G8" s="300">
        <f>FSA!G8/FSA!G$7</f>
        <v/>
      </c>
      <c r="H8" s="300">
        <f>FSA!H8/FSA!H$7</f>
        <v/>
      </c>
      <c r="I8" s="300">
        <f>FSA!I8/FSA!I$7</f>
        <v/>
      </c>
      <c r="J8" s="300">
        <f>FSA!J8/FSA!J$7</f>
        <v/>
      </c>
      <c r="L8" s="444" t="n"/>
    </row>
    <row r="9" customFormat="1" s="253">
      <c r="A9" s="354" t="inlineStr">
        <is>
          <t>Gross Profit</t>
        </is>
      </c>
      <c r="B9" s="354" t="n"/>
      <c r="C9" s="316">
        <f>FSA!C9/FSA!C$7</f>
        <v/>
      </c>
      <c r="D9" s="316">
        <f>FSA!D9/FSA!D$7</f>
        <v/>
      </c>
      <c r="E9" s="316">
        <f>FSA!E9/FSA!E$7</f>
        <v/>
      </c>
      <c r="F9" s="316">
        <f>FSA!F9/FSA!F$7</f>
        <v/>
      </c>
      <c r="G9" s="316">
        <f>FSA!G9/FSA!G$7</f>
        <v/>
      </c>
      <c r="H9" s="316">
        <f>FSA!H9/FSA!H$7</f>
        <v/>
      </c>
      <c r="I9" s="316">
        <f>FSA!I9/FSA!I$7</f>
        <v/>
      </c>
      <c r="J9" s="316">
        <f>FSA!J9/FSA!J$7</f>
        <v/>
      </c>
    </row>
    <row r="10">
      <c r="A10" s="355" t="inlineStr">
        <is>
          <t>SG and A Expenses</t>
        </is>
      </c>
      <c r="B10" s="369" t="n"/>
      <c r="C10" s="300">
        <f>FSA!C10/FSA!C$7</f>
        <v/>
      </c>
      <c r="D10" s="300">
        <f>FSA!D10/FSA!D$7</f>
        <v/>
      </c>
      <c r="E10" s="300">
        <f>FSA!E10/FSA!E$7</f>
        <v/>
      </c>
      <c r="F10" s="300">
        <f>FSA!F10/FSA!F$7</f>
        <v/>
      </c>
      <c r="G10" s="300">
        <f>FSA!G10/FSA!G$7</f>
        <v/>
      </c>
      <c r="H10" s="300">
        <f>FSA!H10/FSA!H$7</f>
        <v/>
      </c>
      <c r="I10" s="300">
        <f>FSA!I10/FSA!I$7</f>
        <v/>
      </c>
      <c r="J10" s="300">
        <f>FSA!J10/FSA!J$7</f>
        <v/>
      </c>
      <c r="K10" s="371" t="n"/>
    </row>
    <row r="11" customFormat="1" s="253">
      <c r="A11" s="262" t="inlineStr">
        <is>
          <t>Other Operating items</t>
        </is>
      </c>
      <c r="C11" s="300">
        <f>FSA!C11/FSA!C$7</f>
        <v/>
      </c>
      <c r="D11" s="300">
        <f>FSA!D11/FSA!D$7</f>
        <v/>
      </c>
      <c r="E11" s="300">
        <f>FSA!E11/FSA!E$7</f>
        <v/>
      </c>
      <c r="F11" s="300">
        <f>FSA!F11/FSA!F$7</f>
        <v/>
      </c>
      <c r="G11" s="300">
        <f>FSA!G11/FSA!G$7</f>
        <v/>
      </c>
      <c r="H11" s="300">
        <f>FSA!H11/FSA!H$7</f>
        <v/>
      </c>
      <c r="I11" s="300">
        <f>FSA!I11/FSA!I$7</f>
        <v/>
      </c>
      <c r="J11" s="300">
        <f>FSA!J11/FSA!J$7</f>
        <v/>
      </c>
    </row>
    <row r="12">
      <c r="A12" s="354" t="inlineStr">
        <is>
          <t>EBIT (Operating Profit)</t>
        </is>
      </c>
      <c r="B12" s="354" t="n"/>
      <c r="C12" s="316">
        <f>FSA!C12/FSA!C$7</f>
        <v/>
      </c>
      <c r="D12" s="316">
        <f>FSA!D12/FSA!D$7</f>
        <v/>
      </c>
      <c r="E12" s="316">
        <f>FSA!E12/FSA!E$7</f>
        <v/>
      </c>
      <c r="F12" s="316">
        <f>FSA!F12/FSA!F$7</f>
        <v/>
      </c>
      <c r="G12" s="316">
        <f>FSA!G12/FSA!G$7</f>
        <v/>
      </c>
      <c r="H12" s="316">
        <f>FSA!H12/FSA!H$7</f>
        <v/>
      </c>
      <c r="I12" s="316">
        <f>FSA!I12/FSA!I$7</f>
        <v/>
      </c>
      <c r="J12" s="316">
        <f>FSA!J12/FSA!J$7</f>
        <v/>
      </c>
      <c r="K12" s="371" t="n"/>
    </row>
    <row r="13">
      <c r="A13" s="355" t="inlineStr">
        <is>
          <t>Non-operating Items</t>
        </is>
      </c>
      <c r="B13" s="354" t="n"/>
      <c r="C13" s="300">
        <f>FSA!C13/FSA!C$7</f>
        <v/>
      </c>
      <c r="D13" s="300">
        <f>FSA!D13/FSA!D$7</f>
        <v/>
      </c>
      <c r="E13" s="300">
        <f>FSA!E13/FSA!E$7</f>
        <v/>
      </c>
      <c r="F13" s="300">
        <f>FSA!F13/FSA!F$7</f>
        <v/>
      </c>
      <c r="G13" s="300">
        <f>FSA!G13/FSA!G$7</f>
        <v/>
      </c>
      <c r="H13" s="300">
        <f>FSA!H13/FSA!H$7</f>
        <v/>
      </c>
      <c r="I13" s="300">
        <f>FSA!I13/FSA!I$7</f>
        <v/>
      </c>
      <c r="J13" s="300">
        <f>FSA!J13/FSA!J$7</f>
        <v/>
      </c>
    </row>
    <row r="14">
      <c r="A14" s="367" t="inlineStr">
        <is>
          <t>Total Interest Expense</t>
        </is>
      </c>
      <c r="B14" s="369" t="n"/>
      <c r="C14" s="300">
        <f>FSA!C14/FSA!C$7</f>
        <v/>
      </c>
      <c r="D14" s="300">
        <f>FSA!D14/FSA!D$7</f>
        <v/>
      </c>
      <c r="E14" s="300">
        <f>FSA!E14/FSA!E$7</f>
        <v/>
      </c>
      <c r="F14" s="300">
        <f>FSA!F14/FSA!F$7</f>
        <v/>
      </c>
      <c r="G14" s="300">
        <f>FSA!G14/FSA!G$7</f>
        <v/>
      </c>
      <c r="H14" s="300">
        <f>FSA!H14/FSA!H$7</f>
        <v/>
      </c>
      <c r="I14" s="300">
        <f>FSA!I14/FSA!I$7</f>
        <v/>
      </c>
      <c r="J14" s="300">
        <f>FSA!J14/FSA!J$7</f>
        <v/>
      </c>
    </row>
    <row r="15" customFormat="1" s="253">
      <c r="A15" s="355" t="inlineStr">
        <is>
          <t>Interest income and other financial Income / expenses</t>
        </is>
      </c>
      <c r="B15" s="367" t="n"/>
      <c r="C15" s="300">
        <f>FSA!C15/FSA!C$7</f>
        <v/>
      </c>
      <c r="D15" s="300">
        <f>FSA!D15/FSA!D$7</f>
        <v/>
      </c>
      <c r="E15" s="300">
        <f>FSA!E15/FSA!E$7</f>
        <v/>
      </c>
      <c r="F15" s="300">
        <f>FSA!F15/FSA!F$7</f>
        <v/>
      </c>
      <c r="G15" s="300">
        <f>FSA!G15/FSA!G$7</f>
        <v/>
      </c>
      <c r="H15" s="300">
        <f>FSA!H15/FSA!H$7</f>
        <v/>
      </c>
      <c r="I15" s="300">
        <f>FSA!I15/FSA!I$7</f>
        <v/>
      </c>
      <c r="J15" s="300">
        <f>FSA!J15/FSA!J$7</f>
        <v/>
      </c>
    </row>
    <row r="16">
      <c r="A16" s="354" t="inlineStr">
        <is>
          <t>Profit before Tax</t>
        </is>
      </c>
      <c r="B16" s="354" t="n"/>
      <c r="C16" s="316">
        <f>FSA!C16/FSA!C$7</f>
        <v/>
      </c>
      <c r="D16" s="316">
        <f>FSA!D16/FSA!D$7</f>
        <v/>
      </c>
      <c r="E16" s="316">
        <f>FSA!E16/FSA!E$7</f>
        <v/>
      </c>
      <c r="F16" s="316">
        <f>FSA!F16/FSA!F$7</f>
        <v/>
      </c>
      <c r="G16" s="316">
        <f>FSA!G16/FSA!G$7</f>
        <v/>
      </c>
      <c r="H16" s="316">
        <f>FSA!H16/FSA!H$7</f>
        <v/>
      </c>
      <c r="I16" s="316">
        <f>FSA!I16/FSA!I$7</f>
        <v/>
      </c>
      <c r="J16" s="316">
        <f>FSA!J16/FSA!J$7</f>
        <v/>
      </c>
    </row>
    <row r="17" customFormat="1" s="253">
      <c r="A17" s="367" t="inlineStr">
        <is>
          <t>Taxation</t>
        </is>
      </c>
      <c r="B17" s="369" t="n"/>
      <c r="C17" s="300">
        <f>FSA!C17/FSA!C$7</f>
        <v/>
      </c>
      <c r="D17" s="300">
        <f>FSA!D17/FSA!D$7</f>
        <v/>
      </c>
      <c r="E17" s="300">
        <f>FSA!E17/FSA!E$7</f>
        <v/>
      </c>
      <c r="F17" s="300">
        <f>FSA!F17/FSA!F$7</f>
        <v/>
      </c>
      <c r="G17" s="300">
        <f>FSA!G17/FSA!G$7</f>
        <v/>
      </c>
      <c r="H17" s="300">
        <f>FSA!H17/FSA!H$7</f>
        <v/>
      </c>
      <c r="I17" s="300">
        <f>FSA!I17/FSA!I$7</f>
        <v/>
      </c>
      <c r="J17" s="300">
        <f>FSA!J17/FSA!J$7</f>
        <v/>
      </c>
    </row>
    <row r="18">
      <c r="A18" s="354" t="inlineStr">
        <is>
          <t>Profit after Tax</t>
        </is>
      </c>
      <c r="B18" s="354" t="n"/>
      <c r="C18" s="316">
        <f>FSA!C18/FSA!C$7</f>
        <v/>
      </c>
      <c r="D18" s="316">
        <f>FSA!D18/FSA!D$7</f>
        <v/>
      </c>
      <c r="E18" s="316">
        <f>FSA!E18/FSA!E$7</f>
        <v/>
      </c>
      <c r="F18" s="316">
        <f>FSA!F18/FSA!F$7</f>
        <v/>
      </c>
      <c r="G18" s="316">
        <f>FSA!G18/FSA!G$7</f>
        <v/>
      </c>
      <c r="H18" s="316">
        <f>FSA!H18/FSA!H$7</f>
        <v/>
      </c>
      <c r="I18" s="316">
        <f>FSA!I18/FSA!I$7</f>
        <v/>
      </c>
      <c r="J18" s="316">
        <f>FSA!J18/FSA!J$7</f>
        <v/>
      </c>
    </row>
    <row r="19" customFormat="1" s="268">
      <c r="A19" s="354" t="n"/>
      <c r="B19" s="354" t="n"/>
      <c r="C19" s="300" t="n"/>
      <c r="D19" s="300" t="n"/>
      <c r="E19" s="300" t="n"/>
      <c r="F19" s="300" t="n"/>
      <c r="G19" s="300" t="n"/>
      <c r="H19" s="300" t="n"/>
      <c r="I19" s="300" t="n"/>
      <c r="J19" s="300" t="n"/>
    </row>
    <row r="20" customFormat="1" s="268">
      <c r="A20" s="373" t="inlineStr">
        <is>
          <t>For info (included in operating profit)</t>
        </is>
      </c>
      <c r="C20" s="300" t="n"/>
      <c r="D20" s="300" t="n"/>
      <c r="E20" s="300" t="n"/>
      <c r="F20" s="300" t="n"/>
      <c r="G20" s="300" t="n"/>
      <c r="H20" s="300" t="n"/>
      <c r="I20" s="300" t="n"/>
      <c r="J20" s="300" t="n"/>
    </row>
    <row r="21" customFormat="1" s="268">
      <c r="A21" s="369" t="inlineStr">
        <is>
          <t>Depreciation</t>
        </is>
      </c>
      <c r="B21" s="369" t="n"/>
      <c r="C21" s="300">
        <f>FSA!C21/FSA!C$7</f>
        <v/>
      </c>
      <c r="D21" s="300">
        <f>FSA!D21/FSA!D$7</f>
        <v/>
      </c>
      <c r="E21" s="300">
        <f>FSA!E21/FSA!E$7</f>
        <v/>
      </c>
      <c r="F21" s="300">
        <f>FSA!F21/FSA!F$7</f>
        <v/>
      </c>
      <c r="G21" s="300">
        <f>FSA!G21/FSA!G$7</f>
        <v/>
      </c>
      <c r="H21" s="300">
        <f>FSA!H21/FSA!H$7</f>
        <v/>
      </c>
      <c r="I21" s="300">
        <f>FSA!I21/FSA!I$7</f>
        <v/>
      </c>
      <c r="J21" s="300">
        <f>FSA!J21/FSA!J$7</f>
        <v/>
      </c>
      <c r="L21" s="445" t="n"/>
    </row>
    <row r="22" customFormat="1" s="268">
      <c r="A22" s="268" t="inlineStr">
        <is>
          <t>Amortisation</t>
        </is>
      </c>
      <c r="C22" s="300">
        <f>FSA!C22/FSA!C$7</f>
        <v/>
      </c>
      <c r="D22" s="300">
        <f>FSA!D22/FSA!D$7</f>
        <v/>
      </c>
      <c r="E22" s="300">
        <f>FSA!E22/FSA!E$7</f>
        <v/>
      </c>
      <c r="F22" s="300">
        <f>FSA!F22/FSA!F$7</f>
        <v/>
      </c>
      <c r="G22" s="300">
        <f>FSA!G22/FSA!G$7</f>
        <v/>
      </c>
      <c r="H22" s="300">
        <f>FSA!H22/FSA!H$7</f>
        <v/>
      </c>
      <c r="I22" s="300">
        <f>FSA!I22/FSA!I$7</f>
        <v/>
      </c>
      <c r="J22" s="300">
        <f>FSA!J22/FSA!J$7</f>
        <v/>
      </c>
    </row>
    <row r="23" customFormat="1" s="275">
      <c r="A23" s="268" t="inlineStr">
        <is>
          <t>Impairments</t>
        </is>
      </c>
      <c r="C23" s="300">
        <f>FSA!C23/FSA!C$7</f>
        <v/>
      </c>
      <c r="D23" s="300">
        <f>FSA!D23/FSA!D$7</f>
        <v/>
      </c>
      <c r="E23" s="300">
        <f>FSA!E23/FSA!E$7</f>
        <v/>
      </c>
      <c r="F23" s="300">
        <f>FSA!F23/FSA!F$7</f>
        <v/>
      </c>
      <c r="G23" s="300">
        <f>FSA!G23/FSA!G$7</f>
        <v/>
      </c>
      <c r="H23" s="300">
        <f>FSA!H23/FSA!H$7</f>
        <v/>
      </c>
      <c r="I23" s="300">
        <f>FSA!I23/FSA!I$7</f>
        <v/>
      </c>
      <c r="J23" s="300">
        <f>FSA!J23/FSA!J$7</f>
        <v/>
      </c>
    </row>
    <row r="24">
      <c r="A24" s="369" t="inlineStr">
        <is>
          <t>Operating Leases</t>
        </is>
      </c>
      <c r="B24" s="369" t="n"/>
      <c r="C24" s="300">
        <f>FSA!C24/FSA!C$7</f>
        <v/>
      </c>
      <c r="D24" s="300">
        <f>FSA!D24/FSA!D$7</f>
        <v/>
      </c>
      <c r="E24" s="300">
        <f>FSA!E24/FSA!E$7</f>
        <v/>
      </c>
      <c r="F24" s="300">
        <f>FSA!F24/FSA!F$7</f>
        <v/>
      </c>
      <c r="G24" s="300">
        <f>FSA!G24/FSA!G$7</f>
        <v/>
      </c>
      <c r="H24" s="300">
        <f>FSA!H24/FSA!H$7</f>
        <v/>
      </c>
      <c r="I24" s="300">
        <f>FSA!I24/FSA!I$7</f>
        <v/>
      </c>
      <c r="J24" s="300">
        <f>FSA!J24/FSA!J$7</f>
        <v/>
      </c>
    </row>
    <row r="25">
      <c r="A25" s="373" t="inlineStr">
        <is>
          <t>EBITDA</t>
        </is>
      </c>
      <c r="B25" s="373" t="n"/>
      <c r="C25" s="300">
        <f>FSA!C25/FSA!C$7</f>
        <v/>
      </c>
      <c r="D25" s="300">
        <f>FSA!D25/FSA!D$7</f>
        <v/>
      </c>
      <c r="E25" s="300">
        <f>FSA!E25/FSA!E$7</f>
        <v/>
      </c>
      <c r="F25" s="300">
        <f>FSA!F25/FSA!F$7</f>
        <v/>
      </c>
      <c r="G25" s="300">
        <f>FSA!G25/FSA!G$7</f>
        <v/>
      </c>
      <c r="H25" s="300">
        <f>FSA!H25/FSA!H$7</f>
        <v/>
      </c>
      <c r="I25" s="300">
        <f>FSA!I25/FSA!I$7</f>
        <v/>
      </c>
      <c r="J25" s="300">
        <f>FSA!J25/FSA!J$7</f>
        <v/>
      </c>
    </row>
    <row r="26">
      <c r="A26" s="373" t="inlineStr">
        <is>
          <t>EBITDAR</t>
        </is>
      </c>
      <c r="B26" s="354" t="n"/>
      <c r="C26" s="300">
        <f>FSA!C26/FSA!C$7</f>
        <v/>
      </c>
      <c r="D26" s="300">
        <f>FSA!D26/FSA!D$7</f>
        <v/>
      </c>
      <c r="E26" s="300">
        <f>FSA!E26/FSA!E$7</f>
        <v/>
      </c>
      <c r="F26" s="300">
        <f>FSA!F26/FSA!F$7</f>
        <v/>
      </c>
      <c r="G26" s="300">
        <f>FSA!G26/FSA!G$7</f>
        <v/>
      </c>
      <c r="H26" s="300">
        <f>FSA!H26/FSA!H$7</f>
        <v/>
      </c>
      <c r="I26" s="300">
        <f>FSA!I26/FSA!I$7</f>
        <v/>
      </c>
      <c r="J26" s="300">
        <f>FSA!J26/FSA!J$7</f>
        <v/>
      </c>
    </row>
    <row r="27">
      <c r="A27" s="359" t="inlineStr">
        <is>
          <t>BALANCE SHEET</t>
        </is>
      </c>
      <c r="B27" s="359" t="n"/>
      <c r="C27" s="360" t="n">
        <v>2015</v>
      </c>
      <c r="D27" s="360" t="n">
        <v>2016</v>
      </c>
      <c r="E27" s="360" t="n">
        <v>2017</v>
      </c>
      <c r="F27" s="360" t="n">
        <v>2018</v>
      </c>
      <c r="G27" s="360" t="n">
        <v>2019</v>
      </c>
      <c r="H27" s="360" t="n">
        <v>2020</v>
      </c>
      <c r="I27" s="360" t="n">
        <v>2021</v>
      </c>
      <c r="J27" s="360" t="n">
        <v>2022</v>
      </c>
    </row>
    <row r="28">
      <c r="A28" s="354" t="n"/>
      <c r="B28" s="354" t="n"/>
      <c r="C28" s="354" t="n"/>
      <c r="D28" s="354" t="n"/>
      <c r="E28" s="354" t="n"/>
      <c r="F28" s="354" t="n"/>
      <c r="G28" s="354" t="n"/>
      <c r="H28" s="354" t="n"/>
      <c r="I28" s="354" t="n"/>
      <c r="J28" s="354" t="n"/>
    </row>
    <row r="29">
      <c r="A29" s="355" t="inlineStr">
        <is>
          <t>Cash and Marketable Securities</t>
        </is>
      </c>
      <c r="B29" s="367" t="n"/>
      <c r="C29" s="300">
        <f>FSA!C29/FSA!C$38</f>
        <v/>
      </c>
      <c r="D29" s="300">
        <f>FSA!D29/FSA!D$38</f>
        <v/>
      </c>
      <c r="E29" s="300">
        <f>FSA!E29/FSA!E$38</f>
        <v/>
      </c>
      <c r="F29" s="300">
        <f>FSA!F29/FSA!F$38</f>
        <v/>
      </c>
      <c r="G29" s="300">
        <f>FSA!G29/FSA!G$38</f>
        <v/>
      </c>
      <c r="H29" s="300">
        <f>FSA!H29/FSA!H$38</f>
        <v/>
      </c>
      <c r="I29" s="300">
        <f>FSA!I29/FSA!I$38</f>
        <v/>
      </c>
      <c r="J29" s="300">
        <f>FSA!J29/FSA!J$38</f>
        <v/>
      </c>
    </row>
    <row r="30">
      <c r="A30" s="355" t="inlineStr">
        <is>
          <t>Trade Debtors (Accounts Receivable)</t>
        </is>
      </c>
      <c r="B30" s="367" t="n"/>
      <c r="C30" s="300">
        <f>FSA!C30/FSA!C$38</f>
        <v/>
      </c>
      <c r="D30" s="300">
        <f>FSA!D30/FSA!D$38</f>
        <v/>
      </c>
      <c r="E30" s="300">
        <f>FSA!E30/FSA!E$38</f>
        <v/>
      </c>
      <c r="F30" s="300">
        <f>FSA!F30/FSA!F$38</f>
        <v/>
      </c>
      <c r="G30" s="300">
        <f>FSA!G30/FSA!G$38</f>
        <v/>
      </c>
      <c r="H30" s="300">
        <f>FSA!H30/FSA!H$38</f>
        <v/>
      </c>
      <c r="I30" s="300">
        <f>FSA!I30/FSA!I$38</f>
        <v/>
      </c>
      <c r="J30" s="300">
        <f>FSA!J30/FSA!J$38</f>
        <v/>
      </c>
      <c r="K30" s="382" t="n"/>
    </row>
    <row r="31">
      <c r="A31" s="367" t="inlineStr">
        <is>
          <t>Stock (Inventory) #</t>
        </is>
      </c>
      <c r="B31" s="367" t="n"/>
      <c r="C31" s="300">
        <f>FSA!C31/FSA!C$38</f>
        <v/>
      </c>
      <c r="D31" s="300">
        <f>FSA!D31/FSA!D$38</f>
        <v/>
      </c>
      <c r="E31" s="300">
        <f>FSA!E31/FSA!E$38</f>
        <v/>
      </c>
      <c r="F31" s="300">
        <f>FSA!F31/FSA!F$38</f>
        <v/>
      </c>
      <c r="G31" s="300">
        <f>FSA!G31/FSA!G$38</f>
        <v/>
      </c>
      <c r="H31" s="300">
        <f>FSA!H31/FSA!H$38</f>
        <v/>
      </c>
      <c r="I31" s="300">
        <f>FSA!I31/FSA!I$38</f>
        <v/>
      </c>
      <c r="J31" s="300">
        <f>FSA!J31/FSA!J$38</f>
        <v/>
      </c>
      <c r="K31" s="382" t="n"/>
    </row>
    <row r="32">
      <c r="A32" s="237" t="inlineStr">
        <is>
          <t>Prepayment to Suppliers</t>
        </is>
      </c>
      <c r="C32" s="300">
        <f>FSA!C32/FSA!C$38</f>
        <v/>
      </c>
      <c r="D32" s="300">
        <f>FSA!D32/FSA!D$38</f>
        <v/>
      </c>
      <c r="E32" s="300">
        <f>FSA!E32/FSA!E$38</f>
        <v/>
      </c>
      <c r="F32" s="300">
        <f>FSA!F32/FSA!F$38</f>
        <v/>
      </c>
      <c r="G32" s="300">
        <f>FSA!G32/FSA!G$38</f>
        <v/>
      </c>
      <c r="H32" s="300">
        <f>FSA!H32/FSA!H$38</f>
        <v/>
      </c>
      <c r="I32" s="300">
        <f>FSA!I32/FSA!I$38</f>
        <v/>
      </c>
      <c r="J32" s="300">
        <f>FSA!J32/FSA!J$38</f>
        <v/>
      </c>
    </row>
    <row r="33">
      <c r="A33" s="237" t="inlineStr">
        <is>
          <t>Prepaid Expenses</t>
        </is>
      </c>
      <c r="C33" s="300">
        <f>FSA!C33/FSA!C$38</f>
        <v/>
      </c>
      <c r="D33" s="300">
        <f>FSA!D33/FSA!D$38</f>
        <v/>
      </c>
      <c r="E33" s="300">
        <f>FSA!E33/FSA!E$38</f>
        <v/>
      </c>
      <c r="F33" s="300">
        <f>FSA!F33/FSA!F$38</f>
        <v/>
      </c>
      <c r="G33" s="300">
        <f>FSA!G33/FSA!G$38</f>
        <v/>
      </c>
      <c r="H33" s="300">
        <f>FSA!H33/FSA!H$38</f>
        <v/>
      </c>
      <c r="I33" s="300">
        <f>FSA!I33/FSA!I$38</f>
        <v/>
      </c>
      <c r="J33" s="300">
        <f>FSA!J33/FSA!J$38</f>
        <v/>
      </c>
    </row>
    <row r="34">
      <c r="A34" s="367" t="inlineStr">
        <is>
          <t>Other debtors and other assets</t>
        </is>
      </c>
      <c r="B34" s="367" t="n"/>
      <c r="C34" s="300">
        <f>FSA!C34/FSA!C$38</f>
        <v/>
      </c>
      <c r="D34" s="300">
        <f>FSA!D34/FSA!D$38</f>
        <v/>
      </c>
      <c r="E34" s="300">
        <f>FSA!E34/FSA!E$38</f>
        <v/>
      </c>
      <c r="F34" s="300">
        <f>FSA!F34/FSA!F$38</f>
        <v/>
      </c>
      <c r="G34" s="300">
        <f>FSA!G34/FSA!G$38</f>
        <v/>
      </c>
      <c r="H34" s="300">
        <f>FSA!H34/FSA!H$38</f>
        <v/>
      </c>
      <c r="I34" s="300">
        <f>FSA!I34/FSA!I$38</f>
        <v/>
      </c>
      <c r="J34" s="300">
        <f>FSA!J34/FSA!J$38</f>
        <v/>
      </c>
      <c r="L34" s="382" t="n"/>
    </row>
    <row r="35">
      <c r="A35" s="355" t="inlineStr">
        <is>
          <t>Investments and assets for sale</t>
        </is>
      </c>
      <c r="B35" s="381" t="n"/>
      <c r="C35" s="300">
        <f>FSA!C35/FSA!C$38</f>
        <v/>
      </c>
      <c r="D35" s="300">
        <f>FSA!D35/FSA!D$38</f>
        <v/>
      </c>
      <c r="E35" s="300">
        <f>FSA!E35/FSA!E$38</f>
        <v/>
      </c>
      <c r="F35" s="300">
        <f>FSA!F35/FSA!F$38</f>
        <v/>
      </c>
      <c r="G35" s="300">
        <f>FSA!G35/FSA!G$38</f>
        <v/>
      </c>
      <c r="H35" s="300">
        <f>FSA!H35/FSA!H$38</f>
        <v/>
      </c>
      <c r="I35" s="300">
        <f>FSA!I35/FSA!I$38</f>
        <v/>
      </c>
      <c r="J35" s="300">
        <f>FSA!J35/FSA!J$38</f>
        <v/>
      </c>
      <c r="L35" s="252" t="n"/>
    </row>
    <row r="36">
      <c r="A36" s="355" t="inlineStr">
        <is>
          <t>Net Fixed Assets</t>
        </is>
      </c>
      <c r="B36" s="367" t="n"/>
      <c r="C36" s="300">
        <f>FSA!C36/FSA!C$38</f>
        <v/>
      </c>
      <c r="D36" s="300">
        <f>FSA!D36/FSA!D$38</f>
        <v/>
      </c>
      <c r="E36" s="300">
        <f>FSA!E36/FSA!E$38</f>
        <v/>
      </c>
      <c r="F36" s="300">
        <f>FSA!F36/FSA!F$38</f>
        <v/>
      </c>
      <c r="G36" s="300">
        <f>FSA!G36/FSA!G$38</f>
        <v/>
      </c>
      <c r="H36" s="300">
        <f>FSA!H36/FSA!H$38</f>
        <v/>
      </c>
      <c r="I36" s="300">
        <f>FSA!I36/FSA!I$38</f>
        <v/>
      </c>
      <c r="J36" s="300">
        <f>FSA!J36/FSA!J$38</f>
        <v/>
      </c>
    </row>
    <row r="37">
      <c r="A37" s="367" t="inlineStr">
        <is>
          <t>Intangible Assets</t>
        </is>
      </c>
      <c r="B37" s="367" t="n"/>
      <c r="C37" s="300">
        <f>FSA!C37/FSA!C$38</f>
        <v/>
      </c>
      <c r="D37" s="300">
        <f>FSA!D37/FSA!D$38</f>
        <v/>
      </c>
      <c r="E37" s="300">
        <f>FSA!E37/FSA!E$38</f>
        <v/>
      </c>
      <c r="F37" s="300">
        <f>FSA!F37/FSA!F$38</f>
        <v/>
      </c>
      <c r="G37" s="300">
        <f>FSA!G37/FSA!G$38</f>
        <v/>
      </c>
      <c r="H37" s="300">
        <f>FSA!H37/FSA!H$38</f>
        <v/>
      </c>
      <c r="I37" s="300">
        <f>FSA!I37/FSA!I$38</f>
        <v/>
      </c>
      <c r="J37" s="300">
        <f>FSA!J37/FSA!J$38</f>
        <v/>
      </c>
    </row>
    <row r="38">
      <c r="A38" s="354" t="inlineStr">
        <is>
          <t>Assets</t>
        </is>
      </c>
      <c r="B38" s="354" t="n"/>
      <c r="C38" s="316">
        <f>FSA!C38/FSA!C$38</f>
        <v/>
      </c>
      <c r="D38" s="316">
        <f>FSA!D38/FSA!D$38</f>
        <v/>
      </c>
      <c r="E38" s="316">
        <f>FSA!E38/FSA!E$38</f>
        <v/>
      </c>
      <c r="F38" s="316">
        <f>FSA!F38/FSA!F$38</f>
        <v/>
      </c>
      <c r="G38" s="316">
        <f>FSA!G38/FSA!G$38</f>
        <v/>
      </c>
      <c r="H38" s="316">
        <f>FSA!H38/FSA!H$38</f>
        <v/>
      </c>
      <c r="I38" s="316">
        <f>FSA!I38/FSA!I$38</f>
        <v/>
      </c>
      <c r="J38" s="316">
        <f>FSA!J38/FSA!J$38</f>
        <v/>
      </c>
    </row>
    <row r="39">
      <c r="A39" s="354" t="n"/>
      <c r="B39" s="354" t="n"/>
      <c r="C39" s="387" t="n"/>
      <c r="D39" s="387" t="n"/>
      <c r="E39" s="387" t="n"/>
      <c r="F39" s="387" t="n"/>
      <c r="G39" s="387" t="n"/>
      <c r="H39" s="387" t="n"/>
      <c r="I39" s="387" t="n"/>
      <c r="J39" s="387" t="n"/>
    </row>
    <row r="40">
      <c r="A40" s="367" t="inlineStr">
        <is>
          <t>Trade Creditors (Accounts Payable)</t>
        </is>
      </c>
      <c r="B40" s="367" t="n"/>
      <c r="C40" s="300">
        <f>FSA!C40/FSA!C$55</f>
        <v/>
      </c>
      <c r="D40" s="300">
        <f>FSA!D40/FSA!D$55</f>
        <v/>
      </c>
      <c r="E40" s="300">
        <f>FSA!E40/FSA!E$55</f>
        <v/>
      </c>
      <c r="F40" s="300">
        <f>FSA!F40/FSA!F$55</f>
        <v/>
      </c>
      <c r="G40" s="300">
        <f>FSA!G40/FSA!G$55</f>
        <v/>
      </c>
      <c r="H40" s="300">
        <f>FSA!H40/FSA!H$55</f>
        <v/>
      </c>
      <c r="I40" s="300">
        <f>FSA!I40/FSA!I$55</f>
        <v/>
      </c>
      <c r="J40" s="300">
        <f>FSA!J40/FSA!J$55</f>
        <v/>
      </c>
    </row>
    <row r="41">
      <c r="A41" s="367" t="inlineStr">
        <is>
          <t>Accrued Expenses</t>
        </is>
      </c>
      <c r="B41" s="367" t="n"/>
      <c r="C41" s="300">
        <f>FSA!C41/FSA!C$55</f>
        <v/>
      </c>
      <c r="D41" s="300">
        <f>FSA!D41/FSA!D$55</f>
        <v/>
      </c>
      <c r="E41" s="300">
        <f>FSA!E41/FSA!E$55</f>
        <v/>
      </c>
      <c r="F41" s="300">
        <f>FSA!F41/FSA!F$55</f>
        <v/>
      </c>
      <c r="G41" s="300">
        <f>FSA!G41/FSA!G$55</f>
        <v/>
      </c>
      <c r="H41" s="300">
        <f>FSA!H41/FSA!H$55</f>
        <v/>
      </c>
      <c r="I41" s="300">
        <f>FSA!I41/FSA!I$55</f>
        <v/>
      </c>
      <c r="J41" s="300">
        <f>FSA!J41/FSA!J$55</f>
        <v/>
      </c>
    </row>
    <row r="42">
      <c r="A42" s="367" t="inlineStr">
        <is>
          <t>Customers advances</t>
        </is>
      </c>
      <c r="C42" s="300">
        <f>FSA!C42/FSA!C$55</f>
        <v/>
      </c>
      <c r="D42" s="300">
        <f>FSA!D42/FSA!D$55</f>
        <v/>
      </c>
      <c r="E42" s="300">
        <f>FSA!E42/FSA!E$55</f>
        <v/>
      </c>
      <c r="F42" s="300">
        <f>FSA!F42/FSA!F$55</f>
        <v/>
      </c>
      <c r="G42" s="300">
        <f>FSA!G42/FSA!G$55</f>
        <v/>
      </c>
      <c r="H42" s="300">
        <f>FSA!H42/FSA!H$55</f>
        <v/>
      </c>
      <c r="I42" s="300">
        <f>FSA!I42/FSA!I$55</f>
        <v/>
      </c>
      <c r="J42" s="300">
        <f>FSA!J42/FSA!J$55</f>
        <v/>
      </c>
    </row>
    <row r="43">
      <c r="A43" s="367" t="inlineStr">
        <is>
          <t>Short-term Deferred Income</t>
        </is>
      </c>
      <c r="C43" s="300">
        <f>FSA!C43/FSA!C$55</f>
        <v/>
      </c>
      <c r="D43" s="300">
        <f>FSA!D43/FSA!D$55</f>
        <v/>
      </c>
      <c r="E43" s="300">
        <f>FSA!E43/FSA!E$55</f>
        <v/>
      </c>
      <c r="F43" s="300">
        <f>FSA!F43/FSA!F$55</f>
        <v/>
      </c>
      <c r="G43" s="300">
        <f>FSA!G43/FSA!G$55</f>
        <v/>
      </c>
      <c r="H43" s="300">
        <f>FSA!H43/FSA!H$55</f>
        <v/>
      </c>
      <c r="I43" s="300">
        <f>FSA!I43/FSA!I$55</f>
        <v/>
      </c>
      <c r="J43" s="300">
        <f>FSA!J43/FSA!J$55</f>
        <v/>
      </c>
    </row>
    <row r="44">
      <c r="A44" s="367" t="inlineStr">
        <is>
          <t>Other Creditors and Provisions</t>
        </is>
      </c>
      <c r="B44" s="367" t="n"/>
      <c r="C44" s="300">
        <f>FSA!C44/FSA!C$55</f>
        <v/>
      </c>
      <c r="D44" s="300">
        <f>FSA!D44/FSA!D$55</f>
        <v/>
      </c>
      <c r="E44" s="300">
        <f>FSA!E44/FSA!E$55</f>
        <v/>
      </c>
      <c r="F44" s="300">
        <f>FSA!F44/FSA!F$55</f>
        <v/>
      </c>
      <c r="G44" s="300">
        <f>FSA!G44/FSA!G$55</f>
        <v/>
      </c>
      <c r="H44" s="300">
        <f>FSA!H44/FSA!H$55</f>
        <v/>
      </c>
      <c r="I44" s="300">
        <f>FSA!I44/FSA!I$55</f>
        <v/>
      </c>
      <c r="J44" s="300">
        <f>FSA!J44/FSA!J$55</f>
        <v/>
      </c>
    </row>
    <row r="45">
      <c r="A45" s="367" t="inlineStr">
        <is>
          <t>Tax Payable</t>
        </is>
      </c>
      <c r="B45" s="367" t="n"/>
      <c r="C45" s="300">
        <f>FSA!C45/FSA!C$55</f>
        <v/>
      </c>
      <c r="D45" s="300">
        <f>FSA!D45/FSA!D$55</f>
        <v/>
      </c>
      <c r="E45" s="300">
        <f>FSA!E45/FSA!E$55</f>
        <v/>
      </c>
      <c r="F45" s="300">
        <f>FSA!F45/FSA!F$55</f>
        <v/>
      </c>
      <c r="G45" s="300">
        <f>FSA!G45/FSA!G$55</f>
        <v/>
      </c>
      <c r="H45" s="300">
        <f>FSA!H45/FSA!H$55</f>
        <v/>
      </c>
      <c r="I45" s="300">
        <f>FSA!I45/FSA!I$55</f>
        <v/>
      </c>
      <c r="J45" s="300">
        <f>FSA!J45/FSA!J$55</f>
        <v/>
      </c>
    </row>
    <row r="46">
      <c r="A46" s="367" t="inlineStr">
        <is>
          <t>Short Term Debt*</t>
        </is>
      </c>
      <c r="B46" s="367" t="n"/>
      <c r="C46" s="300">
        <f>FSA!C46/FSA!C$55</f>
        <v/>
      </c>
      <c r="D46" s="300">
        <f>FSA!D46/FSA!D$55</f>
        <v/>
      </c>
      <c r="E46" s="300">
        <f>FSA!E46/FSA!E$55</f>
        <v/>
      </c>
      <c r="F46" s="300">
        <f>FSA!F46/FSA!F$55</f>
        <v/>
      </c>
      <c r="G46" s="300">
        <f>FSA!G46/FSA!G$55</f>
        <v/>
      </c>
      <c r="H46" s="300">
        <f>FSA!H46/FSA!H$55</f>
        <v/>
      </c>
      <c r="I46" s="300">
        <f>FSA!I46/FSA!I$55</f>
        <v/>
      </c>
      <c r="J46" s="300">
        <f>FSA!J46/FSA!J$55</f>
        <v/>
      </c>
      <c r="K46" s="382" t="n"/>
    </row>
    <row r="47">
      <c r="A47" s="367" t="inlineStr">
        <is>
          <t>Existing Long Term Debt and Financial Leases</t>
        </is>
      </c>
      <c r="B47" s="367" t="n"/>
      <c r="C47" s="300">
        <f>FSA!C47/FSA!C$55</f>
        <v/>
      </c>
      <c r="D47" s="300">
        <f>FSA!D47/FSA!D$55</f>
        <v/>
      </c>
      <c r="E47" s="300">
        <f>FSA!E47/FSA!E$55</f>
        <v/>
      </c>
      <c r="F47" s="300">
        <f>FSA!F47/FSA!F$55</f>
        <v/>
      </c>
      <c r="G47" s="300">
        <f>FSA!G47/FSA!G$55</f>
        <v/>
      </c>
      <c r="H47" s="300">
        <f>FSA!H47/FSA!H$55</f>
        <v/>
      </c>
      <c r="I47" s="300">
        <f>FSA!I47/FSA!I$55</f>
        <v/>
      </c>
      <c r="J47" s="300">
        <f>FSA!J47/FSA!J$55</f>
        <v/>
      </c>
    </row>
    <row r="48">
      <c r="A48" s="354" t="inlineStr">
        <is>
          <t>Total Debt</t>
        </is>
      </c>
      <c r="B48" s="354" t="n"/>
      <c r="C48" s="300">
        <f>FSA!C48/FSA!C$55</f>
        <v/>
      </c>
      <c r="D48" s="300">
        <f>FSA!D48/FSA!D$55</f>
        <v/>
      </c>
      <c r="E48" s="300">
        <f>FSA!E48/FSA!E$55</f>
        <v/>
      </c>
      <c r="F48" s="300">
        <f>FSA!F48/FSA!F$55</f>
        <v/>
      </c>
      <c r="G48" s="300">
        <f>FSA!G48/FSA!G$55</f>
        <v/>
      </c>
      <c r="H48" s="300">
        <f>FSA!H48/FSA!H$55</f>
        <v/>
      </c>
      <c r="I48" s="300">
        <f>FSA!I48/FSA!I$55</f>
        <v/>
      </c>
      <c r="J48" s="300">
        <f>FSA!J48/FSA!J$55</f>
        <v/>
      </c>
    </row>
    <row r="49">
      <c r="A49" s="354" t="inlineStr">
        <is>
          <t>Total Liabilities</t>
        </is>
      </c>
      <c r="B49" s="354" t="n"/>
      <c r="C49" s="300">
        <f>FSA!C49/FSA!C$55</f>
        <v/>
      </c>
      <c r="D49" s="300">
        <f>FSA!D49/FSA!D$55</f>
        <v/>
      </c>
      <c r="E49" s="300">
        <f>FSA!E49/FSA!E$55</f>
        <v/>
      </c>
      <c r="F49" s="300">
        <f>FSA!F49/FSA!F$55</f>
        <v/>
      </c>
      <c r="G49" s="300">
        <f>FSA!G49/FSA!G$55</f>
        <v/>
      </c>
      <c r="H49" s="300">
        <f>FSA!H49/FSA!H$55</f>
        <v/>
      </c>
      <c r="I49" s="300">
        <f>FSA!I49/FSA!I$55</f>
        <v/>
      </c>
      <c r="J49" s="300">
        <f>FSA!J49/FSA!J$55</f>
        <v/>
      </c>
    </row>
    <row r="50">
      <c r="C50" s="300">
        <f>FSA!C50/FSA!C$55</f>
        <v/>
      </c>
      <c r="D50" s="300">
        <f>FSA!D50/FSA!D$55</f>
        <v/>
      </c>
      <c r="E50" s="300">
        <f>FSA!E50/FSA!E$55</f>
        <v/>
      </c>
      <c r="F50" s="300">
        <f>FSA!F50/FSA!F$55</f>
        <v/>
      </c>
      <c r="G50" s="300">
        <f>FSA!G50/FSA!G$55</f>
        <v/>
      </c>
      <c r="H50" s="300">
        <f>FSA!H50/FSA!H$55</f>
        <v/>
      </c>
      <c r="I50" s="300">
        <f>FSA!I50/FSA!I$55</f>
        <v/>
      </c>
      <c r="J50" s="300">
        <f>FSA!J50/FSA!J$55</f>
        <v/>
      </c>
    </row>
    <row r="51">
      <c r="A51" s="367" t="inlineStr">
        <is>
          <t>Share Capital and Reserves</t>
        </is>
      </c>
      <c r="B51" s="367" t="n"/>
      <c r="C51" s="300">
        <f>FSA!C51/FSA!C$55</f>
        <v/>
      </c>
      <c r="D51" s="300">
        <f>FSA!D51/FSA!D$55</f>
        <v/>
      </c>
      <c r="E51" s="300">
        <f>FSA!E51/FSA!E$55</f>
        <v/>
      </c>
      <c r="F51" s="300">
        <f>FSA!F51/FSA!F$55</f>
        <v/>
      </c>
      <c r="G51" s="300">
        <f>FSA!G51/FSA!G$55</f>
        <v/>
      </c>
      <c r="H51" s="300">
        <f>FSA!H51/FSA!H$55</f>
        <v/>
      </c>
      <c r="I51" s="300">
        <f>FSA!I51/FSA!I$55</f>
        <v/>
      </c>
      <c r="J51" s="300">
        <f>FSA!J51/FSA!J$55</f>
        <v/>
      </c>
    </row>
    <row r="52">
      <c r="A52" s="367" t="inlineStr">
        <is>
          <t>Retained Earnings</t>
        </is>
      </c>
      <c r="B52" s="367" t="n"/>
      <c r="C52" s="300">
        <f>FSA!C52/FSA!C$55</f>
        <v/>
      </c>
      <c r="D52" s="300">
        <f>FSA!D52/FSA!D$55</f>
        <v/>
      </c>
      <c r="E52" s="300">
        <f>FSA!E52/FSA!E$55</f>
        <v/>
      </c>
      <c r="F52" s="300">
        <f>FSA!F52/FSA!F$55</f>
        <v/>
      </c>
      <c r="G52" s="300">
        <f>FSA!G52/FSA!G$55</f>
        <v/>
      </c>
      <c r="H52" s="300">
        <f>FSA!H52/FSA!H$55</f>
        <v/>
      </c>
      <c r="I52" s="300">
        <f>FSA!I52/FSA!I$55</f>
        <v/>
      </c>
      <c r="J52" s="300">
        <f>FSA!J52/FSA!J$55</f>
        <v/>
      </c>
    </row>
    <row r="53">
      <c r="A53" s="355" t="inlineStr">
        <is>
          <t>Minority Interest</t>
        </is>
      </c>
      <c r="B53" s="355" t="n"/>
      <c r="C53" s="300">
        <f>FSA!C53/FSA!C$55</f>
        <v/>
      </c>
      <c r="D53" s="300">
        <f>FSA!D53/FSA!D$55</f>
        <v/>
      </c>
      <c r="E53" s="300">
        <f>FSA!E53/FSA!E$55</f>
        <v/>
      </c>
      <c r="F53" s="300">
        <f>FSA!F53/FSA!F$55</f>
        <v/>
      </c>
      <c r="G53" s="300">
        <f>FSA!G53/FSA!G$55</f>
        <v/>
      </c>
      <c r="H53" s="300">
        <f>FSA!H53/FSA!H$55</f>
        <v/>
      </c>
      <c r="I53" s="300">
        <f>FSA!I53/FSA!I$55</f>
        <v/>
      </c>
      <c r="J53" s="300">
        <f>FSA!J53/FSA!J$55</f>
        <v/>
      </c>
    </row>
    <row r="54">
      <c r="A54" s="298" t="inlineStr">
        <is>
          <t>Total Equity</t>
        </is>
      </c>
      <c r="C54" s="300">
        <f>FSA!C54/FSA!C$55</f>
        <v/>
      </c>
      <c r="D54" s="300">
        <f>FSA!D54/FSA!D$55</f>
        <v/>
      </c>
      <c r="E54" s="300">
        <f>FSA!E54/FSA!E$55</f>
        <v/>
      </c>
      <c r="F54" s="300">
        <f>FSA!F54/FSA!F$55</f>
        <v/>
      </c>
      <c r="G54" s="300">
        <f>FSA!G54/FSA!G$55</f>
        <v/>
      </c>
      <c r="H54" s="300">
        <f>FSA!H54/FSA!H$55</f>
        <v/>
      </c>
      <c r="I54" s="300">
        <f>FSA!I54/FSA!I$55</f>
        <v/>
      </c>
      <c r="J54" s="300">
        <f>FSA!J54/FSA!J$55</f>
        <v/>
      </c>
    </row>
    <row r="55">
      <c r="A55" s="354" t="inlineStr">
        <is>
          <t>Liabilities and Equity</t>
        </is>
      </c>
      <c r="B55" s="354" t="n"/>
      <c r="C55" s="316">
        <f>FSA!C55/FSA!C$55</f>
        <v/>
      </c>
      <c r="D55" s="316">
        <f>FSA!D55/FSA!D$55</f>
        <v/>
      </c>
      <c r="E55" s="316">
        <f>FSA!E55/FSA!E$55</f>
        <v/>
      </c>
      <c r="F55" s="316">
        <f>FSA!F55/FSA!F$55</f>
        <v/>
      </c>
      <c r="G55" s="316">
        <f>FSA!G55/FSA!G$55</f>
        <v/>
      </c>
      <c r="H55" s="316">
        <f>FSA!H55/FSA!H$55</f>
        <v/>
      </c>
      <c r="I55" s="316">
        <f>FSA!I55/FSA!I$55</f>
        <v/>
      </c>
      <c r="J55" s="316">
        <f>FSA!J55/FSA!J$55</f>
        <v/>
      </c>
    </row>
    <row r="56">
      <c r="A56" s="369" t="n"/>
      <c r="B56" s="369" t="n"/>
      <c r="C56" s="318" t="n"/>
      <c r="D56" s="318" t="n"/>
      <c r="E56" s="318" t="n"/>
      <c r="F56" s="318" t="n"/>
      <c r="G56" s="318" t="n"/>
      <c r="H56" s="318" t="n"/>
      <c r="I56" s="318" t="n"/>
      <c r="J56" s="318" t="n"/>
    </row>
    <row r="57">
      <c r="C57" s="295" t="n"/>
      <c r="D57" s="295" t="n"/>
      <c r="E57" s="295" t="n"/>
      <c r="F57" s="295" t="n"/>
      <c r="G57" s="295" t="n"/>
      <c r="H57" s="295" t="n"/>
      <c r="I57" s="295" t="n"/>
      <c r="J57" s="295" t="n"/>
    </row>
    <row r="58">
      <c r="A58" s="392" t="inlineStr">
        <is>
          <t>* Including Current Portion of Long Term Debt</t>
        </is>
      </c>
      <c r="B58" s="393" t="n"/>
      <c r="C58" s="300">
        <f>FSA!C58/FSA!C$55</f>
        <v/>
      </c>
      <c r="D58" s="300">
        <f>FSA!D58/FSA!D$55</f>
        <v/>
      </c>
      <c r="E58" s="300">
        <f>FSA!E58/FSA!E$55</f>
        <v/>
      </c>
      <c r="F58" s="300">
        <f>FSA!F58/FSA!F$55</f>
        <v/>
      </c>
      <c r="G58" s="300">
        <f>FSA!G58/FSA!G$55</f>
        <v/>
      </c>
      <c r="H58" s="300">
        <f>FSA!H58/FSA!H$55</f>
        <v/>
      </c>
      <c r="I58" s="300">
        <f>FSA!I58/FSA!I$55</f>
        <v/>
      </c>
      <c r="J58" s="300">
        <f>FSA!J58/FSA!J$55</f>
        <v/>
      </c>
    </row>
    <row r="59">
      <c r="A59" s="237" t="inlineStr">
        <is>
          <t xml:space="preserve"># including Stockpiled Inventory (non-current) </t>
        </is>
      </c>
      <c r="C59" s="381" t="n"/>
      <c r="D59" s="381" t="n"/>
      <c r="E59" s="381" t="n"/>
      <c r="F59" s="381" t="n"/>
      <c r="H59" s="381" t="n"/>
      <c r="I59" s="381" t="n"/>
      <c r="J59" s="381" t="n"/>
    </row>
    <row r="60">
      <c r="B60" s="394" t="n"/>
      <c r="C60" s="308" t="n"/>
      <c r="D60" s="308" t="n"/>
      <c r="E60" s="308" t="n"/>
      <c r="F60" s="308" t="n"/>
      <c r="G60" s="308" t="n"/>
      <c r="H60" s="308" t="n"/>
      <c r="I60" s="308" t="n"/>
      <c r="J60" s="308" t="n"/>
    </row>
    <row r="61">
      <c r="B61" s="394" t="n"/>
      <c r="C61" s="308" t="n"/>
      <c r="D61" s="308" t="n"/>
      <c r="E61" s="308" t="n"/>
      <c r="F61" s="308" t="n"/>
      <c r="G61" s="308" t="n"/>
      <c r="H61" s="308" t="n"/>
      <c r="I61" s="308" t="n"/>
      <c r="J61" s="308" t="n"/>
    </row>
    <row r="62">
      <c r="B62" s="394" t="n"/>
      <c r="C62" s="308" t="n"/>
      <c r="D62" s="308" t="n"/>
      <c r="E62" s="308" t="n"/>
      <c r="F62" s="308" t="n"/>
      <c r="G62" s="308" t="n"/>
      <c r="H62" s="308" t="n"/>
      <c r="I62" s="308" t="n"/>
      <c r="J62" s="308" t="n"/>
    </row>
    <row r="63">
      <c r="B63" s="394" t="n"/>
      <c r="C63" s="308" t="n"/>
      <c r="D63" s="308" t="n"/>
      <c r="E63" s="308" t="n"/>
      <c r="F63" s="308" t="n"/>
      <c r="G63" s="308" t="n"/>
      <c r="H63" s="308" t="n"/>
      <c r="I63" s="308" t="n"/>
      <c r="J63" s="308" t="n"/>
    </row>
    <row r="64">
      <c r="B64" s="394" t="n"/>
      <c r="C64" s="242" t="n"/>
      <c r="D64" s="242" t="n"/>
      <c r="E64" s="242" t="n"/>
      <c r="F64" s="309" t="n"/>
      <c r="G64" s="309" t="n"/>
      <c r="H64" s="309" t="n"/>
      <c r="I64" s="309" t="n"/>
      <c r="J64" s="309" t="n"/>
    </row>
    <row r="65">
      <c r="B65" s="242" t="n"/>
    </row>
    <row r="66">
      <c r="B66" s="242" t="n"/>
    </row>
    <row r="67">
      <c r="B67" s="242" t="n"/>
    </row>
    <row r="68">
      <c r="B68" s="242" t="n"/>
    </row>
    <row r="69">
      <c r="A69" s="313" t="n"/>
      <c r="G69" s="382" t="n"/>
      <c r="H69" s="382" t="n"/>
      <c r="I69" s="382" t="n"/>
      <c r="J69" s="382" t="n"/>
    </row>
    <row r="76" customFormat="1" s="262">
      <c r="K76" s="237" t="n"/>
    </row>
    <row r="77" customFormat="1" s="262">
      <c r="K77" s="237" t="n"/>
    </row>
    <row r="78" customFormat="1" s="262"/>
    <row r="79" customFormat="1" s="262"/>
    <row r="80" customFormat="1" s="262"/>
    <row r="81" customFormat="1" s="253">
      <c r="K81" s="262" t="n"/>
    </row>
    <row r="82" customFormat="1" s="253"/>
    <row r="83" customFormat="1" s="253"/>
    <row r="84" customFormat="1" s="262">
      <c r="K84" s="253" t="n"/>
    </row>
    <row r="85" customFormat="1" s="262"/>
    <row r="86" customFormat="1" s="262"/>
    <row r="87" customFormat="1" s="262"/>
    <row r="88" customFormat="1" s="262"/>
    <row r="89" customFormat="1" s="262"/>
    <row r="90" customFormat="1" s="262"/>
    <row r="91" customFormat="1" s="262"/>
    <row r="92">
      <c r="K92" s="262" t="n"/>
    </row>
  </sheetData>
  <conditionalFormatting sqref="C29:J37">
    <cfRule type="aboveAverage" priority="2" dxfId="0"/>
  </conditionalFormatting>
  <conditionalFormatting sqref="C40:J47 C54:J54">
    <cfRule type="aboveAverage" priority="1" dxfId="0"/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F25" sqref="F25"/>
    </sheetView>
  </sheetViews>
  <sheetFormatPr baseColWidth="8" defaultColWidth="11.44140625" defaultRowHeight="14.4" outlineLevelCol="0"/>
  <cols>
    <col width="41.88671875" customWidth="1" style="337" min="1" max="1"/>
    <col width="32.109375" customWidth="1" style="337" min="2" max="2"/>
  </cols>
  <sheetData>
    <row r="1">
      <c r="A1" s="191" t="inlineStr">
        <is>
          <t>Giả định</t>
        </is>
      </c>
    </row>
    <row r="2">
      <c r="A2" s="352" t="inlineStr">
        <is>
          <t>VÒNG QUAY KHOẢN MỤC TÀI SẢN LƯU ĐỘNG</t>
        </is>
      </c>
      <c r="B2" s="446" t="n"/>
      <c r="C2" s="446" t="n"/>
      <c r="D2" s="446" t="n"/>
      <c r="E2" s="446" t="n"/>
      <c r="F2" s="446" t="n"/>
      <c r="G2" s="446" t="n"/>
      <c r="H2" s="446" t="n"/>
      <c r="I2" s="446" t="n"/>
    </row>
    <row r="3">
      <c r="A3" s="191" t="n"/>
      <c r="B3" s="192" t="n"/>
      <c r="C3" s="192" t="n"/>
    </row>
    <row r="4">
      <c r="A4" s="193" t="inlineStr">
        <is>
          <t>III. Activity Ratios</t>
        </is>
      </c>
      <c r="B4" s="193" t="inlineStr">
        <is>
          <t>III. Khả năng hoạt động</t>
        </is>
      </c>
      <c r="C4" s="194" t="n"/>
      <c r="D4" s="447" t="n">
        <v>2020</v>
      </c>
      <c r="E4" s="447" t="n">
        <v>2021</v>
      </c>
      <c r="F4" s="447" t="n">
        <v>2022</v>
      </c>
      <c r="G4" s="447" t="n">
        <v>2023</v>
      </c>
      <c r="H4" s="447" t="n">
        <v>2024</v>
      </c>
      <c r="I4" s="447" t="n">
        <v>2025</v>
      </c>
    </row>
    <row r="5" ht="15.6" customHeight="1" s="337">
      <c r="A5" s="405" t="inlineStr">
        <is>
          <t>Trade Debtors days on hand</t>
        </is>
      </c>
      <c r="B5" s="448" t="inlineStr">
        <is>
          <t>Ngày Phải thu</t>
        </is>
      </c>
      <c r="C5" s="448" t="n"/>
      <c r="D5" s="449" t="n"/>
      <c r="E5" s="449" t="n"/>
      <c r="F5" s="449" t="n"/>
      <c r="G5" s="450" t="n">
        <v>37.35093596407789</v>
      </c>
      <c r="H5" s="450" t="n">
        <v>32.3509359640779</v>
      </c>
      <c r="I5" s="450" t="n">
        <v>30.3509359640779</v>
      </c>
    </row>
    <row r="6" ht="15.6" customHeight="1" s="337">
      <c r="A6" s="448" t="inlineStr">
        <is>
          <t>Prepayment to Suppliers days</t>
        </is>
      </c>
      <c r="B6" s="448" t="inlineStr">
        <is>
          <t>Số ngày trả trước nhà cung cấp</t>
        </is>
      </c>
      <c r="C6" s="448" t="n"/>
      <c r="D6" s="449" t="n">
        <v>80.51109213091809</v>
      </c>
      <c r="E6" s="449" t="n">
        <v>86.68640971951798</v>
      </c>
      <c r="F6" s="449" t="n">
        <v>95.79587514380971</v>
      </c>
      <c r="G6" s="450">
        <f>AVERAGE(D6:F6)</f>
        <v/>
      </c>
      <c r="H6" s="450">
        <f>G6</f>
        <v/>
      </c>
      <c r="I6" s="450">
        <f>H6</f>
        <v/>
      </c>
    </row>
    <row r="7" ht="15.6" customHeight="1" s="337">
      <c r="A7" s="448" t="inlineStr">
        <is>
          <t>Days Inventory Outstading</t>
        </is>
      </c>
      <c r="B7" s="448" t="inlineStr">
        <is>
          <t>Ngày Tồn kho</t>
        </is>
      </c>
      <c r="C7" s="448" t="n"/>
      <c r="D7" s="449" t="n"/>
      <c r="E7" s="449" t="n"/>
      <c r="F7" s="449" t="n"/>
      <c r="G7" s="450" t="n">
        <v>80.0437244702948</v>
      </c>
      <c r="H7" s="450" t="n">
        <v>70.04372447029482</v>
      </c>
      <c r="I7" s="450" t="n">
        <v>67.0437244702948</v>
      </c>
    </row>
    <row r="8" ht="15.6" customHeight="1" s="337">
      <c r="A8" s="405" t="inlineStr">
        <is>
          <t>Payable Days</t>
        </is>
      </c>
      <c r="B8" s="448" t="n"/>
      <c r="C8" s="448" t="n"/>
      <c r="D8" s="449" t="n"/>
      <c r="E8" s="449" t="n"/>
      <c r="F8" s="449" t="n"/>
      <c r="G8" s="450" t="n">
        <v>27.3509359640779</v>
      </c>
      <c r="H8" s="450" t="n">
        <v>25.3509359640779</v>
      </c>
      <c r="I8" s="450" t="n">
        <v>25.3509359640779</v>
      </c>
    </row>
    <row r="9" ht="15.6" customHeight="1" s="337">
      <c r="A9" s="448" t="inlineStr">
        <is>
          <t>Customer advances, Defferred Income days</t>
        </is>
      </c>
      <c r="B9" s="448" t="inlineStr">
        <is>
          <t>Số ngày khách hàng trả trước</t>
        </is>
      </c>
      <c r="C9" s="448" t="n"/>
      <c r="D9" s="449" t="n">
        <v>4.297301749139148</v>
      </c>
      <c r="E9" s="449" t="n">
        <v>12.3637659642953</v>
      </c>
      <c r="F9" s="449" t="n">
        <v>25.4048296020589</v>
      </c>
      <c r="G9" s="199">
        <f>AVERAGE(D9:F9)</f>
        <v/>
      </c>
      <c r="H9" s="199">
        <f>G9</f>
        <v/>
      </c>
      <c r="I9" s="199">
        <f>H9</f>
        <v/>
      </c>
    </row>
    <row r="10" ht="15" customHeight="1" s="337" thickBot="1"/>
    <row r="11">
      <c r="A11" s="200" t="inlineStr">
        <is>
          <t>Current accounts receivables</t>
        </is>
      </c>
      <c r="B11" s="201" t="inlineStr">
        <is>
          <t xml:space="preserve">Các khoản phải thu ngắn hạn    </t>
        </is>
      </c>
      <c r="C11" s="451" t="inlineStr">
        <is>
          <t>MVND</t>
        </is>
      </c>
      <c r="D11" s="452" t="n">
        <v>5447159.0785</v>
      </c>
      <c r="E11" s="452" t="n">
        <v>6219459.439415999</v>
      </c>
      <c r="F11" s="452" t="n">
        <v>8661533.528748</v>
      </c>
      <c r="G11" s="451" t="n">
        <v>7428067.359407936</v>
      </c>
      <c r="H11" s="451" t="n">
        <v>7837952.20122603</v>
      </c>
      <c r="I11" s="453" t="n">
        <v>8286718.221345834</v>
      </c>
    </row>
    <row r="12">
      <c r="A12" s="454" t="inlineStr">
        <is>
          <t>Trade Debtors (Accounts Receivable)</t>
        </is>
      </c>
      <c r="B12" s="206" t="n"/>
      <c r="C12" s="455" t="n"/>
      <c r="D12" s="456" t="n">
        <v>1026527</v>
      </c>
      <c r="E12" s="456" t="n">
        <v>1439713</v>
      </c>
      <c r="F12" s="456" t="n">
        <v>2264315</v>
      </c>
      <c r="G12" s="455">
        <f>G5/365*K44*2-F12</f>
        <v/>
      </c>
      <c r="H12" s="455">
        <f>H5/365*L44*2-G12</f>
        <v/>
      </c>
      <c r="I12" s="457">
        <f>I5/365*M44*2-H12</f>
        <v/>
      </c>
    </row>
    <row r="13" ht="15.6" customHeight="1" s="337">
      <c r="A13" s="209" t="inlineStr">
        <is>
          <t>Prepayment to Suppliers</t>
        </is>
      </c>
      <c r="D13" s="458" t="n">
        <v>2522124</v>
      </c>
      <c r="E13" s="458" t="n">
        <v>3018336</v>
      </c>
      <c r="F13" s="458" t="n">
        <v>4202090</v>
      </c>
      <c r="G13" s="459">
        <f>G11-G12</f>
        <v/>
      </c>
      <c r="H13" s="459">
        <f>H11-H12</f>
        <v/>
      </c>
      <c r="I13" s="460">
        <f>I11-I12</f>
        <v/>
      </c>
    </row>
    <row r="14" ht="16.2" customHeight="1" s="337" thickBot="1">
      <c r="A14" s="211" t="inlineStr">
        <is>
          <t>Other Current accounts receivables</t>
        </is>
      </c>
      <c r="B14" s="212" t="n"/>
      <c r="C14" s="212" t="n"/>
      <c r="D14" s="213" t="n"/>
      <c r="E14" s="213" t="n"/>
      <c r="F14" s="213" t="n"/>
      <c r="G14" s="461" t="n"/>
      <c r="H14" s="461" t="n"/>
      <c r="I14" s="462" t="n"/>
    </row>
    <row r="15" ht="15" customHeight="1" s="337" thickBot="1">
      <c r="G15" s="459" t="n"/>
      <c r="H15" s="459" t="n"/>
      <c r="I15" s="459" t="n"/>
    </row>
    <row r="16">
      <c r="A16" s="463" t="inlineStr">
        <is>
          <t>Other payables</t>
        </is>
      </c>
      <c r="B16" s="464" t="inlineStr">
        <is>
          <t>Các khoản phải trả, phải nộp ngắn hạn khác</t>
        </is>
      </c>
      <c r="C16" s="452" t="inlineStr">
        <is>
          <t>MVND</t>
        </is>
      </c>
      <c r="D16" s="452" t="n">
        <v>1232505.870999999</v>
      </c>
      <c r="E16" s="452" t="n">
        <v>2032046.931975</v>
      </c>
      <c r="F16" s="452" t="n">
        <v>4737101.850438001</v>
      </c>
      <c r="G16" s="465" t="n">
        <v>4390628.815629257</v>
      </c>
      <c r="H16" s="465" t="n">
        <v>4594602.874426777</v>
      </c>
      <c r="I16" s="466" t="n">
        <v>4684814.259781226</v>
      </c>
    </row>
    <row r="17">
      <c r="A17" s="467" t="n"/>
      <c r="B17" s="468" t="inlineStr">
        <is>
          <t>Phải trả dài hạn khác</t>
        </is>
      </c>
      <c r="C17" s="469" t="inlineStr">
        <is>
          <t>MVND</t>
        </is>
      </c>
      <c r="D17" s="469" t="n">
        <v>284904.3260000001</v>
      </c>
      <c r="E17" s="469" t="n">
        <v>318797.7167219999</v>
      </c>
      <c r="F17" s="469" t="n">
        <v>298746.0931279999</v>
      </c>
      <c r="G17" s="470" t="n">
        <v>158784.4735915689</v>
      </c>
      <c r="H17" s="470" t="n">
        <v>158242.2873707367</v>
      </c>
      <c r="I17" s="471" t="n">
        <v>156690.2862461181</v>
      </c>
    </row>
    <row r="18">
      <c r="A18" s="454" t="inlineStr">
        <is>
          <t>Customer advances, Defferred Income days</t>
        </is>
      </c>
      <c r="G18" s="459">
        <f>G9/365*K44</f>
        <v/>
      </c>
      <c r="H18" s="459">
        <f>H9/365*L44</f>
        <v/>
      </c>
      <c r="I18" s="459">
        <f>I9/365*M44</f>
        <v/>
      </c>
    </row>
    <row r="19" ht="15" customHeight="1" s="337" thickBot="1">
      <c r="A19" s="226" t="inlineStr">
        <is>
          <t>ADJ Other payables</t>
        </is>
      </c>
      <c r="B19" s="212" t="n"/>
      <c r="C19" s="212" t="n"/>
      <c r="D19" s="212" t="n"/>
      <c r="E19" s="212" t="n"/>
      <c r="F19" s="212" t="n"/>
      <c r="G19" s="461">
        <f>SUM(G16:G17)-G18</f>
        <v/>
      </c>
      <c r="H19" s="461">
        <f>SUM(H16:H17)-H18</f>
        <v/>
      </c>
      <c r="I19" s="462">
        <f>SUM(I16:I17)-I18</f>
        <v/>
      </c>
    </row>
  </sheetData>
  <mergeCells count="1">
    <mergeCell ref="A2:I2"/>
  </mergeCells>
  <conditionalFormatting sqref="C4">
    <cfRule type="cellIs" priority="4" operator="lessThan" dxfId="0">
      <formula>0</formula>
    </cfRule>
  </conditionalFormatting>
  <conditionalFormatting sqref="B12">
    <cfRule type="cellIs" priority="3" operator="lessThan" dxfId="0">
      <formula>0</formula>
    </cfRule>
  </conditionalFormatting>
  <conditionalFormatting sqref="B11">
    <cfRule type="cellIs" priority="2" operator="lessThan" dxfId="0">
      <formula>0</formula>
    </cfRule>
  </conditionalFormatting>
  <conditionalFormatting sqref="A11">
    <cfRule type="cellIs" priority="1" operator="lessThan" dxfId="0">
      <formula>0</formula>
    </cfRule>
  </conditionalFormatting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codeName="Sheet10">
    <outlinePr summaryBelow="1" summaryRight="1"/>
    <pageSetUpPr/>
  </sheetPr>
  <dimension ref="B3:F34"/>
  <sheetViews>
    <sheetView workbookViewId="0">
      <selection activeCell="B13" sqref="B13"/>
    </sheetView>
  </sheetViews>
  <sheetFormatPr baseColWidth="8" defaultColWidth="8.88671875" defaultRowHeight="14.4" outlineLevelCol="0"/>
  <cols>
    <col width="47.88671875" bestFit="1" customWidth="1" style="337" min="2" max="2"/>
  </cols>
  <sheetData>
    <row r="3">
      <c r="B3" s="156" t="inlineStr">
        <is>
          <t>EBITDA</t>
        </is>
      </c>
      <c r="C3" s="157" t="n"/>
      <c r="D3" s="157" t="n"/>
      <c r="E3" s="157" t="n"/>
      <c r="F3" s="158" t="n"/>
    </row>
    <row r="4" ht="14.25" customHeight="1" s="337">
      <c r="B4" s="147" t="inlineStr">
        <is>
          <t>Minus Interest paid</t>
        </is>
      </c>
      <c r="C4" s="148" t="n"/>
      <c r="D4" s="148" t="n"/>
      <c r="E4" s="148" t="n"/>
      <c r="F4" s="149" t="n"/>
    </row>
    <row r="5" ht="14.25" customHeight="1" s="337">
      <c r="B5" s="147" t="inlineStr">
        <is>
          <t>Minus Tax paid</t>
        </is>
      </c>
      <c r="C5" s="148" t="n"/>
      <c r="D5" s="148" t="n"/>
      <c r="E5" s="148" t="n"/>
      <c r="F5" s="149" t="n"/>
    </row>
    <row r="6" ht="14.25" customHeight="1" s="337">
      <c r="B6" s="156" t="inlineStr">
        <is>
          <t>Funds from Operations after Interest and Tax</t>
        </is>
      </c>
      <c r="C6" s="157" t="n"/>
      <c r="D6" s="157" t="n"/>
      <c r="E6" s="157" t="n"/>
      <c r="F6" s="158" t="n"/>
    </row>
    <row r="7">
      <c r="B7" s="153" t="n"/>
      <c r="C7" s="154" t="n"/>
      <c r="D7" s="154" t="n"/>
      <c r="E7" s="154" t="n"/>
      <c r="F7" s="155" t="n"/>
    </row>
    <row r="8" ht="14.25" customHeight="1" s="337">
      <c r="B8" s="147" t="inlineStr">
        <is>
          <t>+/- Change in Accounts Receivable (Debtors)</t>
        </is>
      </c>
      <c r="C8" s="148" t="n"/>
      <c r="D8" s="148" t="n"/>
      <c r="E8" s="148" t="n"/>
      <c r="F8" s="149" t="n"/>
    </row>
    <row r="9" ht="14.25" customHeight="1" s="337">
      <c r="B9" s="147" t="inlineStr">
        <is>
          <t>+/- Change in Inventory (Stock)</t>
        </is>
      </c>
      <c r="C9" s="148" t="n"/>
      <c r="D9" s="148" t="n"/>
      <c r="E9" s="148" t="n"/>
      <c r="F9" s="149" t="n"/>
    </row>
    <row r="10" ht="14.25" customHeight="1" s="337">
      <c r="B10" s="147" t="inlineStr">
        <is>
          <t>+/- Accounts Payable (Creditors)</t>
        </is>
      </c>
      <c r="C10" s="148" t="n"/>
      <c r="D10" s="148" t="n"/>
      <c r="E10" s="148" t="n"/>
      <c r="F10" s="149" t="n"/>
    </row>
    <row r="11" ht="14.25" customHeight="1" s="337">
      <c r="B11" s="156" t="inlineStr">
        <is>
          <t>Changes in Net Working Capital</t>
        </is>
      </c>
      <c r="C11" s="157" t="n"/>
      <c r="D11" s="157" t="n"/>
      <c r="E11" s="157" t="n"/>
      <c r="F11" s="158" t="n"/>
    </row>
    <row r="12">
      <c r="B12" s="153" t="n"/>
      <c r="C12" s="154" t="n"/>
      <c r="D12" s="154" t="n"/>
      <c r="E12" s="154" t="n"/>
      <c r="F12" s="155" t="n"/>
    </row>
    <row r="13" ht="14.25" customHeight="1" s="337">
      <c r="B13" s="156" t="inlineStr">
        <is>
          <t>Net Operating Cash Flow</t>
        </is>
      </c>
      <c r="C13" s="157" t="n"/>
      <c r="D13" s="157" t="n"/>
      <c r="E13" s="157" t="n"/>
      <c r="F13" s="158" t="n"/>
    </row>
    <row r="14">
      <c r="B14" s="153" t="n"/>
      <c r="C14" s="154" t="n"/>
      <c r="D14" s="154" t="n"/>
      <c r="E14" s="154" t="n"/>
      <c r="F14" s="155" t="n"/>
    </row>
    <row r="15" ht="14.25" customHeight="1" s="337">
      <c r="B15" s="147" t="inlineStr">
        <is>
          <t>+/- Change in Capital expenditure and Disposals of fixed assets</t>
        </is>
      </c>
      <c r="C15" s="148" t="n"/>
      <c r="D15" s="148" t="n"/>
      <c r="E15" s="148" t="n"/>
      <c r="F15" s="149" t="n"/>
    </row>
    <row r="16" ht="14.25" customHeight="1" s="337">
      <c r="B16" s="147" t="inlineStr">
        <is>
          <t>+/- Change in Overdraft and Short-term Debt</t>
        </is>
      </c>
      <c r="C16" s="148" t="n"/>
      <c r="D16" s="148" t="n"/>
      <c r="E16" s="148" t="n"/>
      <c r="F16" s="149" t="n"/>
    </row>
    <row r="17" ht="14.25" customHeight="1" s="337">
      <c r="B17" s="147" t="inlineStr">
        <is>
          <t>+/- Change in Long Term Debt</t>
        </is>
      </c>
      <c r="C17" s="148" t="n"/>
      <c r="D17" s="148" t="n"/>
      <c r="E17" s="148" t="n"/>
      <c r="F17" s="149" t="n"/>
    </row>
    <row r="18" ht="14.25" customHeight="1" s="337">
      <c r="B18" s="147" t="inlineStr">
        <is>
          <t>+/- Change in Share Capital</t>
        </is>
      </c>
      <c r="C18" s="148" t="n"/>
      <c r="D18" s="148" t="n"/>
      <c r="E18" s="148" t="n"/>
      <c r="F18" s="149" t="n"/>
    </row>
    <row r="19" ht="14.25" customHeight="1" s="337">
      <c r="B19" s="150" t="inlineStr">
        <is>
          <t>TOTAL Change in Cash</t>
        </is>
      </c>
      <c r="C19" s="151" t="n"/>
      <c r="D19" s="151" t="n"/>
      <c r="E19" s="151" t="n"/>
      <c r="F19" s="152" t="n"/>
    </row>
    <row r="20">
      <c r="B20" s="153" t="n"/>
      <c r="C20" s="154" t="n"/>
      <c r="D20" s="154" t="n"/>
      <c r="E20" s="154" t="n"/>
      <c r="F20" s="155" t="n"/>
    </row>
    <row r="21" ht="14.25" customHeight="1" s="337">
      <c r="B21" s="141" t="inlineStr">
        <is>
          <t>Opening balance Cash</t>
        </is>
      </c>
      <c r="C21" s="142" t="n"/>
      <c r="D21" s="142" t="n"/>
      <c r="E21" s="142" t="n"/>
      <c r="F21" s="143" t="n"/>
    </row>
    <row r="22" ht="14.25" customHeight="1" s="337">
      <c r="B22" s="144" t="inlineStr">
        <is>
          <t>Change in Cash</t>
        </is>
      </c>
      <c r="C22" s="145" t="n"/>
      <c r="D22" s="145" t="n"/>
      <c r="E22" s="145" t="n"/>
      <c r="F22" s="146" t="n"/>
    </row>
    <row r="23" ht="14.25" customHeight="1" s="337">
      <c r="B23" s="141" t="inlineStr">
        <is>
          <t>Closing balance Cash</t>
        </is>
      </c>
      <c r="C23" s="142" t="n"/>
      <c r="D23" s="142" t="n"/>
      <c r="E23" s="142" t="n"/>
      <c r="F23" s="143" t="n"/>
    </row>
    <row r="26" ht="26.4" customHeight="1" s="337">
      <c r="B26" s="147" t="inlineStr">
        <is>
          <t>Other non-cash adjustments (some significant numbers only)</t>
        </is>
      </c>
    </row>
    <row r="27">
      <c r="B27" t="inlineStr">
        <is>
          <t>Finance cost - net</t>
        </is>
      </c>
    </row>
    <row r="28">
      <c r="B28" t="inlineStr">
        <is>
          <t>Provision</t>
        </is>
      </c>
    </row>
    <row r="29">
      <c r="B29" t="inlineStr">
        <is>
          <t xml:space="preserve">Share of results of investments accounted for using the equity method </t>
        </is>
      </c>
    </row>
    <row r="30">
      <c r="B30" t="inlineStr">
        <is>
          <t>Provision / Payments to pension scheme, employee benefits (net)</t>
        </is>
      </c>
    </row>
    <row r="31">
      <c r="B31" t="inlineStr">
        <is>
          <t>Results from derivative instruments</t>
        </is>
      </c>
    </row>
    <row r="32">
      <c r="B32" t="inlineStr">
        <is>
          <t xml:space="preserve">(Profit)/loss on sale of property, plant and equipment </t>
        </is>
      </c>
    </row>
    <row r="33">
      <c r="B33" t="inlineStr">
        <is>
          <t>Payments in respect of restructuring</t>
        </is>
      </c>
    </row>
    <row r="34">
      <c r="B34" t="inlineStr">
        <is>
          <t>Unrealised foreign exchange (gains) losses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11">
    <outlinePr summaryBelow="1" summaryRight="1"/>
    <pageSetUpPr/>
  </sheetPr>
  <dimension ref="B1:AI79"/>
  <sheetViews>
    <sheetView workbookViewId="0">
      <selection activeCell="B5" sqref="B5"/>
    </sheetView>
  </sheetViews>
  <sheetFormatPr baseColWidth="8" defaultColWidth="8.88671875" defaultRowHeight="14.4" outlineLevelCol="0"/>
  <cols>
    <col width="40.88671875" bestFit="1" customWidth="1" style="337" min="2" max="2"/>
    <col width="13.6640625" customWidth="1" style="337" min="3" max="6"/>
    <col width="10.109375" bestFit="1" customWidth="1" style="337" min="7" max="7"/>
    <col width="11.6640625" bestFit="1" customWidth="1" style="337" min="8" max="11"/>
    <col width="16.33203125" bestFit="1" customWidth="1" style="337" min="12" max="13"/>
    <col width="15.33203125" bestFit="1" customWidth="1" style="337" min="14" max="14"/>
    <col width="9.109375" customWidth="1" style="337" min="15" max="16"/>
    <col width="18" bestFit="1" customWidth="1" style="337" min="20" max="21"/>
    <col width="18.6640625" bestFit="1" customWidth="1" style="337" min="23" max="23"/>
    <col width="17" bestFit="1" customWidth="1" style="337" min="25" max="25"/>
    <col width="10.44140625" bestFit="1" customWidth="1" style="337" min="26" max="26"/>
    <col width="11.6640625" bestFit="1" customWidth="1" style="337" min="30" max="32"/>
  </cols>
  <sheetData>
    <row r="1">
      <c r="B1" s="1" t="inlineStr">
        <is>
          <t>SBT</t>
        </is>
      </c>
    </row>
    <row r="2">
      <c r="B2" s="5" t="n"/>
      <c r="C2" s="84" t="n">
        <v>2015</v>
      </c>
      <c r="D2" s="84">
        <f>C2+1</f>
        <v/>
      </c>
      <c r="E2" s="84">
        <f>D2+1</f>
        <v/>
      </c>
      <c r="F2" s="84">
        <f>E2+1</f>
        <v/>
      </c>
      <c r="G2" s="84">
        <f>F2+1</f>
        <v/>
      </c>
      <c r="H2" s="84">
        <f>G2+1</f>
        <v/>
      </c>
      <c r="I2" s="84">
        <f>H2+1</f>
        <v/>
      </c>
      <c r="J2" s="84">
        <f>I2+1</f>
        <v/>
      </c>
      <c r="K2" s="84">
        <f>J2+1</f>
        <v/>
      </c>
      <c r="L2" s="84">
        <f>K2+1</f>
        <v/>
      </c>
      <c r="M2" s="84">
        <f>L2+1</f>
        <v/>
      </c>
      <c r="N2" s="84">
        <f>M2+1</f>
        <v/>
      </c>
    </row>
    <row r="3" customFormat="1" s="16">
      <c r="B3" s="6" t="inlineStr">
        <is>
          <t>I. Cash and cash equivalents</t>
        </is>
      </c>
      <c r="C3" s="85">
        <f>SUM(C4:C5)</f>
        <v/>
      </c>
      <c r="D3" s="85">
        <f>SUM(D4:D5)</f>
        <v/>
      </c>
      <c r="E3" s="85">
        <f>SUM(E4:E5)</f>
        <v/>
      </c>
      <c r="F3" s="85">
        <f>SUM(F4:F5)</f>
        <v/>
      </c>
      <c r="G3" s="85">
        <f>SUM(G4:G5)</f>
        <v/>
      </c>
      <c r="H3" s="85">
        <f>SUM(H4:H5)</f>
        <v/>
      </c>
      <c r="I3" s="85">
        <f>SUM(I4:I5)</f>
        <v/>
      </c>
      <c r="J3" s="85">
        <f>SUM(J4:J5)</f>
        <v/>
      </c>
      <c r="K3" s="85">
        <f>SUM(K4:K5)</f>
        <v/>
      </c>
      <c r="L3" s="85">
        <f>SUM(L4:L5)</f>
        <v/>
      </c>
      <c r="M3" s="85">
        <f>SUM(M4:M5)</f>
        <v/>
      </c>
      <c r="N3" s="85">
        <f>SUM(N4:N5)</f>
        <v/>
      </c>
    </row>
    <row r="4">
      <c r="B4" s="7" t="inlineStr">
        <is>
          <t>1. Cash</t>
        </is>
      </c>
      <c r="C4" s="11" t="n"/>
      <c r="D4" s="11" t="n"/>
      <c r="E4" s="11" t="n"/>
      <c r="F4" s="11" t="n"/>
      <c r="G4" s="32" t="n">
        <v>19606</v>
      </c>
      <c r="H4" s="32" t="n">
        <v>5773</v>
      </c>
      <c r="I4" s="32" t="n"/>
      <c r="J4" s="32" t="n"/>
      <c r="K4" s="32" t="n"/>
      <c r="L4" s="32" t="n"/>
      <c r="M4" s="32" t="n"/>
      <c r="N4" s="32" t="n"/>
      <c r="Z4" s="94" t="n"/>
      <c r="AA4" s="94" t="n"/>
      <c r="AB4" s="94" t="n"/>
      <c r="AG4" s="459" t="n"/>
      <c r="AH4" s="459" t="n"/>
      <c r="AI4" s="459" t="n"/>
    </row>
    <row r="5">
      <c r="B5" s="7" t="inlineStr">
        <is>
          <t>2.  Cash equivalents</t>
        </is>
      </c>
      <c r="C5" s="11" t="n"/>
      <c r="D5" s="11" t="n"/>
      <c r="E5" s="11" t="n"/>
      <c r="F5" s="11" t="n"/>
      <c r="G5" s="32" t="n"/>
      <c r="H5" s="32" t="n">
        <v>42000</v>
      </c>
      <c r="I5" s="32" t="n"/>
      <c r="J5" s="32" t="n"/>
      <c r="K5" s="32" t="n"/>
      <c r="L5" s="32" t="n"/>
      <c r="M5" s="32" t="n"/>
      <c r="N5" s="32" t="n"/>
      <c r="Z5" s="94" t="n"/>
      <c r="AA5" s="94" t="n"/>
      <c r="AB5" s="94" t="n"/>
      <c r="AG5" s="459" t="n"/>
      <c r="AH5" s="459" t="n"/>
      <c r="AI5" s="459" t="n"/>
    </row>
    <row r="6" customFormat="1" s="16">
      <c r="B6" s="6" t="inlineStr">
        <is>
          <t>II. Short-term investment</t>
        </is>
      </c>
      <c r="C6" s="85">
        <f>C7</f>
        <v/>
      </c>
      <c r="D6" s="85">
        <f>D7</f>
        <v/>
      </c>
      <c r="E6" s="85">
        <f>E7</f>
        <v/>
      </c>
      <c r="F6" s="85">
        <f>F7</f>
        <v/>
      </c>
      <c r="G6" s="85">
        <f>G7</f>
        <v/>
      </c>
      <c r="H6" s="85">
        <f>H7</f>
        <v/>
      </c>
      <c r="I6" s="85">
        <f>I7</f>
        <v/>
      </c>
      <c r="J6" s="85">
        <f>J7</f>
        <v/>
      </c>
      <c r="K6" s="85">
        <f>K7</f>
        <v/>
      </c>
      <c r="L6" s="85">
        <f>L7</f>
        <v/>
      </c>
      <c r="M6" s="85">
        <f>M7</f>
        <v/>
      </c>
      <c r="N6" s="85">
        <f>N7</f>
        <v/>
      </c>
      <c r="Z6" s="94" t="n"/>
      <c r="AA6" s="94" t="n"/>
      <c r="AB6" s="94" t="n"/>
    </row>
    <row r="7">
      <c r="B7" s="7" t="inlineStr">
        <is>
          <t xml:space="preserve">1. Held-to-maturity investments </t>
        </is>
      </c>
      <c r="C7" s="11" t="n"/>
      <c r="D7" s="11" t="n"/>
      <c r="E7" s="11" t="n"/>
      <c r="F7" s="11" t="n"/>
      <c r="G7" s="32" t="n"/>
      <c r="H7" s="32" t="n"/>
      <c r="I7" s="32" t="n"/>
      <c r="J7" s="32" t="n"/>
      <c r="K7" s="32" t="n"/>
      <c r="L7" s="32" t="n"/>
      <c r="M7" s="32" t="n"/>
      <c r="N7" s="32" t="n"/>
      <c r="Z7" s="94" t="n"/>
      <c r="AA7" s="94" t="n"/>
      <c r="AB7" s="94" t="n"/>
      <c r="AG7" s="442" t="n"/>
      <c r="AH7" s="442" t="n"/>
      <c r="AI7" s="442" t="n"/>
    </row>
    <row r="8" customFormat="1" s="16">
      <c r="B8" s="6" t="inlineStr">
        <is>
          <t>III. Current account receivables</t>
        </is>
      </c>
      <c r="C8" s="85">
        <f>SUM(C9:C14)</f>
        <v/>
      </c>
      <c r="D8" s="85">
        <f>SUM(D9:D14)</f>
        <v/>
      </c>
      <c r="E8" s="85">
        <f>SUM(E9:E14)</f>
        <v/>
      </c>
      <c r="F8" s="85">
        <f>SUM(F9:F14)</f>
        <v/>
      </c>
      <c r="G8" s="85">
        <f>SUM(G9:G14)</f>
        <v/>
      </c>
      <c r="H8" s="85">
        <f>SUM(H9:H14)</f>
        <v/>
      </c>
      <c r="I8" s="85">
        <f>SUM(I9:I14)</f>
        <v/>
      </c>
      <c r="J8" s="85">
        <f>SUM(J9:J14)</f>
        <v/>
      </c>
      <c r="K8" s="85">
        <f>SUM(K9:K14)</f>
        <v/>
      </c>
      <c r="L8" s="85">
        <f>SUM(L9:L14)</f>
        <v/>
      </c>
      <c r="M8" s="85">
        <f>SUM(M9:M14)</f>
        <v/>
      </c>
      <c r="N8" s="85">
        <f>SUM(N9:N14)</f>
        <v/>
      </c>
      <c r="Z8" s="94" t="n"/>
      <c r="AA8" s="94" t="n"/>
      <c r="AB8" s="94" t="n"/>
    </row>
    <row r="9">
      <c r="B9" s="7" t="inlineStr">
        <is>
          <t>1. Trade receivables</t>
        </is>
      </c>
      <c r="C9" s="11" t="n"/>
      <c r="D9" s="11" t="n"/>
      <c r="E9" s="11" t="n"/>
      <c r="F9" s="11" t="n"/>
      <c r="G9" s="32" t="n">
        <v>63368</v>
      </c>
      <c r="H9" s="32" t="n">
        <v>113362</v>
      </c>
      <c r="I9" s="32" t="n"/>
      <c r="J9" s="32" t="n"/>
      <c r="K9" s="32" t="n"/>
      <c r="L9" s="32" t="n"/>
      <c r="M9" s="32" t="n"/>
      <c r="N9" s="32" t="n"/>
      <c r="Z9" s="94" t="n"/>
      <c r="AA9" s="94" t="n"/>
      <c r="AB9" s="94" t="n"/>
      <c r="AG9" s="459" t="n"/>
      <c r="AH9" s="459" t="n"/>
      <c r="AI9" s="459" t="n"/>
    </row>
    <row r="10">
      <c r="B10" s="7" t="inlineStr">
        <is>
          <t>2. Advances to suppliers</t>
        </is>
      </c>
      <c r="C10" s="11" t="n"/>
      <c r="D10" s="11" t="n"/>
      <c r="E10" s="11" t="n"/>
      <c r="F10" s="11" t="n"/>
      <c r="G10" s="32" t="n">
        <v>105</v>
      </c>
      <c r="H10" s="32" t="n">
        <v>4368</v>
      </c>
      <c r="I10" s="32" t="n"/>
      <c r="J10" s="32" t="n"/>
      <c r="K10" s="32" t="n"/>
      <c r="L10" s="32" t="n"/>
      <c r="M10" s="32" t="n"/>
      <c r="N10" s="32" t="n"/>
      <c r="Z10" s="94" t="n"/>
      <c r="AA10" s="94" t="n"/>
      <c r="AB10" s="94" t="n"/>
      <c r="AG10" s="459" t="n"/>
      <c r="AH10" s="459" t="n"/>
      <c r="AI10" s="459" t="n"/>
    </row>
    <row r="11">
      <c r="B11" s="7" t="inlineStr">
        <is>
          <t>3. Interco</t>
        </is>
      </c>
      <c r="C11" s="11" t="n"/>
      <c r="D11" s="11" t="n"/>
      <c r="E11" s="11" t="n"/>
      <c r="F11" s="11" t="n"/>
      <c r="G11" s="32" t="n">
        <v>246800</v>
      </c>
      <c r="H11" s="32" t="n"/>
      <c r="I11" s="32" t="n"/>
      <c r="J11" s="32" t="n"/>
      <c r="K11" s="32" t="n"/>
      <c r="L11" s="32" t="n"/>
      <c r="M11" s="32" t="n"/>
      <c r="N11" s="32" t="n"/>
      <c r="Z11" s="94" t="n"/>
      <c r="AA11" s="94" t="n"/>
      <c r="AB11" s="94" t="n"/>
    </row>
    <row r="12">
      <c r="B12" s="7" t="inlineStr">
        <is>
          <t>4. Other receivables</t>
        </is>
      </c>
      <c r="C12" s="11" t="n"/>
      <c r="D12" s="11" t="n"/>
      <c r="E12" s="11" t="n"/>
      <c r="F12" s="11" t="n"/>
      <c r="G12" s="32" t="n">
        <v>10864</v>
      </c>
      <c r="H12" s="32" t="n">
        <v>327695</v>
      </c>
      <c r="I12" s="32" t="n"/>
      <c r="J12" s="32" t="n"/>
      <c r="K12" s="32" t="n"/>
      <c r="L12" s="32" t="n"/>
      <c r="M12" s="32" t="n"/>
      <c r="N12" s="32" t="n"/>
      <c r="Z12" s="94" t="n"/>
      <c r="AA12" s="94" t="n"/>
      <c r="AB12" s="94" t="n"/>
      <c r="AG12" s="472" t="n"/>
      <c r="AH12" s="472" t="n"/>
      <c r="AI12" s="472" t="n"/>
    </row>
    <row r="13">
      <c r="B13" s="7" t="inlineStr">
        <is>
          <t>5. Provision for doubtful debts</t>
        </is>
      </c>
      <c r="C13" s="11" t="n"/>
      <c r="D13" s="11" t="n"/>
      <c r="E13" s="11" t="n"/>
      <c r="F13" s="11" t="n"/>
      <c r="G13" s="32" t="n"/>
      <c r="H13" s="32" t="n"/>
      <c r="I13" s="32" t="n"/>
      <c r="J13" s="32" t="n"/>
      <c r="K13" s="32" t="n"/>
      <c r="L13" s="32" t="n"/>
      <c r="M13" s="32" t="n"/>
      <c r="N13" s="32" t="n"/>
      <c r="Z13" s="94" t="n"/>
      <c r="AA13" s="94" t="n"/>
      <c r="AB13" s="94" t="n"/>
      <c r="AG13" s="459" t="n"/>
      <c r="AH13" s="459" t="n"/>
      <c r="AI13" s="459" t="n"/>
    </row>
    <row r="14">
      <c r="B14" s="7" t="inlineStr">
        <is>
          <t>6. Shortage of assets awaiting resolution</t>
        </is>
      </c>
      <c r="C14" s="11" t="n"/>
      <c r="D14" s="11" t="n"/>
      <c r="E14" s="11" t="n"/>
      <c r="F14" s="11" t="n"/>
      <c r="G14" s="32" t="n"/>
      <c r="H14" s="32" t="n"/>
      <c r="I14" s="32" t="n"/>
      <c r="J14" s="32" t="n"/>
      <c r="K14" s="32" t="n"/>
      <c r="L14" s="32" t="n"/>
      <c r="M14" s="32" t="n"/>
      <c r="N14" s="32" t="n"/>
      <c r="Z14" s="94" t="n"/>
      <c r="AA14" s="94" t="n"/>
      <c r="AB14" s="94" t="n"/>
    </row>
    <row r="15" customFormat="1" s="16">
      <c r="B15" s="6" t="inlineStr">
        <is>
          <t>IV. Inventories</t>
        </is>
      </c>
      <c r="C15" s="85">
        <f>SUM(C16:C17)</f>
        <v/>
      </c>
      <c r="D15" s="85">
        <f>SUM(D16:D17)</f>
        <v/>
      </c>
      <c r="E15" s="85">
        <f>SUM(E16:E17)</f>
        <v/>
      </c>
      <c r="F15" s="85">
        <f>SUM(F16:F17)</f>
        <v/>
      </c>
      <c r="G15" s="85">
        <f>SUM(G16:G17)</f>
        <v/>
      </c>
      <c r="H15" s="85">
        <f>SUM(H16:H17)</f>
        <v/>
      </c>
      <c r="I15" s="85">
        <f>SUM(I16:I17)</f>
        <v/>
      </c>
      <c r="J15" s="85">
        <f>SUM(J16:J17)</f>
        <v/>
      </c>
      <c r="K15" s="85">
        <f>SUM(K16:K17)</f>
        <v/>
      </c>
      <c r="L15" s="85">
        <f>SUM(L16:L17)</f>
        <v/>
      </c>
      <c r="M15" s="85">
        <f>SUM(M16:M17)</f>
        <v/>
      </c>
      <c r="N15" s="85">
        <f>SUM(N16:N17)</f>
        <v/>
      </c>
      <c r="Z15" s="94" t="n"/>
      <c r="AA15" s="94" t="n"/>
      <c r="AB15" s="94" t="n"/>
    </row>
    <row r="16">
      <c r="B16" s="7" t="inlineStr">
        <is>
          <t>1. Inventories</t>
        </is>
      </c>
      <c r="C16" s="11" t="n"/>
      <c r="D16" s="11" t="n"/>
      <c r="E16" s="11" t="n"/>
      <c r="F16" s="11" t="n"/>
      <c r="G16" s="32" t="n"/>
      <c r="H16" s="32" t="n">
        <v>45683</v>
      </c>
      <c r="I16" s="32" t="n"/>
      <c r="J16" s="32" t="n"/>
      <c r="K16" s="32" t="n"/>
      <c r="L16" s="32" t="n"/>
      <c r="M16" s="32" t="n"/>
      <c r="N16" s="32" t="n"/>
      <c r="Z16" s="94" t="n"/>
      <c r="AA16" s="94" t="n"/>
      <c r="AB16" s="94" t="n"/>
      <c r="AG16" s="459" t="n"/>
      <c r="AH16" s="459" t="n"/>
      <c r="AI16" s="459" t="n"/>
    </row>
    <row r="17">
      <c r="B17" s="7" t="inlineStr">
        <is>
          <t>2. Provision for obsolete inventories</t>
        </is>
      </c>
      <c r="C17" s="11" t="n"/>
      <c r="D17" s="11" t="n"/>
      <c r="E17" s="11" t="n"/>
      <c r="F17" s="11" t="n"/>
      <c r="G17" s="32" t="n"/>
      <c r="H17" s="32" t="n"/>
      <c r="I17" s="32" t="n"/>
      <c r="J17" s="32" t="n"/>
      <c r="K17" s="32" t="n"/>
      <c r="L17" s="32" t="n"/>
      <c r="M17" s="32" t="n"/>
      <c r="N17" s="32" t="n"/>
      <c r="Z17" s="94" t="n"/>
      <c r="AA17" s="94" t="n"/>
      <c r="AB17" s="94" t="n"/>
    </row>
    <row r="18" customFormat="1" s="16">
      <c r="B18" s="6" t="inlineStr">
        <is>
          <t xml:space="preserve">V. Other current assets </t>
        </is>
      </c>
      <c r="C18" s="85">
        <f>SUM(C19:C22)</f>
        <v/>
      </c>
      <c r="D18" s="85">
        <f>SUM(D19:D22)</f>
        <v/>
      </c>
      <c r="E18" s="85">
        <f>SUM(E19:E22)</f>
        <v/>
      </c>
      <c r="F18" s="85">
        <f>SUM(F19:F22)</f>
        <v/>
      </c>
      <c r="G18" s="85">
        <f>SUM(G19:G22)</f>
        <v/>
      </c>
      <c r="H18" s="85">
        <f>SUM(H19:H22)</f>
        <v/>
      </c>
      <c r="I18" s="85">
        <f>SUM(I19:I22)</f>
        <v/>
      </c>
      <c r="J18" s="85">
        <f>SUM(J19:J22)</f>
        <v/>
      </c>
      <c r="K18" s="85">
        <f>SUM(K19:K22)</f>
        <v/>
      </c>
      <c r="L18" s="85">
        <f>SUM(L19:L22)</f>
        <v/>
      </c>
      <c r="M18" s="85">
        <f>SUM(M19:M22)</f>
        <v/>
      </c>
      <c r="N18" s="85">
        <f>SUM(N19:N22)</f>
        <v/>
      </c>
      <c r="Z18" s="94" t="n"/>
      <c r="AA18" s="94" t="n"/>
      <c r="AB18" s="94" t="n"/>
    </row>
    <row r="19">
      <c r="B19" s="7" t="inlineStr">
        <is>
          <t>1. Short-term prepaid expenses</t>
        </is>
      </c>
      <c r="C19" s="11" t="n"/>
      <c r="D19" s="11" t="n"/>
      <c r="E19" s="11" t="n"/>
      <c r="F19" s="11" t="n"/>
      <c r="G19" s="32" t="n">
        <v>1035</v>
      </c>
      <c r="H19" s="32" t="n">
        <v>1177</v>
      </c>
      <c r="I19" s="32" t="n"/>
      <c r="J19" s="32" t="n"/>
      <c r="K19" s="32" t="n"/>
      <c r="L19" s="32" t="n"/>
      <c r="M19" s="32" t="n"/>
      <c r="N19" s="32" t="n"/>
      <c r="Z19" s="94" t="n"/>
      <c r="AA19" s="94" t="n"/>
      <c r="AB19" s="94" t="n"/>
      <c r="AG19" s="459" t="n"/>
      <c r="AH19" s="459" t="n"/>
      <c r="AI19" s="459" t="n"/>
    </row>
    <row r="20">
      <c r="B20" s="7" t="inlineStr">
        <is>
          <t>2. VAT deductibles</t>
        </is>
      </c>
      <c r="C20" s="11" t="n"/>
      <c r="D20" s="11" t="n"/>
      <c r="E20" s="11" t="n"/>
      <c r="F20" s="11" t="n"/>
      <c r="G20" s="32" t="n"/>
      <c r="H20" s="32" t="n">
        <v>2495</v>
      </c>
      <c r="I20" s="32" t="n"/>
      <c r="J20" s="32" t="n"/>
      <c r="K20" s="32" t="n"/>
      <c r="L20" s="32" t="n"/>
      <c r="M20" s="32" t="n"/>
      <c r="N20" s="32" t="n"/>
      <c r="Z20" s="94" t="n"/>
      <c r="AA20" s="94" t="n"/>
      <c r="AB20" s="94" t="n"/>
      <c r="AG20" s="459" t="n"/>
      <c r="AH20" s="459" t="n"/>
      <c r="AI20" s="459" t="n"/>
    </row>
    <row r="21">
      <c r="B21" s="7" t="inlineStr">
        <is>
          <t>3. Tax and other receivables from the State</t>
        </is>
      </c>
      <c r="C21" s="11" t="n"/>
      <c r="D21" s="11" t="n"/>
      <c r="E21" s="11" t="n"/>
      <c r="F21" s="11" t="n"/>
      <c r="G21" s="32" t="n">
        <v>179</v>
      </c>
      <c r="H21" s="32" t="n">
        <v>87</v>
      </c>
      <c r="I21" s="32" t="n"/>
      <c r="J21" s="32" t="n"/>
      <c r="K21" s="32" t="n"/>
      <c r="L21" s="32" t="n"/>
      <c r="M21" s="32" t="n"/>
      <c r="N21" s="32" t="n"/>
      <c r="Z21" s="94" t="n"/>
      <c r="AA21" s="94" t="n"/>
      <c r="AB21" s="94" t="n"/>
    </row>
    <row r="22" ht="15" customHeight="1" s="337" thickBot="1">
      <c r="B22" s="7" t="inlineStr">
        <is>
          <t>4.    Other current assets</t>
        </is>
      </c>
      <c r="C22" s="11" t="n"/>
      <c r="D22" s="11" t="n"/>
      <c r="E22" s="11" t="n"/>
      <c r="F22" s="11" t="n"/>
      <c r="G22" s="32" t="n"/>
      <c r="H22" s="32" t="n"/>
      <c r="I22" s="32" t="n"/>
      <c r="J22" s="32" t="n"/>
      <c r="K22" s="32" t="n"/>
      <c r="L22" s="32" t="n"/>
      <c r="M22" s="32" t="n"/>
      <c r="N22" s="32" t="n"/>
      <c r="Z22" s="94" t="n"/>
      <c r="AA22" s="94" t="n"/>
      <c r="AB22" s="94" t="n"/>
    </row>
    <row r="23" ht="15.6" customFormat="1" customHeight="1" s="16" thickBot="1" thickTop="1">
      <c r="B23" s="17" t="inlineStr">
        <is>
          <t>ASSETS</t>
        </is>
      </c>
      <c r="C23" s="85">
        <f>SUM(C3,C6,C8,C15,C18)</f>
        <v/>
      </c>
      <c r="D23" s="85">
        <f>SUM(D3,D6,D8,D15,D18)</f>
        <v/>
      </c>
      <c r="E23" s="85">
        <f>SUM(E3,E6,E8,E15,E18)</f>
        <v/>
      </c>
      <c r="F23" s="85">
        <f>SUM(F3,F6,F8,F15,F18)</f>
        <v/>
      </c>
      <c r="G23" s="85">
        <f>SUM(G3,G6,G8,G15,G18)</f>
        <v/>
      </c>
      <c r="H23" s="85">
        <f>SUM(H3,H6,H8,H15,H18)</f>
        <v/>
      </c>
      <c r="I23" s="85">
        <f>SUM(I3,I6,I8,I15,I18)</f>
        <v/>
      </c>
      <c r="J23" s="85">
        <f>SUM(J3,J6,J8,J15,J18)</f>
        <v/>
      </c>
      <c r="K23" s="85">
        <f>SUM(K3,K6,K8,K15,K18)</f>
        <v/>
      </c>
      <c r="L23" s="85">
        <f>SUM(L3,L6,L8,L15,L18)</f>
        <v/>
      </c>
      <c r="M23" s="85">
        <f>SUM(M3,M6,M8,M15,M18)</f>
        <v/>
      </c>
      <c r="N23" s="85">
        <f>SUM(N3,N6,N8,N15,N18)</f>
        <v/>
      </c>
      <c r="Z23" s="94" t="n"/>
      <c r="AA23" s="94" t="n"/>
      <c r="AB23" s="94" t="n"/>
    </row>
    <row r="24" ht="15" customFormat="1" customHeight="1" s="16" thickTop="1">
      <c r="B24" s="9" t="inlineStr">
        <is>
          <t xml:space="preserve">B. NON-CURRENT ASSETS </t>
        </is>
      </c>
      <c r="C24" s="85">
        <f>SUM(C25,C31,C38,C40,C44)</f>
        <v/>
      </c>
      <c r="D24" s="85">
        <f>SUM(D25,D31,D38,D40,D44)</f>
        <v/>
      </c>
      <c r="E24" s="85">
        <f>SUM(E25,E31,E38,E40,E44)</f>
        <v/>
      </c>
      <c r="F24" s="85">
        <f>SUM(F25,F31,F38,F40,F44)</f>
        <v/>
      </c>
      <c r="G24" s="85">
        <f>SUM(G25,G31,G38,G40,G44)</f>
        <v/>
      </c>
      <c r="H24" s="85">
        <f>SUM(H25,H31,H38,H40,H44)</f>
        <v/>
      </c>
      <c r="I24" s="85">
        <f>SUM(I25,I31,I38,I40,I44)</f>
        <v/>
      </c>
      <c r="J24" s="85">
        <f>SUM(J25,J31,J38,J40,J44)</f>
        <v/>
      </c>
      <c r="K24" s="85">
        <f>SUM(K25,K31,K38,K40,K44)</f>
        <v/>
      </c>
      <c r="L24" s="85">
        <f>SUM(L25,L31,L38,L40,L44)</f>
        <v/>
      </c>
      <c r="M24" s="85">
        <f>SUM(M25,M31,M38,M40,M44)</f>
        <v/>
      </c>
      <c r="N24" s="85">
        <f>SUM(N25,N31,N38,N40,N44)</f>
        <v/>
      </c>
      <c r="Q24" s="16">
        <f>K24-J24</f>
        <v/>
      </c>
      <c r="Z24" s="94" t="n"/>
      <c r="AA24" s="94" t="n"/>
      <c r="AB24" s="94" t="n"/>
    </row>
    <row r="25">
      <c r="B25" s="10" t="inlineStr">
        <is>
          <t xml:space="preserve">      I. Non-current receivables</t>
        </is>
      </c>
      <c r="C25" s="10" t="n"/>
      <c r="D25" s="10" t="n"/>
      <c r="E25" s="10" t="n"/>
      <c r="F25" s="10" t="n"/>
      <c r="G25" s="32">
        <f>SUM(G26:G30)</f>
        <v/>
      </c>
      <c r="H25" s="32">
        <f>SUM(H26:H30)</f>
        <v/>
      </c>
      <c r="I25" s="32">
        <f>SUM(I26:I30)</f>
        <v/>
      </c>
      <c r="J25" s="32">
        <f>SUM(J26:J30)</f>
        <v/>
      </c>
      <c r="K25" s="32">
        <f>SUM(K26:K30)</f>
        <v/>
      </c>
      <c r="L25" s="32">
        <f>SUM(L26:L30)</f>
        <v/>
      </c>
      <c r="M25" s="32">
        <f>SUM(M26:M30)</f>
        <v/>
      </c>
      <c r="N25" s="32">
        <f>SUM(N26:N30)</f>
        <v/>
      </c>
      <c r="Z25" s="94" t="n"/>
      <c r="AA25" s="94" t="n"/>
      <c r="AB25" s="94" t="n"/>
    </row>
    <row r="26">
      <c r="B26" s="11" t="inlineStr">
        <is>
          <t>1. Non-current trade-receivables</t>
        </is>
      </c>
      <c r="C26" s="11" t="n"/>
      <c r="D26" s="11" t="n"/>
      <c r="E26" s="11" t="n"/>
      <c r="F26" s="11" t="n"/>
      <c r="G26" s="32" t="n"/>
      <c r="H26" s="32" t="n"/>
      <c r="I26" s="32" t="n"/>
      <c r="J26" s="32" t="n"/>
      <c r="K26" s="32" t="n"/>
      <c r="L26" s="32" t="n"/>
      <c r="M26" s="32" t="n"/>
      <c r="N26" s="32" t="n"/>
      <c r="Z26" s="94" t="n"/>
      <c r="AA26" s="94" t="n"/>
      <c r="AB26" s="94" t="n"/>
    </row>
    <row r="27">
      <c r="B27" s="11" t="inlineStr">
        <is>
          <t>2. Non-current advance to suppliers</t>
        </is>
      </c>
      <c r="C27" s="11" t="n"/>
      <c r="D27" s="11" t="n"/>
      <c r="E27" s="11" t="n"/>
      <c r="F27" s="11" t="n"/>
      <c r="G27" s="32" t="n"/>
      <c r="H27" s="32" t="n"/>
      <c r="I27" s="32" t="n"/>
      <c r="J27" s="32" t="n"/>
      <c r="K27" s="32" t="n"/>
      <c r="L27" s="32" t="n"/>
      <c r="M27" s="32" t="n"/>
      <c r="N27" s="32" t="n"/>
      <c r="Q27" s="76" t="n"/>
      <c r="R27" s="76" t="n"/>
      <c r="S27" s="76" t="n"/>
      <c r="T27" s="76" t="n">
        <v>2021</v>
      </c>
      <c r="U27" s="76" t="n">
        <v>2020</v>
      </c>
      <c r="V27" s="76" t="n"/>
      <c r="W27" s="76" t="inlineStr">
        <is>
          <t>Cumulative</t>
        </is>
      </c>
      <c r="X27" s="76" t="n"/>
      <c r="Y27" s="76" t="n"/>
      <c r="Z27" s="94" t="n"/>
      <c r="AA27" s="94" t="n"/>
      <c r="AB27" s="94" t="n"/>
    </row>
    <row r="28">
      <c r="B28" s="11" t="inlineStr">
        <is>
          <t>3. Non-current lending principal receivables</t>
        </is>
      </c>
      <c r="C28" s="11" t="n"/>
      <c r="D28" s="11" t="n"/>
      <c r="E28" s="11" t="n"/>
      <c r="F28" s="11" t="n"/>
      <c r="G28" s="32" t="n"/>
      <c r="H28" s="32" t="n"/>
      <c r="I28" s="32" t="n"/>
      <c r="J28" s="32" t="n"/>
      <c r="K28" s="32" t="n"/>
      <c r="L28" s="32" t="n"/>
      <c r="M28" s="32" t="n"/>
      <c r="N28" s="32" t="n"/>
      <c r="Q28" s="77" t="inlineStr">
        <is>
          <t>Các khoản phải thu ngắn hạn</t>
        </is>
      </c>
      <c r="R28" s="76" t="n"/>
      <c r="S28" s="76" t="n"/>
      <c r="T28" s="473" t="n"/>
      <c r="U28" s="473" t="n"/>
      <c r="V28" s="76" t="n"/>
      <c r="W28" s="76" t="n"/>
      <c r="X28" s="76" t="n"/>
      <c r="Y28" s="76" t="n"/>
      <c r="Z28" s="94" t="n"/>
      <c r="AA28" s="94" t="n"/>
      <c r="AB28" s="94" t="n"/>
    </row>
    <row r="29">
      <c r="B29" s="11" t="inlineStr">
        <is>
          <t>4. Other non-current receivables</t>
        </is>
      </c>
      <c r="C29" s="11" t="n"/>
      <c r="D29" s="11" t="n"/>
      <c r="E29" s="11" t="n"/>
      <c r="F29" s="11" t="n"/>
      <c r="G29" s="32" t="n">
        <v>506566</v>
      </c>
      <c r="H29" s="32" t="n">
        <v>6841282</v>
      </c>
      <c r="I29" s="32" t="n"/>
      <c r="J29" s="32" t="n"/>
      <c r="K29" s="32" t="n"/>
      <c r="L29" s="32" t="n"/>
      <c r="M29" s="32" t="n"/>
      <c r="N29" s="32" t="n"/>
      <c r="O29" s="32" t="n"/>
      <c r="Q29" s="76" t="inlineStr">
        <is>
          <t>Phải thu ngắn hạn của khach hàng</t>
        </is>
      </c>
      <c r="R29" s="76" t="n"/>
      <c r="S29" s="76" t="inlineStr">
        <is>
          <t>V.03</t>
        </is>
      </c>
      <c r="T29" s="473" t="n">
        <v>17001024690</v>
      </c>
      <c r="U29" s="473" t="n">
        <v>3183877472</v>
      </c>
      <c r="V29" s="76" t="n"/>
      <c r="W29" s="474">
        <f>T29-U29</f>
        <v/>
      </c>
      <c r="X29" s="76" t="n"/>
      <c r="Y29" s="76" t="n"/>
      <c r="Z29" s="94" t="n"/>
      <c r="AA29" s="94" t="n"/>
      <c r="AB29" s="94" t="n"/>
      <c r="AG29" s="472" t="n"/>
      <c r="AH29" s="472" t="n"/>
      <c r="AI29" s="472" t="n"/>
    </row>
    <row r="30">
      <c r="B30" s="11" t="inlineStr">
        <is>
          <t>5. Provision for non-current doubtful debts</t>
        </is>
      </c>
      <c r="C30" s="11" t="n"/>
      <c r="D30" s="11" t="n"/>
      <c r="E30" s="11" t="n"/>
      <c r="F30" s="11" t="n"/>
      <c r="G30" s="32" t="n"/>
      <c r="H30" s="32" t="n"/>
      <c r="I30" s="32" t="n"/>
      <c r="J30" s="32" t="n"/>
      <c r="K30" s="32" t="n"/>
      <c r="L30" s="32" t="n"/>
      <c r="M30" s="32" t="n"/>
      <c r="N30" s="32" t="n"/>
      <c r="Q30" s="76" t="inlineStr">
        <is>
          <t>Trả trước cho người bán ngắn hạn</t>
        </is>
      </c>
      <c r="R30" s="76" t="n"/>
      <c r="S30" s="76" t="inlineStr">
        <is>
          <t>V.04</t>
        </is>
      </c>
      <c r="T30" s="473" t="n">
        <v>161043873520</v>
      </c>
      <c r="U30" s="473" t="n">
        <v>133924416925</v>
      </c>
      <c r="V30" s="76" t="n"/>
      <c r="W30" s="474">
        <f>W29+T30-U30</f>
        <v/>
      </c>
      <c r="X30" s="76" t="n"/>
      <c r="Y30" s="76" t="n"/>
      <c r="Z30" s="94" t="n"/>
      <c r="AA30" s="94" t="n"/>
      <c r="AB30" s="94" t="n"/>
    </row>
    <row r="31">
      <c r="B31" s="10" t="inlineStr">
        <is>
          <t>II. Fixed assets</t>
        </is>
      </c>
      <c r="C31" s="85">
        <f>SUM(C32,C35)</f>
        <v/>
      </c>
      <c r="D31" s="85">
        <f>SUM(D32,D35)</f>
        <v/>
      </c>
      <c r="E31" s="85">
        <f>SUM(E32,E35)</f>
        <v/>
      </c>
      <c r="F31" s="85">
        <f>SUM(F32,F35)</f>
        <v/>
      </c>
      <c r="G31" s="85">
        <f>SUM(G32,G35)</f>
        <v/>
      </c>
      <c r="H31" s="85">
        <f>SUM(H32,H35)</f>
        <v/>
      </c>
      <c r="I31" s="85">
        <f>SUM(I32,I35)</f>
        <v/>
      </c>
      <c r="J31" s="85">
        <f>SUM(J32,J35)</f>
        <v/>
      </c>
      <c r="K31" s="85">
        <f>SUM(K32,K35)</f>
        <v/>
      </c>
      <c r="L31" s="85">
        <f>SUM(L32,L35)</f>
        <v/>
      </c>
      <c r="M31" s="85">
        <f>SUM(M32,M35)</f>
        <v/>
      </c>
      <c r="N31" s="85">
        <f>SUM(N32,N35)</f>
        <v/>
      </c>
      <c r="Q31" s="76" t="inlineStr">
        <is>
          <t>Phải thu về cho vay ngắn hạn</t>
        </is>
      </c>
      <c r="R31" s="76" t="n"/>
      <c r="S31" s="76" t="inlineStr">
        <is>
          <t>V.05</t>
        </is>
      </c>
      <c r="T31" s="473" t="n">
        <v>2611000000</v>
      </c>
      <c r="U31" s="473" t="n">
        <v>1200000000</v>
      </c>
      <c r="V31" s="76" t="n"/>
      <c r="W31" s="474">
        <f>W30+T31-U31</f>
        <v/>
      </c>
      <c r="X31" s="76" t="n"/>
      <c r="Y31" s="474" t="n"/>
      <c r="Z31" s="94" t="n"/>
      <c r="AA31" s="94" t="n"/>
      <c r="AB31" s="94" t="n"/>
    </row>
    <row r="32">
      <c r="B32" s="11" t="inlineStr">
        <is>
          <t>1. Tangible fixed assets</t>
        </is>
      </c>
      <c r="C32" s="11" t="n"/>
      <c r="D32" s="11" t="n"/>
      <c r="E32" s="11" t="n"/>
      <c r="F32" s="11" t="n"/>
      <c r="G32" s="32">
        <f>SUM(G33:G34)</f>
        <v/>
      </c>
      <c r="H32" s="32">
        <f>SUM(H33:H34)</f>
        <v/>
      </c>
      <c r="I32" s="32">
        <f>SUM(I33:I34)</f>
        <v/>
      </c>
      <c r="J32" s="32">
        <f>SUM(J33:J34)</f>
        <v/>
      </c>
      <c r="K32" s="32">
        <f>SUM(K33:K34)</f>
        <v/>
      </c>
      <c r="L32" s="32">
        <f>SUM(L33:L34)</f>
        <v/>
      </c>
      <c r="M32" s="32">
        <f>SUM(M33:M34)</f>
        <v/>
      </c>
      <c r="N32" s="32">
        <f>SUM(N33:N34)</f>
        <v/>
      </c>
      <c r="Q32" s="76" t="inlineStr">
        <is>
          <t>Phải thu ngắn hạn khác</t>
        </is>
      </c>
      <c r="R32" s="76" t="n"/>
      <c r="S32" s="76" t="inlineStr">
        <is>
          <t>V.06</t>
        </is>
      </c>
      <c r="T32" s="473" t="n">
        <v>1287634689873</v>
      </c>
      <c r="U32" s="473" t="n">
        <v>1050578790220</v>
      </c>
      <c r="V32" s="76" t="n"/>
      <c r="W32" s="474">
        <f>W31+T32-U32</f>
        <v/>
      </c>
      <c r="X32" s="76" t="n"/>
      <c r="Y32" s="76" t="n"/>
      <c r="Z32" s="94" t="n"/>
      <c r="AA32" s="94" t="n"/>
      <c r="AB32" s="94" t="n"/>
    </row>
    <row r="33">
      <c r="B33" s="11" t="inlineStr">
        <is>
          <t>Cost</t>
        </is>
      </c>
      <c r="C33" s="11" t="n"/>
      <c r="D33" s="11" t="n"/>
      <c r="E33" s="11" t="n"/>
      <c r="F33" s="11" t="n"/>
      <c r="H33" s="32" t="n">
        <v>1403</v>
      </c>
      <c r="I33" s="32" t="n"/>
      <c r="J33" s="32" t="n"/>
      <c r="K33" s="32" t="n"/>
      <c r="L33" s="32" t="n"/>
      <c r="M33" s="32" t="n"/>
      <c r="N33" s="32" t="n"/>
      <c r="Q33" s="76" t="inlineStr">
        <is>
          <t>Dự phòng phải thu ngắn hạn khó đòi</t>
        </is>
      </c>
      <c r="R33" s="76" t="n"/>
      <c r="S33" s="76" t="n"/>
      <c r="T33" s="473" t="n">
        <v>-5212530480</v>
      </c>
      <c r="U33" s="473" t="n"/>
      <c r="V33" s="76" t="n"/>
      <c r="W33" s="474">
        <f>W32+T33-U33</f>
        <v/>
      </c>
      <c r="X33" s="76" t="n"/>
      <c r="Y33" s="76" t="n"/>
      <c r="Z33" s="94" t="n"/>
      <c r="AA33" s="94" t="n"/>
      <c r="AB33" s="94" t="n"/>
      <c r="AG33" s="475" t="n"/>
      <c r="AH33" s="475" t="n"/>
      <c r="AI33" s="475" t="n"/>
    </row>
    <row r="34">
      <c r="B34" s="11" t="inlineStr">
        <is>
          <t>Accumulated depreciation</t>
        </is>
      </c>
      <c r="C34" s="11" t="n"/>
      <c r="D34" s="11" t="n"/>
      <c r="E34" s="11" t="n"/>
      <c r="F34" s="11" t="n"/>
      <c r="H34" s="32" t="n">
        <v>-213</v>
      </c>
      <c r="I34" s="32" t="n"/>
      <c r="J34" s="32" t="n"/>
      <c r="K34" s="32" t="n"/>
      <c r="L34" s="32" t="n"/>
      <c r="M34" s="32" t="n"/>
      <c r="N34" s="32" t="n"/>
      <c r="Q34" s="76" t="inlineStr">
        <is>
          <t>Tài sản thiếu chờ xử lý</t>
        </is>
      </c>
      <c r="R34" s="76" t="n"/>
      <c r="S34" s="76" t="n"/>
      <c r="T34" s="473" t="n">
        <v>7833681</v>
      </c>
      <c r="U34" s="473" t="n">
        <v>7833681</v>
      </c>
      <c r="V34" s="76" t="n"/>
      <c r="W34" s="474">
        <f>W33+T34-U34</f>
        <v/>
      </c>
      <c r="X34" s="76" t="n"/>
      <c r="Y34" s="76" t="n"/>
      <c r="Z34" s="94" t="n"/>
      <c r="AA34" s="94" t="n"/>
      <c r="AB34" s="94" t="n"/>
      <c r="AG34" s="475" t="n"/>
      <c r="AH34" s="475" t="n"/>
      <c r="AI34" s="475" t="n"/>
    </row>
    <row r="35">
      <c r="B35" s="11" t="inlineStr">
        <is>
          <t>4.  Intangible fixed assets</t>
        </is>
      </c>
      <c r="C35" s="11" t="n"/>
      <c r="D35" s="11" t="n"/>
      <c r="E35" s="11" t="n"/>
      <c r="F35" s="11" t="n"/>
      <c r="G35" s="32">
        <f>SUM(G36:G37)</f>
        <v/>
      </c>
      <c r="H35" s="32">
        <f>SUM(H36:H37)</f>
        <v/>
      </c>
      <c r="I35" s="32">
        <f>SUM(I36:I37)</f>
        <v/>
      </c>
      <c r="J35" s="32">
        <f>SUM(J36:J37)</f>
        <v/>
      </c>
      <c r="K35" s="32">
        <f>SUM(K36:K37)</f>
        <v/>
      </c>
      <c r="L35" s="32" t="n">
        <v>0</v>
      </c>
      <c r="M35" s="32" t="n">
        <v>0</v>
      </c>
      <c r="N35" s="32" t="n">
        <v>0</v>
      </c>
      <c r="Q35" s="76" t="n"/>
      <c r="R35" s="76" t="n"/>
      <c r="S35" s="76" t="n"/>
      <c r="T35" s="473" t="n"/>
      <c r="U35" s="473" t="n"/>
      <c r="V35" s="76" t="n"/>
      <c r="W35" s="474">
        <f>W34+T35-U35</f>
        <v/>
      </c>
      <c r="X35" s="76" t="n"/>
      <c r="Y35" s="76" t="n"/>
      <c r="Z35" s="94" t="n"/>
      <c r="AA35" s="94" t="n"/>
      <c r="AB35" s="94" t="n"/>
    </row>
    <row r="36">
      <c r="B36" s="11" t="inlineStr">
        <is>
          <t>Cost</t>
        </is>
      </c>
      <c r="C36" s="11" t="n"/>
      <c r="D36" s="11" t="n"/>
      <c r="E36" s="11" t="n"/>
      <c r="F36" s="11" t="n"/>
      <c r="G36" s="32" t="n"/>
      <c r="H36" s="32" t="n"/>
      <c r="I36" s="32" t="n"/>
      <c r="J36" s="32" t="n"/>
      <c r="K36" s="32" t="n"/>
      <c r="L36" s="32" t="n"/>
      <c r="M36" s="32" t="n"/>
      <c r="N36" s="32" t="n"/>
      <c r="Q36" s="76" t="n"/>
      <c r="R36" s="76" t="n"/>
      <c r="S36" s="76" t="n"/>
      <c r="T36" s="473" t="n"/>
      <c r="U36" s="473" t="n"/>
      <c r="V36" s="76" t="n"/>
      <c r="W36" s="474">
        <f>W35+T36-U36</f>
        <v/>
      </c>
      <c r="X36" s="76" t="n"/>
      <c r="Y36" s="76" t="n"/>
      <c r="Z36" s="94" t="n"/>
      <c r="AA36" s="94" t="n"/>
      <c r="AB36" s="94" t="n"/>
    </row>
    <row r="37">
      <c r="B37" s="11" t="inlineStr">
        <is>
          <t>Accumulated amortisation</t>
        </is>
      </c>
      <c r="C37" s="11" t="n"/>
      <c r="D37" s="11" t="n"/>
      <c r="E37" s="11" t="n"/>
      <c r="F37" s="11" t="n"/>
      <c r="G37" s="32" t="n"/>
      <c r="H37" s="32" t="n"/>
      <c r="I37" s="32" t="n"/>
      <c r="J37" s="32" t="n"/>
      <c r="K37" s="32" t="n"/>
      <c r="L37" s="32" t="n"/>
      <c r="M37" s="32" t="n"/>
      <c r="N37" s="32" t="n"/>
      <c r="Q37" s="77" t="inlineStr">
        <is>
          <t>Tài sản ngắn hạn khác</t>
        </is>
      </c>
      <c r="R37" s="76" t="n"/>
      <c r="S37" s="76" t="n"/>
      <c r="T37" s="473" t="n"/>
      <c r="U37" s="473" t="n"/>
      <c r="V37" s="76" t="n"/>
      <c r="W37" s="474">
        <f>W36+T37-U37</f>
        <v/>
      </c>
      <c r="X37" s="76" t="n"/>
      <c r="Y37" s="76" t="n"/>
      <c r="Z37" s="94" t="n"/>
      <c r="AA37" s="94" t="n"/>
      <c r="AB37" s="94" t="n"/>
    </row>
    <row r="38">
      <c r="B38" s="10" t="inlineStr">
        <is>
          <t>III. Long-term assets in progress</t>
        </is>
      </c>
      <c r="C38" s="85">
        <f>C39</f>
        <v/>
      </c>
      <c r="D38" s="85">
        <f>D39</f>
        <v/>
      </c>
      <c r="E38" s="85">
        <f>E39</f>
        <v/>
      </c>
      <c r="F38" s="85">
        <f>F39</f>
        <v/>
      </c>
      <c r="G38" s="85">
        <f>G39</f>
        <v/>
      </c>
      <c r="H38" s="85">
        <f>H39</f>
        <v/>
      </c>
      <c r="I38" s="85">
        <f>I39</f>
        <v/>
      </c>
      <c r="J38" s="85">
        <f>J39</f>
        <v/>
      </c>
      <c r="K38" s="85">
        <f>K39</f>
        <v/>
      </c>
      <c r="L38" s="85">
        <f>L39</f>
        <v/>
      </c>
      <c r="M38" s="85">
        <f>M39</f>
        <v/>
      </c>
      <c r="N38" s="85">
        <f>N39</f>
        <v/>
      </c>
      <c r="Q38" s="80" t="n"/>
      <c r="R38" s="80" t="n"/>
      <c r="S38" s="80" t="n"/>
      <c r="T38" s="476" t="n"/>
      <c r="U38" s="476" t="n"/>
      <c r="V38" s="76" t="n"/>
      <c r="W38" s="474">
        <f>W37+T38-U38</f>
        <v/>
      </c>
      <c r="X38" s="76" t="n"/>
      <c r="Y38" s="76" t="n"/>
      <c r="Z38" s="94" t="n"/>
      <c r="AA38" s="94" t="n"/>
      <c r="AB38" s="94" t="n"/>
    </row>
    <row r="39">
      <c r="B39" s="11" t="inlineStr">
        <is>
          <t>1. Construction in progress</t>
        </is>
      </c>
      <c r="C39" s="11" t="n"/>
      <c r="D39" s="11" t="n"/>
      <c r="E39" s="11" t="n"/>
      <c r="F39" s="11" t="n"/>
      <c r="G39" s="32" t="n"/>
      <c r="H39" s="32" t="n">
        <v>27091</v>
      </c>
      <c r="I39" s="32" t="n"/>
      <c r="J39" s="32" t="n"/>
      <c r="K39" s="32" t="n"/>
      <c r="L39" s="32" t="n"/>
      <c r="M39" s="32" t="n"/>
      <c r="N39" s="32" t="n"/>
      <c r="Q39" s="76" t="inlineStr">
        <is>
          <t>Thuế GTGT được khấu trừ</t>
        </is>
      </c>
      <c r="R39" s="76" t="n"/>
      <c r="S39" s="76" t="inlineStr">
        <is>
          <t>V.14</t>
        </is>
      </c>
      <c r="T39" s="473" t="n">
        <v>158985220283</v>
      </c>
      <c r="U39" s="473" t="n">
        <v>23864937375</v>
      </c>
      <c r="V39" s="76" t="n"/>
      <c r="W39" s="474">
        <f>W38+T39-U39</f>
        <v/>
      </c>
      <c r="X39" s="76" t="n"/>
      <c r="Y39" s="76" t="n"/>
      <c r="Z39" s="94" t="n"/>
      <c r="AA39" s="94" t="n"/>
      <c r="AB39" s="94" t="n"/>
      <c r="AG39" s="459" t="n"/>
      <c r="AH39" s="459" t="n"/>
      <c r="AI39" s="459" t="n"/>
    </row>
    <row r="40">
      <c r="B40" s="10" t="inlineStr">
        <is>
          <t>IV.LONG-TERM FINANCIAL INVESTMENTS</t>
        </is>
      </c>
      <c r="C40" s="85">
        <f>SUM(C41:C43)</f>
        <v/>
      </c>
      <c r="D40" s="85">
        <f>SUM(D41:D43)</f>
        <v/>
      </c>
      <c r="E40" s="85">
        <f>SUM(E41:E43)</f>
        <v/>
      </c>
      <c r="F40" s="85">
        <f>SUM(F41:F43)</f>
        <v/>
      </c>
      <c r="G40" s="85">
        <f>SUM(G41:G43)</f>
        <v/>
      </c>
      <c r="H40" s="85">
        <f>SUM(H41:H43)</f>
        <v/>
      </c>
      <c r="I40" s="85">
        <f>SUM(I41:I43)</f>
        <v/>
      </c>
      <c r="J40" s="85">
        <f>SUM(J41:J43)</f>
        <v/>
      </c>
      <c r="K40" s="85">
        <f>SUM(K41:K43)</f>
        <v/>
      </c>
      <c r="L40" s="85">
        <f>SUM(L41:L43)</f>
        <v/>
      </c>
      <c r="M40" s="85">
        <f>SUM(M41:M43)</f>
        <v/>
      </c>
      <c r="N40" s="85">
        <f>SUM(N41:N43)</f>
        <v/>
      </c>
      <c r="Q40" s="76" t="inlineStr">
        <is>
          <t>Thuế và các khoản khác phải thu Nhà Nước</t>
        </is>
      </c>
      <c r="R40" s="76" t="n"/>
      <c r="S40" s="76" t="inlineStr">
        <is>
          <t>V.14</t>
        </is>
      </c>
      <c r="T40" s="473" t="n">
        <v>0</v>
      </c>
      <c r="U40" s="473" t="n">
        <v>2623969</v>
      </c>
      <c r="V40" s="76" t="n"/>
      <c r="W40" s="474">
        <f>W39+T40-U40</f>
        <v/>
      </c>
      <c r="X40" s="76" t="n"/>
      <c r="Y40" s="76" t="n"/>
      <c r="Z40" s="94" t="n"/>
      <c r="AA40" s="94" t="n"/>
      <c r="AB40" s="94" t="n"/>
    </row>
    <row r="41">
      <c r="B41" s="11" t="inlineStr">
        <is>
          <t>1. Investments in Subsidiaries</t>
        </is>
      </c>
      <c r="C41" s="11" t="n"/>
      <c r="D41" s="11" t="n"/>
      <c r="E41" s="11" t="n"/>
      <c r="F41" s="11" t="n"/>
      <c r="G41" s="85" t="n"/>
      <c r="H41" s="85" t="n"/>
      <c r="I41" s="85" t="n"/>
      <c r="J41" s="85" t="n"/>
      <c r="K41" s="85" t="n"/>
      <c r="L41" s="85" t="n"/>
      <c r="M41" s="85" t="n"/>
      <c r="N41" s="85" t="n"/>
      <c r="Q41" s="76" t="n"/>
      <c r="R41" s="76" t="n"/>
      <c r="S41" s="76" t="n"/>
      <c r="T41" s="473" t="n"/>
      <c r="U41" s="473" t="n"/>
      <c r="V41" s="76" t="n"/>
      <c r="W41" s="474" t="n"/>
      <c r="X41" s="76" t="n"/>
      <c r="Y41" s="76" t="n"/>
      <c r="Z41" s="94" t="n"/>
      <c r="AA41" s="94" t="n"/>
      <c r="AB41" s="94" t="n"/>
    </row>
    <row r="42">
      <c r="B42" s="96" t="inlineStr">
        <is>
          <t>2. Investments in cooperation</t>
        </is>
      </c>
      <c r="C42" s="96" t="n"/>
      <c r="D42" s="96" t="n"/>
      <c r="E42" s="96" t="n"/>
      <c r="F42" s="96" t="n"/>
      <c r="G42" s="32" t="n"/>
      <c r="H42" s="32" t="n">
        <v>596239</v>
      </c>
      <c r="I42" s="32" t="n"/>
      <c r="J42" s="32" t="n"/>
      <c r="K42" s="32" t="n"/>
      <c r="L42" s="32" t="n"/>
      <c r="M42" s="32" t="n"/>
      <c r="N42" s="32" t="n"/>
      <c r="Q42" s="76" t="n"/>
      <c r="R42" s="76" t="n"/>
      <c r="S42" s="76" t="n"/>
      <c r="T42" s="473" t="n"/>
      <c r="U42" s="473" t="n"/>
      <c r="V42" s="76" t="n"/>
      <c r="W42" s="474">
        <f>W40+T42-U42</f>
        <v/>
      </c>
      <c r="X42" s="76" t="n"/>
      <c r="Y42" s="76" t="n"/>
      <c r="Z42" s="94" t="n"/>
      <c r="AA42" s="94" t="n"/>
      <c r="AB42" s="94" t="n"/>
    </row>
    <row r="43">
      <c r="B43" t="inlineStr">
        <is>
          <t>3. Investments in Others</t>
        </is>
      </c>
      <c r="G43" s="32" t="n"/>
      <c r="H43" t="n">
        <v>356000</v>
      </c>
      <c r="I43" s="32" t="n"/>
      <c r="J43" s="32" t="n"/>
      <c r="K43" s="32" t="n"/>
      <c r="L43" s="32" t="n"/>
      <c r="M43" s="32" t="n"/>
      <c r="N43" s="32" t="n"/>
      <c r="Q43" s="76" t="n"/>
      <c r="R43" s="76" t="n"/>
      <c r="S43" s="76" t="n"/>
      <c r="T43" s="473" t="n"/>
      <c r="U43" s="473" t="n"/>
      <c r="V43" s="76" t="n"/>
      <c r="W43" s="474">
        <f>W42+T43-U43</f>
        <v/>
      </c>
      <c r="X43" s="76" t="n"/>
      <c r="Y43" s="76" t="n"/>
      <c r="Z43" s="94" t="n"/>
      <c r="AA43" s="94" t="n"/>
      <c r="AB43" s="94" t="n"/>
    </row>
    <row r="44">
      <c r="B44" s="10" t="inlineStr">
        <is>
          <t xml:space="preserve">V. Other long-term assets </t>
        </is>
      </c>
      <c r="C44" s="85">
        <f>SUM(C45:C47)</f>
        <v/>
      </c>
      <c r="D44" s="85">
        <f>SUM(D45:D47)</f>
        <v/>
      </c>
      <c r="E44" s="85">
        <f>SUM(E45:E47)</f>
        <v/>
      </c>
      <c r="F44" s="85">
        <f>SUM(F45:F47)</f>
        <v/>
      </c>
      <c r="G44" s="85">
        <f>SUM(G45:G47)</f>
        <v/>
      </c>
      <c r="H44" s="85">
        <f>SUM(H45:H47)</f>
        <v/>
      </c>
      <c r="I44" s="85">
        <f>SUM(I45:I47)</f>
        <v/>
      </c>
      <c r="J44" s="85">
        <f>SUM(J45:J47)</f>
        <v/>
      </c>
      <c r="K44" s="85">
        <f>SUM(K45:K47)</f>
        <v/>
      </c>
      <c r="L44" s="85">
        <f>SUM(L45:L47)</f>
        <v/>
      </c>
      <c r="M44" s="85">
        <f>SUM(M45:M47)</f>
        <v/>
      </c>
      <c r="N44" s="85">
        <f>SUM(N45:N47)</f>
        <v/>
      </c>
      <c r="Q44" s="77" t="inlineStr">
        <is>
          <t>Các khoản phải thu dài hạn</t>
        </is>
      </c>
      <c r="R44" s="76" t="n"/>
      <c r="S44" s="76" t="n"/>
      <c r="T44" s="473" t="n"/>
      <c r="U44" s="473" t="n"/>
      <c r="V44" s="76" t="n"/>
      <c r="W44" s="474">
        <f>W43+T44-U44</f>
        <v/>
      </c>
      <c r="X44" s="76" t="n"/>
      <c r="Y44" s="76" t="n"/>
      <c r="Z44" s="94" t="n"/>
      <c r="AA44" s="94" t="n"/>
      <c r="AB44" s="94" t="n"/>
    </row>
    <row r="45">
      <c r="B45" s="11" t="inlineStr">
        <is>
          <t>1. Long-term prepaid expenses</t>
        </is>
      </c>
      <c r="C45" s="11" t="n"/>
      <c r="D45" s="11" t="n"/>
      <c r="E45" s="11" t="n"/>
      <c r="F45" s="11" t="n"/>
      <c r="G45" s="32" t="n"/>
      <c r="H45" s="32" t="n">
        <v>6714</v>
      </c>
      <c r="I45" s="32" t="n"/>
      <c r="J45" s="32" t="n"/>
      <c r="K45" s="32" t="n"/>
      <c r="L45" s="32" t="n"/>
      <c r="M45" s="32" t="n"/>
      <c r="N45" s="32" t="n"/>
      <c r="Q45" s="76" t="inlineStr">
        <is>
          <t>Phải thu về cho vay dài hạn</t>
        </is>
      </c>
      <c r="R45" s="76" t="n"/>
      <c r="S45" s="76" t="inlineStr">
        <is>
          <t>V.05</t>
        </is>
      </c>
      <c r="T45" s="473" t="n">
        <v>2500000000</v>
      </c>
      <c r="U45" s="473" t="n">
        <v>1586700000000</v>
      </c>
      <c r="V45" s="76" t="n"/>
      <c r="W45" s="474">
        <f>W44+T45-U45</f>
        <v/>
      </c>
      <c r="X45" s="76" t="n"/>
      <c r="Y45" s="474" t="n"/>
      <c r="Z45" s="94" t="n"/>
      <c r="AA45" s="94" t="n"/>
      <c r="AB45" s="94" t="n"/>
      <c r="AG45" s="459" t="n"/>
      <c r="AH45" s="459" t="n"/>
      <c r="AI45" s="459" t="n"/>
    </row>
    <row r="46">
      <c r="B46" s="11" t="inlineStr">
        <is>
          <t>2. Deferred tax assets</t>
        </is>
      </c>
      <c r="C46" s="11" t="n"/>
      <c r="D46" s="11" t="n"/>
      <c r="E46" s="11" t="n"/>
      <c r="F46" s="11" t="n"/>
      <c r="G46" s="32" t="n"/>
      <c r="I46" s="32" t="n"/>
      <c r="J46" s="32" t="n"/>
      <c r="K46" s="32" t="n"/>
      <c r="L46" s="32" t="n"/>
      <c r="M46" s="32" t="n"/>
      <c r="N46" s="32" t="n"/>
      <c r="Q46" s="76" t="inlineStr">
        <is>
          <t>Phải thu dài hạn khác</t>
        </is>
      </c>
      <c r="R46" s="76" t="n"/>
      <c r="S46" s="76" t="inlineStr">
        <is>
          <t>V.06</t>
        </is>
      </c>
      <c r="T46" s="473" t="n">
        <v>2741911909771</v>
      </c>
      <c r="U46" s="473" t="n">
        <v>0</v>
      </c>
      <c r="V46" s="76" t="n"/>
      <c r="W46" s="474">
        <f>W45+T46-U46</f>
        <v/>
      </c>
      <c r="X46" s="76" t="n"/>
      <c r="Y46" s="76" t="n"/>
      <c r="Z46" s="94" t="n"/>
      <c r="AA46" s="94" t="n"/>
      <c r="AB46" s="94" t="n"/>
    </row>
    <row r="47" ht="15" customHeight="1" s="337" thickBot="1">
      <c r="B47" s="11" t="inlineStr">
        <is>
          <t>3. Goodwill</t>
        </is>
      </c>
      <c r="C47" s="11" t="n"/>
      <c r="D47" s="11" t="n"/>
      <c r="E47" s="11" t="n"/>
      <c r="F47" s="11" t="n"/>
      <c r="G47" s="32" t="n"/>
      <c r="H47" s="32" t="n">
        <v>172722</v>
      </c>
      <c r="I47" s="32" t="n"/>
      <c r="J47" s="32" t="n"/>
      <c r="K47" s="32" t="n"/>
      <c r="L47" s="32" t="n"/>
      <c r="M47" s="32" t="n"/>
      <c r="N47" s="32" t="n"/>
      <c r="Q47" s="76" t="n"/>
      <c r="R47" s="76" t="n"/>
      <c r="S47" s="76" t="n"/>
      <c r="T47" s="473" t="n"/>
      <c r="U47" s="473" t="n"/>
      <c r="V47" s="76" t="n"/>
      <c r="W47" s="76" t="n"/>
      <c r="X47" s="76" t="n"/>
      <c r="Y47" s="76" t="n"/>
      <c r="Z47" s="94" t="n"/>
      <c r="AA47" s="94" t="n"/>
      <c r="AB47" s="94" t="n"/>
      <c r="AG47" s="459" t="n"/>
      <c r="AH47" s="459" t="n"/>
      <c r="AI47" s="459" t="n"/>
    </row>
    <row r="48" ht="15.6" customHeight="1" s="337" thickBot="1" thickTop="1">
      <c r="B48" s="12" t="inlineStr">
        <is>
          <t>TOTAL ASSETS</t>
        </is>
      </c>
      <c r="C48" s="85">
        <f>SUM(C24,C23)</f>
        <v/>
      </c>
      <c r="D48" s="85">
        <f>SUM(D24,D23)</f>
        <v/>
      </c>
      <c r="E48" s="85">
        <f>SUM(E24,E23)</f>
        <v/>
      </c>
      <c r="F48" s="85">
        <f>SUM(F24,F23)</f>
        <v/>
      </c>
      <c r="G48" s="85">
        <f>SUM(G24,G23)</f>
        <v/>
      </c>
      <c r="H48" s="85">
        <f>SUM(H24,H23)</f>
        <v/>
      </c>
      <c r="I48" s="85">
        <f>SUM(I24,I23)</f>
        <v/>
      </c>
      <c r="J48" s="85">
        <f>SUM(J24,J23)</f>
        <v/>
      </c>
      <c r="K48" s="85">
        <f>SUM(K24,K23)</f>
        <v/>
      </c>
      <c r="L48" s="85">
        <f>SUM(L24,L23)</f>
        <v/>
      </c>
      <c r="M48" s="85">
        <f>SUM(M24,M23)</f>
        <v/>
      </c>
      <c r="N48" s="85">
        <f>SUM(N24,N23)</f>
        <v/>
      </c>
      <c r="Q48" s="77" t="n"/>
      <c r="R48" s="76" t="n"/>
      <c r="S48" s="76" t="n"/>
      <c r="T48" s="473" t="n"/>
      <c r="U48" s="473" t="n"/>
      <c r="V48" s="76" t="n"/>
      <c r="W48" s="76" t="n"/>
      <c r="X48" s="76" t="n"/>
      <c r="Y48" s="76" t="n"/>
      <c r="Z48" s="94" t="n"/>
      <c r="AA48" s="94" t="n"/>
      <c r="AB48" s="94" t="n"/>
    </row>
    <row r="49" ht="15.6" customHeight="1" s="337" thickBot="1" thickTop="1">
      <c r="B49" s="8" t="inlineStr">
        <is>
          <t>RESOURCES</t>
        </is>
      </c>
      <c r="C49" s="97" t="n"/>
      <c r="D49" s="97" t="n"/>
      <c r="E49" s="97" t="n"/>
      <c r="F49" s="97" t="n"/>
      <c r="G49" s="32" t="n"/>
      <c r="H49" s="32" t="n"/>
      <c r="I49" s="32" t="n"/>
      <c r="J49" s="32" t="n"/>
      <c r="K49" s="32" t="n"/>
      <c r="L49" s="32" t="n">
        <v>0</v>
      </c>
      <c r="M49" s="32" t="n">
        <v>0</v>
      </c>
      <c r="N49" s="32" t="n">
        <v>0</v>
      </c>
      <c r="Q49" s="80" t="n"/>
      <c r="R49" s="80" t="n"/>
      <c r="S49" s="80" t="n"/>
      <c r="T49" s="476" t="n"/>
      <c r="U49" s="476" t="n"/>
      <c r="V49" s="76" t="n"/>
      <c r="W49" s="76" t="n"/>
      <c r="X49" s="76" t="n"/>
      <c r="Y49" s="76" t="n"/>
      <c r="Z49" s="94" t="n"/>
      <c r="AA49" s="94" t="n"/>
      <c r="AB49" s="94" t="n"/>
    </row>
    <row r="50" ht="15" customHeight="1" s="337" thickTop="1">
      <c r="B50" s="5" t="inlineStr">
        <is>
          <t>A. LIABILITIES</t>
        </is>
      </c>
      <c r="C50" s="85">
        <f>SUM(C51,C62)</f>
        <v/>
      </c>
      <c r="D50" s="85">
        <f>SUM(D51,D62)</f>
        <v/>
      </c>
      <c r="E50" s="85">
        <f>SUM(E51,E62)</f>
        <v/>
      </c>
      <c r="F50" s="85">
        <f>SUM(F51,F62)</f>
        <v/>
      </c>
      <c r="G50" s="85">
        <f>SUM(G51,G62)</f>
        <v/>
      </c>
      <c r="H50" s="85">
        <f>SUM(H51,H62)</f>
        <v/>
      </c>
      <c r="I50" s="85">
        <f>SUM(I51,I62)</f>
        <v/>
      </c>
      <c r="J50" s="85">
        <f>SUM(J51,J62)</f>
        <v/>
      </c>
      <c r="K50" s="85">
        <f>SUM(K51,K62)</f>
        <v/>
      </c>
      <c r="L50" s="85">
        <f>SUM(L51,L62)</f>
        <v/>
      </c>
      <c r="M50" s="85">
        <f>SUM(M51,M62)</f>
        <v/>
      </c>
      <c r="N50" s="85">
        <f>SUM(N51,N62)</f>
        <v/>
      </c>
      <c r="Q50" s="76" t="n"/>
      <c r="R50" s="76" t="n"/>
      <c r="S50" s="76" t="n"/>
      <c r="T50" s="473" t="n"/>
      <c r="U50" s="473" t="n"/>
      <c r="V50" s="76" t="n"/>
      <c r="W50" s="76" t="n"/>
      <c r="X50" s="76" t="n"/>
      <c r="Y50" s="76" t="n"/>
      <c r="Z50" s="94" t="n"/>
      <c r="AA50" s="94" t="n"/>
      <c r="AB50" s="94" t="n"/>
    </row>
    <row r="51">
      <c r="B51" s="6" t="inlineStr">
        <is>
          <t>I. Current liabilities</t>
        </is>
      </c>
      <c r="C51" s="85">
        <f>SUM(C52:C61)</f>
        <v/>
      </c>
      <c r="D51" s="85">
        <f>SUM(D52:D61)</f>
        <v/>
      </c>
      <c r="E51" s="85">
        <f>SUM(E52:E61)</f>
        <v/>
      </c>
      <c r="F51" s="85">
        <f>SUM(F52:F61)</f>
        <v/>
      </c>
      <c r="G51" s="85">
        <f>SUM(G52:G61)</f>
        <v/>
      </c>
      <c r="H51" s="85">
        <f>SUM(H52:H61)</f>
        <v/>
      </c>
      <c r="I51" s="85">
        <f>SUM(I52:I61)</f>
        <v/>
      </c>
      <c r="J51" s="85">
        <f>SUM(J52:J61)</f>
        <v/>
      </c>
      <c r="K51" s="85">
        <f>SUM(K52:K61)</f>
        <v/>
      </c>
      <c r="L51" s="85">
        <f>SUM(L52:L61)</f>
        <v/>
      </c>
      <c r="M51" s="85">
        <f>SUM(M52:M61)</f>
        <v/>
      </c>
      <c r="N51" s="85">
        <f>SUM(N52:N61)</f>
        <v/>
      </c>
      <c r="Q51" s="76" t="n"/>
      <c r="R51" s="76" t="n"/>
      <c r="S51" s="76" t="n"/>
      <c r="T51" s="473" t="n"/>
      <c r="U51" s="473" t="n"/>
      <c r="V51" s="76" t="n"/>
      <c r="W51" s="76" t="n"/>
      <c r="X51" s="76" t="n"/>
      <c r="Y51" s="76" t="n"/>
      <c r="Z51" s="94" t="n"/>
      <c r="AA51" s="94" t="n"/>
      <c r="AB51" s="94" t="n"/>
    </row>
    <row r="52">
      <c r="B52" s="7" t="inlineStr">
        <is>
          <t>1. Trade payables</t>
        </is>
      </c>
      <c r="C52" s="11" t="n"/>
      <c r="D52" s="11" t="n"/>
      <c r="E52" s="11" t="n"/>
      <c r="F52" s="11" t="n"/>
      <c r="G52" s="32" t="n">
        <v>50074</v>
      </c>
      <c r="H52" s="32" t="n">
        <v>73308</v>
      </c>
      <c r="I52" s="32" t="n"/>
      <c r="J52" s="32" t="n"/>
      <c r="K52" s="32" t="n"/>
      <c r="L52" s="32" t="n"/>
      <c r="M52" s="32" t="n"/>
      <c r="N52" s="32" t="n"/>
      <c r="Q52" s="76" t="n"/>
      <c r="R52" s="76" t="n"/>
      <c r="S52" s="76" t="n"/>
      <c r="T52" s="473" t="n"/>
      <c r="U52" s="473" t="n"/>
      <c r="V52" s="76" t="n"/>
      <c r="W52" s="76" t="n"/>
      <c r="X52" s="76" t="n"/>
      <c r="Y52" s="76" t="n"/>
      <c r="Z52" s="94" t="n"/>
      <c r="AA52" s="94" t="n"/>
      <c r="AB52" s="94" t="n"/>
      <c r="AG52" s="459" t="n"/>
      <c r="AH52" s="459" t="n"/>
      <c r="AI52" s="459" t="n"/>
    </row>
    <row r="53">
      <c r="B53" s="7" t="inlineStr">
        <is>
          <t>2. Advances from customers</t>
        </is>
      </c>
      <c r="C53" s="11" t="n"/>
      <c r="D53" s="11" t="n"/>
      <c r="E53" s="11" t="n"/>
      <c r="F53" s="11" t="n"/>
      <c r="G53" s="32" t="n">
        <v>282</v>
      </c>
      <c r="H53" s="32" t="n">
        <v>493</v>
      </c>
      <c r="I53" s="32" t="n"/>
      <c r="J53" s="32" t="n"/>
      <c r="K53" s="32" t="n"/>
      <c r="L53" s="32" t="n"/>
      <c r="M53" s="32" t="n"/>
      <c r="N53" s="32" t="n"/>
      <c r="Q53" s="77" t="inlineStr">
        <is>
          <t>Nợ ngắn hạn</t>
        </is>
      </c>
      <c r="R53" s="76" t="n"/>
      <c r="S53" s="76" t="n"/>
      <c r="T53" s="473" t="n"/>
      <c r="U53" s="473" t="n"/>
      <c r="V53" s="76" t="n"/>
      <c r="W53" s="76" t="n"/>
      <c r="X53" s="76" t="n"/>
      <c r="Y53" s="76" t="n"/>
      <c r="Z53" s="94" t="n"/>
      <c r="AA53" s="94" t="n"/>
      <c r="AB53" s="94" t="n"/>
      <c r="AG53" s="459" t="n"/>
      <c r="AH53" s="459" t="n"/>
      <c r="AI53" s="459" t="n"/>
    </row>
    <row r="54">
      <c r="B54" s="7" t="inlineStr">
        <is>
          <t>3. Statutory obligations</t>
        </is>
      </c>
      <c r="C54" s="11" t="n"/>
      <c r="D54" s="11" t="n"/>
      <c r="E54" s="11" t="n"/>
      <c r="F54" s="11" t="n"/>
      <c r="G54" s="32" t="n"/>
      <c r="H54" s="32" t="n"/>
      <c r="I54" s="32" t="n"/>
      <c r="J54" s="32" t="n"/>
      <c r="K54" s="32" t="n"/>
      <c r="L54" s="32" t="n"/>
      <c r="M54" s="32" t="n"/>
      <c r="N54" s="32" t="n"/>
      <c r="Q54" s="76" t="inlineStr">
        <is>
          <t>Phải trả người bán ngắn hạn</t>
        </is>
      </c>
      <c r="R54" s="76" t="n"/>
      <c r="S54" s="76" t="n"/>
      <c r="T54" s="473" t="n">
        <v>280566634797</v>
      </c>
      <c r="U54" s="473" t="n">
        <v>150417643813</v>
      </c>
      <c r="V54" s="76" t="n"/>
      <c r="W54" s="474">
        <f>T54-U54</f>
        <v/>
      </c>
      <c r="X54" s="76" t="n"/>
      <c r="Y54" s="76" t="n"/>
      <c r="Z54" s="94" t="n"/>
      <c r="AA54" s="94" t="n"/>
      <c r="AB54" s="94" t="n"/>
      <c r="AG54" s="459" t="n"/>
      <c r="AH54" s="459" t="n"/>
      <c r="AI54" s="459" t="n"/>
    </row>
    <row r="55">
      <c r="B55" s="7" t="inlineStr">
        <is>
          <t>4. Payables to employees</t>
        </is>
      </c>
      <c r="C55" s="11" t="n"/>
      <c r="D55" s="11" t="n"/>
      <c r="E55" s="11" t="n"/>
      <c r="F55" s="11" t="n"/>
      <c r="G55" s="32" t="n"/>
      <c r="H55" s="32" t="n"/>
      <c r="I55" s="32" t="n"/>
      <c r="J55" s="32" t="n"/>
      <c r="K55" s="32" t="n"/>
      <c r="L55" s="32" t="n"/>
      <c r="M55" s="32" t="n"/>
      <c r="N55" s="32" t="n"/>
      <c r="Q55" s="76" t="inlineStr">
        <is>
          <t>Người mua trả tiền trước ngắn hạn</t>
        </is>
      </c>
      <c r="R55" s="76" t="n"/>
      <c r="S55" s="76" t="n"/>
      <c r="T55" s="473" t="n">
        <v>135093180</v>
      </c>
      <c r="U55" s="473" t="n">
        <v>54811787</v>
      </c>
      <c r="V55" s="76" t="n"/>
      <c r="W55" s="474">
        <f>W54+T55-U55</f>
        <v/>
      </c>
      <c r="X55" s="76" t="n"/>
      <c r="Y55" s="76" t="n"/>
      <c r="Z55" s="94" t="n"/>
      <c r="AA55" s="94" t="n"/>
      <c r="AB55" s="94" t="n"/>
      <c r="AG55" s="459" t="n"/>
      <c r="AH55" s="459" t="n"/>
      <c r="AI55" s="459" t="n"/>
    </row>
    <row r="56">
      <c r="B56" s="7" t="inlineStr">
        <is>
          <t xml:space="preserve">5. Accrued expenses </t>
        </is>
      </c>
      <c r="C56" s="11" t="n"/>
      <c r="D56" s="11" t="n"/>
      <c r="E56" s="11" t="n"/>
      <c r="F56" s="11" t="n"/>
      <c r="G56" s="32" t="n"/>
      <c r="H56" s="32" t="n"/>
      <c r="I56" s="32" t="n"/>
      <c r="J56" s="32" t="n"/>
      <c r="K56" s="32" t="n"/>
      <c r="L56" s="32" t="n"/>
      <c r="M56" s="32" t="n"/>
      <c r="N56" s="32" t="n"/>
      <c r="Q56" s="76" t="inlineStr">
        <is>
          <t>Thuế và các khoản phải nộp nhà nước</t>
        </is>
      </c>
      <c r="R56" s="76" t="n"/>
      <c r="S56" s="76" t="n"/>
      <c r="T56" s="473" t="n">
        <v>7138378669</v>
      </c>
      <c r="U56" s="473" t="n">
        <v>7970082313</v>
      </c>
      <c r="V56" s="76" t="n"/>
      <c r="W56" s="76" t="n"/>
      <c r="X56" s="76" t="n"/>
      <c r="Y56" s="76" t="n"/>
      <c r="Z56" s="94" t="n"/>
      <c r="AA56" s="94" t="n"/>
      <c r="AB56" s="94" t="n"/>
      <c r="AG56" s="459" t="n"/>
      <c r="AH56" s="459" t="n"/>
      <c r="AI56" s="459" t="n"/>
    </row>
    <row r="57">
      <c r="B57" s="7" t="inlineStr">
        <is>
          <t>6. Intercompany payables</t>
        </is>
      </c>
      <c r="C57" s="11" t="n"/>
      <c r="D57" s="11" t="n"/>
      <c r="E57" s="11" t="n"/>
      <c r="F57" s="11" t="n"/>
      <c r="G57" s="32" t="n"/>
      <c r="H57" s="32" t="n"/>
      <c r="I57" s="32" t="n"/>
      <c r="J57" s="32" t="n"/>
      <c r="K57" s="32" t="n"/>
      <c r="L57" s="32" t="n"/>
      <c r="M57" s="32" t="n"/>
      <c r="N57" s="32" t="n"/>
      <c r="Q57" s="76" t="inlineStr">
        <is>
          <t>phải trả người lao động</t>
        </is>
      </c>
      <c r="R57" s="76" t="n"/>
      <c r="S57" s="76" t="n"/>
      <c r="T57" s="473" t="n">
        <v>82529088</v>
      </c>
      <c r="U57" s="473" t="n">
        <v>75764127</v>
      </c>
      <c r="V57" s="76" t="n"/>
      <c r="W57" s="474">
        <f>W55+T57-U57</f>
        <v/>
      </c>
      <c r="X57" s="76" t="n"/>
      <c r="Y57" s="76" t="n"/>
      <c r="Z57" s="94" t="n"/>
      <c r="AA57" s="94" t="n"/>
      <c r="AB57" s="94" t="n"/>
    </row>
    <row r="58">
      <c r="B58" s="7" t="inlineStr">
        <is>
          <t>7. Short-term deferred revenue</t>
        </is>
      </c>
      <c r="C58" s="11" t="n"/>
      <c r="D58" s="11" t="n"/>
      <c r="E58" s="11" t="n"/>
      <c r="F58" s="11" t="n"/>
      <c r="G58" s="32" t="n"/>
      <c r="H58" s="32" t="n"/>
      <c r="I58" s="32" t="n"/>
      <c r="J58" s="32" t="n"/>
      <c r="K58" s="32" t="n"/>
      <c r="L58" s="32" t="n"/>
      <c r="M58" s="32" t="n"/>
      <c r="N58" s="32" t="n"/>
      <c r="Q58" s="76" t="inlineStr">
        <is>
          <t>Chi phí phải trả ngắn hạn</t>
        </is>
      </c>
      <c r="R58" s="76" t="n"/>
      <c r="S58" s="76" t="n"/>
      <c r="T58" s="473" t="n">
        <v>249113922720</v>
      </c>
      <c r="U58" s="473" t="n">
        <v>245774279616</v>
      </c>
      <c r="V58" s="76" t="n"/>
      <c r="W58" s="474" t="n"/>
      <c r="X58" s="76" t="n"/>
      <c r="Y58" s="76" t="n"/>
      <c r="Z58" s="94" t="n"/>
      <c r="AA58" s="94" t="n"/>
      <c r="AB58" s="94" t="n"/>
    </row>
    <row r="59">
      <c r="B59" s="7" t="inlineStr">
        <is>
          <t>8. Other payables</t>
        </is>
      </c>
      <c r="C59" s="11" t="n"/>
      <c r="D59" s="11" t="n"/>
      <c r="E59" s="11" t="n"/>
      <c r="F59" s="11" t="n"/>
      <c r="G59" s="32" t="n"/>
      <c r="H59" s="32" t="n"/>
      <c r="I59" s="32" t="n"/>
      <c r="J59" s="32" t="n"/>
      <c r="K59" s="32" t="n"/>
      <c r="L59" s="32" t="n"/>
      <c r="M59" s="32" t="n"/>
      <c r="N59" s="32" t="n"/>
      <c r="Q59" s="76" t="n"/>
      <c r="R59" s="76" t="inlineStr">
        <is>
          <t>Trích trước chi phí xây dựng</t>
        </is>
      </c>
      <c r="S59" s="76" t="n"/>
      <c r="T59" s="473" t="n">
        <v>73730026861</v>
      </c>
      <c r="U59" s="473" t="n">
        <v>133984134462</v>
      </c>
      <c r="V59" s="76" t="n"/>
      <c r="W59" s="474">
        <f>W57+T59-U59</f>
        <v/>
      </c>
      <c r="X59" s="76" t="n"/>
      <c r="Y59" s="76" t="n"/>
      <c r="Z59" s="94" t="n"/>
      <c r="AA59" s="94" t="n"/>
      <c r="AB59" s="94" t="n"/>
      <c r="AG59" s="459" t="n"/>
      <c r="AH59" s="459" t="n"/>
      <c r="AI59" s="459" t="n"/>
    </row>
    <row r="60">
      <c r="B60" s="7" t="inlineStr">
        <is>
          <t>9. Short-term loans and borrowings</t>
        </is>
      </c>
      <c r="C60" s="11" t="n"/>
      <c r="D60" s="11" t="n"/>
      <c r="E60" s="11" t="n"/>
      <c r="F60" s="11" t="n"/>
      <c r="G60" s="32" t="n"/>
      <c r="H60" s="32" t="n"/>
      <c r="I60" s="32" t="n"/>
      <c r="J60" s="32" t="n"/>
      <c r="K60" s="32" t="n"/>
      <c r="L60" s="32" t="n"/>
      <c r="M60" s="32" t="n"/>
      <c r="N60" s="32" t="n"/>
      <c r="Q60" s="76" t="n"/>
      <c r="R60" s="76" t="inlineStr">
        <is>
          <t>Lãi vay, lãi trái phiếu</t>
        </is>
      </c>
      <c r="S60" s="76" t="n"/>
      <c r="T60" s="473" t="n">
        <v>166100401095</v>
      </c>
      <c r="U60" s="473" t="n">
        <v>111504774430</v>
      </c>
      <c r="V60" s="76" t="n"/>
      <c r="W60" s="76" t="n"/>
      <c r="X60" s="76" t="n"/>
      <c r="Y60" s="76" t="n"/>
      <c r="Z60" s="94" t="n"/>
      <c r="AA60" s="94" t="n"/>
      <c r="AB60" s="94" t="n"/>
      <c r="AG60" s="459" t="n"/>
      <c r="AH60" s="459" t="n"/>
      <c r="AI60" s="459" t="n"/>
    </row>
    <row r="61">
      <c r="B61" s="7" t="inlineStr">
        <is>
          <t>10. Bonus and welfare fund</t>
        </is>
      </c>
      <c r="C61" s="11" t="n"/>
      <c r="D61" s="11" t="n"/>
      <c r="E61" s="11" t="n"/>
      <c r="F61" s="11" t="n"/>
      <c r="G61" s="32" t="n"/>
      <c r="H61" s="32" t="n"/>
      <c r="I61" s="32" t="n"/>
      <c r="J61" s="32" t="n"/>
      <c r="K61" s="32" t="n"/>
      <c r="L61" s="32" t="n"/>
      <c r="M61" s="32" t="n"/>
      <c r="N61" s="32" t="n"/>
      <c r="Q61" s="76" t="n"/>
      <c r="R61" s="76" t="inlineStr">
        <is>
          <t>Chi phí phải trả khác</t>
        </is>
      </c>
      <c r="S61" s="76" t="n"/>
      <c r="T61" s="473" t="n">
        <v>9283494764</v>
      </c>
      <c r="U61" s="473" t="n">
        <v>285370724</v>
      </c>
      <c r="V61" s="76" t="n"/>
      <c r="W61" s="474">
        <f>W59+T61-U61</f>
        <v/>
      </c>
      <c r="X61" s="76" t="n"/>
      <c r="Y61" s="76" t="n"/>
      <c r="Z61" s="94" t="n"/>
      <c r="AA61" s="94" t="n"/>
      <c r="AB61" s="94" t="n"/>
      <c r="AG61" s="459" t="n"/>
      <c r="AH61" s="459" t="n"/>
      <c r="AI61" s="459" t="n"/>
    </row>
    <row r="62">
      <c r="B62" s="13" t="inlineStr">
        <is>
          <t>II. Non-current liabilities</t>
        </is>
      </c>
      <c r="C62" s="85">
        <f>SUM(C63:C67)</f>
        <v/>
      </c>
      <c r="D62" s="85">
        <f>SUM(D63:D67)</f>
        <v/>
      </c>
      <c r="E62" s="85">
        <f>SUM(E63:E67)</f>
        <v/>
      </c>
      <c r="F62" s="85">
        <f>SUM(F63:F67)</f>
        <v/>
      </c>
      <c r="G62" s="85">
        <f>SUM(G63:G67)</f>
        <v/>
      </c>
      <c r="H62" s="85">
        <f>SUM(H63:H67)</f>
        <v/>
      </c>
      <c r="I62" s="85">
        <f>SUM(I63:I67)</f>
        <v/>
      </c>
      <c r="J62" s="85">
        <f>SUM(J63:J67)</f>
        <v/>
      </c>
      <c r="K62" s="85">
        <f>SUM(K63:K67)</f>
        <v/>
      </c>
      <c r="L62" s="85">
        <f>SUM(L63:L67)</f>
        <v/>
      </c>
      <c r="M62" s="85">
        <f>SUM(M63:M67)</f>
        <v/>
      </c>
      <c r="N62" s="85">
        <f>SUM(N63:N67)</f>
        <v/>
      </c>
      <c r="Q62" s="76" t="n"/>
      <c r="R62" s="76" t="n"/>
      <c r="S62" s="76" t="n"/>
      <c r="T62" s="473" t="n"/>
      <c r="U62" s="473" t="n"/>
      <c r="V62" s="76" t="n"/>
      <c r="W62" s="76" t="n"/>
      <c r="X62" s="76" t="n"/>
      <c r="Y62" s="76" t="n"/>
      <c r="Z62" s="94" t="n"/>
      <c r="AA62" s="94" t="n"/>
      <c r="AB62" s="94" t="n"/>
    </row>
    <row r="63">
      <c r="B63" s="73" t="inlineStr">
        <is>
          <t>long term payable</t>
        </is>
      </c>
      <c r="C63" s="98" t="n"/>
      <c r="D63" s="98" t="n"/>
      <c r="E63" s="98" t="n"/>
      <c r="F63" s="98" t="n"/>
      <c r="G63" s="85" t="n"/>
      <c r="H63" s="85" t="n"/>
      <c r="I63" s="85" t="n"/>
      <c r="J63" s="85" t="n"/>
      <c r="K63" s="32" t="n"/>
      <c r="L63" s="32" t="n"/>
      <c r="M63" s="32" t="n"/>
      <c r="N63" s="32" t="n"/>
      <c r="Q63" s="76" t="inlineStr">
        <is>
          <t>Phải trả ngắn hạn khác</t>
        </is>
      </c>
      <c r="R63" s="76" t="n"/>
      <c r="S63" s="76" t="n"/>
      <c r="T63" s="473" t="n">
        <v>534487288512</v>
      </c>
      <c r="U63" s="473" t="n">
        <v>2309130162</v>
      </c>
      <c r="V63" s="76" t="n"/>
      <c r="W63" s="474">
        <f>W61+T63-U63</f>
        <v/>
      </c>
      <c r="X63" s="76" t="n"/>
      <c r="Y63" s="76" t="n"/>
      <c r="Z63" s="94" t="n"/>
      <c r="AA63" s="94" t="n"/>
      <c r="AB63" s="94" t="n"/>
      <c r="AG63" s="459" t="n"/>
      <c r="AH63" s="459" t="n"/>
      <c r="AI63" s="459" t="n"/>
    </row>
    <row r="64">
      <c r="B64" s="7" t="inlineStr">
        <is>
          <t>1. Long term deferred revenue</t>
        </is>
      </c>
      <c r="C64" s="11" t="n"/>
      <c r="D64" s="11" t="n"/>
      <c r="E64" s="11" t="n"/>
      <c r="F64" s="11" t="n"/>
      <c r="G64" s="32" t="n"/>
      <c r="H64" s="32" t="n"/>
      <c r="I64" s="32" t="n"/>
      <c r="J64" s="32" t="n"/>
      <c r="K64" s="32" t="n"/>
      <c r="L64" s="32" t="n"/>
      <c r="M64" s="32" t="n"/>
      <c r="N64" s="32" t="n"/>
      <c r="Q64" s="76" t="inlineStr">
        <is>
          <t>Vay và nợ thuê tài chính ngắn hạn</t>
        </is>
      </c>
      <c r="R64" s="76" t="n"/>
      <c r="S64" s="76" t="n"/>
      <c r="T64" s="473" t="n">
        <v>704422529548</v>
      </c>
      <c r="U64" s="473" t="n">
        <v>1846488</v>
      </c>
      <c r="V64" s="76" t="n"/>
      <c r="W64" s="76" t="n"/>
      <c r="X64" s="76" t="n"/>
      <c r="Y64" s="76" t="n"/>
      <c r="Z64" s="94" t="n"/>
      <c r="AA64" s="94" t="n"/>
      <c r="AB64" s="94" t="n"/>
      <c r="AG64" s="459" t="n"/>
      <c r="AH64" s="459" t="n"/>
      <c r="AI64" s="459" t="n"/>
    </row>
    <row r="65">
      <c r="B65" s="7" t="inlineStr">
        <is>
          <t xml:space="preserve">2. Other long-term liabilities </t>
        </is>
      </c>
      <c r="C65" s="11" t="n"/>
      <c r="D65" s="11" t="n"/>
      <c r="E65" s="11" t="n"/>
      <c r="F65" s="11" t="n"/>
      <c r="G65" s="32" t="n"/>
      <c r="H65" s="32" t="n"/>
      <c r="I65" s="32" t="n"/>
      <c r="J65" s="32" t="n"/>
      <c r="K65" s="32" t="n"/>
      <c r="L65" s="32" t="n"/>
      <c r="M65" s="32" t="n"/>
      <c r="N65" s="32" t="n"/>
      <c r="Q65" s="76" t="inlineStr">
        <is>
          <t>Quỹ khen thưởng phúc lợi</t>
        </is>
      </c>
      <c r="R65" s="76" t="n"/>
      <c r="S65" s="76" t="n"/>
      <c r="T65" s="473" t="n">
        <v>203320903</v>
      </c>
      <c r="U65" s="473" t="n">
        <v>164528983</v>
      </c>
      <c r="V65" s="76" t="n"/>
      <c r="W65" s="76" t="n"/>
      <c r="X65" s="76" t="n"/>
      <c r="Y65" s="76" t="n"/>
      <c r="Z65" s="94" t="n"/>
      <c r="AA65" s="94" t="n"/>
      <c r="AB65" s="94" t="n"/>
      <c r="AG65" s="459" t="n"/>
      <c r="AH65" s="459" t="n"/>
      <c r="AI65" s="459" t="n"/>
    </row>
    <row r="66">
      <c r="B66" s="7" t="inlineStr">
        <is>
          <t>3. Long-term loans and debts</t>
        </is>
      </c>
      <c r="C66" s="11" t="n"/>
      <c r="D66" s="11" t="n"/>
      <c r="E66" s="11" t="n"/>
      <c r="F66" s="11" t="n"/>
      <c r="G66" s="32" t="n"/>
      <c r="H66" s="32" t="n"/>
      <c r="I66" s="32" t="n"/>
      <c r="J66" s="32" t="n"/>
      <c r="K66" s="32" t="n"/>
      <c r="L66" s="32" t="n"/>
      <c r="M66" s="32" t="n"/>
      <c r="N66" s="32" t="n"/>
      <c r="Q66" s="76" t="n"/>
      <c r="R66" s="76" t="n"/>
      <c r="S66" s="76" t="n"/>
      <c r="T66" s="473" t="n"/>
      <c r="U66" s="473" t="n"/>
      <c r="V66" s="76" t="n"/>
      <c r="W66" s="76" t="n"/>
      <c r="X66" s="76" t="n"/>
      <c r="Y66" s="76" t="n"/>
      <c r="Z66" s="94" t="n"/>
      <c r="AA66" s="94" t="n"/>
      <c r="AB66" s="94" t="n"/>
      <c r="AG66" s="459" t="n"/>
      <c r="AH66" s="459" t="n"/>
      <c r="AI66" s="459" t="n"/>
    </row>
    <row r="67">
      <c r="B67" s="7" t="inlineStr">
        <is>
          <t xml:space="preserve">deferred tax payable </t>
        </is>
      </c>
      <c r="C67" s="11" t="n"/>
      <c r="D67" s="11" t="n"/>
      <c r="E67" s="11" t="n"/>
      <c r="F67" s="11" t="n"/>
      <c r="G67" s="32" t="n"/>
      <c r="H67" s="32" t="n"/>
      <c r="I67" s="32" t="n"/>
      <c r="J67" s="32" t="n"/>
      <c r="K67" s="32" t="n"/>
      <c r="L67" s="32" t="n"/>
      <c r="M67" s="32" t="n"/>
      <c r="N67" s="32" t="n"/>
      <c r="Q67" s="77" t="inlineStr">
        <is>
          <t>Nợ dài hạn</t>
        </is>
      </c>
      <c r="R67" s="76" t="n"/>
      <c r="S67" s="76" t="n"/>
      <c r="T67" s="473" t="n"/>
      <c r="U67" s="473" t="n"/>
      <c r="V67" s="76" t="n"/>
      <c r="W67" s="76" t="n"/>
      <c r="X67" s="76" t="n"/>
      <c r="Y67" s="76" t="n"/>
      <c r="Z67" s="94" t="n"/>
      <c r="AA67" s="94" t="n"/>
      <c r="AB67" s="94" t="n"/>
      <c r="AG67" s="459" t="n"/>
      <c r="AH67" s="459" t="n"/>
      <c r="AI67" s="459" t="n"/>
    </row>
    <row r="68">
      <c r="B68" s="5" t="inlineStr">
        <is>
          <t>B. OWNERS’ EQUITY</t>
        </is>
      </c>
      <c r="C68" s="85">
        <f>SUM(C69,C77)</f>
        <v/>
      </c>
      <c r="D68" s="85">
        <f>SUM(D69,D77)</f>
        <v/>
      </c>
      <c r="E68" s="85">
        <f>SUM(E69,E77)</f>
        <v/>
      </c>
      <c r="F68" s="85">
        <f>SUM(F69,F77)</f>
        <v/>
      </c>
      <c r="G68" s="85">
        <f>SUM(G69,G77)</f>
        <v/>
      </c>
      <c r="H68" s="85">
        <f>SUM(H69,H77)</f>
        <v/>
      </c>
      <c r="I68" s="85">
        <f>SUM(I69,I77)</f>
        <v/>
      </c>
      <c r="J68" s="85">
        <f>SUM(J69,J77)</f>
        <v/>
      </c>
      <c r="K68" s="85">
        <f>SUM(K69,K77)</f>
        <v/>
      </c>
      <c r="L68" s="85">
        <f>SUM(L69,L77)</f>
        <v/>
      </c>
      <c r="M68" s="85">
        <f>SUM(M69,M77)</f>
        <v/>
      </c>
      <c r="N68" s="85">
        <f>SUM(N69,N77)</f>
        <v/>
      </c>
      <c r="Q68" s="76" t="inlineStr">
        <is>
          <t>Chi phí phải trả dài hạn</t>
        </is>
      </c>
      <c r="R68" s="76" t="n"/>
      <c r="S68" s="76" t="n"/>
      <c r="T68" s="473" t="n">
        <v>873755671</v>
      </c>
      <c r="U68" s="473" t="n">
        <v>0</v>
      </c>
      <c r="V68" s="76" t="n"/>
      <c r="W68" s="76" t="n"/>
      <c r="X68" s="76" t="n"/>
      <c r="Y68" s="76" t="n"/>
      <c r="Z68" s="94" t="n"/>
      <c r="AA68" s="94" t="n"/>
      <c r="AB68" s="94" t="n"/>
    </row>
    <row r="69">
      <c r="B69" s="6" t="inlineStr">
        <is>
          <t>I. Capital</t>
        </is>
      </c>
      <c r="C69" s="85">
        <f>SUM(C70:C74)</f>
        <v/>
      </c>
      <c r="D69" s="85">
        <f>SUM(D70:D74)</f>
        <v/>
      </c>
      <c r="E69" s="85">
        <f>SUM(E70:E74)</f>
        <v/>
      </c>
      <c r="F69" s="85">
        <f>SUM(F70:F74)</f>
        <v/>
      </c>
      <c r="G69" s="85">
        <f>SUM(G70:G74)</f>
        <v/>
      </c>
      <c r="H69" s="85">
        <f>SUM(H70:H74)</f>
        <v/>
      </c>
      <c r="I69" s="85">
        <f>SUM(I70:I74)</f>
        <v/>
      </c>
      <c r="J69" s="85">
        <f>SUM(J70:J74)</f>
        <v/>
      </c>
      <c r="K69" s="85">
        <f>SUM(K70:K74)</f>
        <v/>
      </c>
      <c r="L69" s="85">
        <f>SUM(L70:L74)</f>
        <v/>
      </c>
      <c r="M69" s="85">
        <f>SUM(M70:M74)</f>
        <v/>
      </c>
      <c r="N69" s="85">
        <f>SUM(N70:N74)</f>
        <v/>
      </c>
      <c r="Q69" s="76" t="n"/>
      <c r="R69" s="76" t="inlineStr">
        <is>
          <t>Lãi vay, lãi trái phiếu</t>
        </is>
      </c>
      <c r="S69" s="76" t="n"/>
      <c r="T69" s="473" t="n">
        <v>855287671</v>
      </c>
      <c r="U69" s="473" t="n">
        <v>0</v>
      </c>
      <c r="V69" s="76" t="n"/>
      <c r="W69" s="76" t="n"/>
      <c r="X69" s="76" t="n"/>
      <c r="Y69" s="76" t="n"/>
      <c r="Z69" s="94" t="n"/>
      <c r="AA69" s="94" t="n"/>
      <c r="AB69" s="94" t="n"/>
    </row>
    <row r="70">
      <c r="B70" s="7" t="inlineStr">
        <is>
          <t>1. Share capital</t>
        </is>
      </c>
      <c r="C70" s="11" t="n"/>
      <c r="D70" s="11" t="n"/>
      <c r="E70" s="11" t="n"/>
      <c r="F70" s="11" t="n"/>
      <c r="G70" s="32" t="n"/>
      <c r="H70" s="32" t="n"/>
      <c r="I70" s="32" t="n"/>
      <c r="J70" s="32" t="n"/>
      <c r="K70" s="32" t="n"/>
      <c r="L70" s="32" t="n"/>
      <c r="M70" s="32" t="n"/>
      <c r="N70" s="32" t="n"/>
      <c r="Q70" s="76" t="n"/>
      <c r="R70" s="76" t="inlineStr">
        <is>
          <t>Chi phí phải trả khác</t>
        </is>
      </c>
      <c r="S70" s="76" t="n"/>
      <c r="T70" s="473" t="n">
        <v>18468000</v>
      </c>
      <c r="U70" s="473" t="n">
        <v>0</v>
      </c>
      <c r="V70" s="76" t="n"/>
      <c r="W70" s="474">
        <f>W63+T70-U70</f>
        <v/>
      </c>
      <c r="X70" s="76" t="n"/>
      <c r="Y70" s="76" t="n"/>
      <c r="Z70" s="94" t="n"/>
      <c r="AA70" s="94" t="n"/>
      <c r="AB70" s="94" t="n"/>
      <c r="AG70" s="477" t="n"/>
      <c r="AH70" s="477" t="n"/>
      <c r="AI70" s="477" t="n"/>
    </row>
    <row r="71">
      <c r="B71" s="7" t="inlineStr">
        <is>
          <t>2. Share premium</t>
        </is>
      </c>
      <c r="C71" s="11" t="n"/>
      <c r="D71" s="11" t="n"/>
      <c r="E71" s="11" t="n"/>
      <c r="F71" s="11" t="n"/>
      <c r="G71" s="32" t="n"/>
      <c r="H71" s="32" t="n"/>
      <c r="I71" s="32" t="n"/>
      <c r="J71" s="32" t="n"/>
      <c r="K71" s="32" t="n"/>
      <c r="L71" s="32" t="n"/>
      <c r="M71" s="32" t="n"/>
      <c r="N71" s="32" t="n"/>
      <c r="Q71" s="76" t="n"/>
      <c r="R71" s="76" t="n"/>
      <c r="S71" s="76" t="n"/>
      <c r="T71" s="473" t="n"/>
      <c r="U71" s="473" t="n"/>
      <c r="V71" s="76" t="n"/>
      <c r="W71" s="76" t="n"/>
      <c r="X71" s="76" t="n"/>
      <c r="Y71" s="76" t="n"/>
      <c r="Z71" s="94" t="n"/>
      <c r="AA71" s="94" t="n"/>
      <c r="AB71" s="94" t="n"/>
    </row>
    <row r="72">
      <c r="B72" s="7" t="inlineStr">
        <is>
          <t>3. Treasury shares</t>
        </is>
      </c>
      <c r="C72" s="11" t="n"/>
      <c r="D72" s="11" t="n"/>
      <c r="E72" s="11" t="n"/>
      <c r="F72" s="11" t="n"/>
      <c r="G72" s="32" t="n"/>
      <c r="H72" s="32" t="n"/>
      <c r="I72" s="32" t="n"/>
      <c r="J72" s="32" t="n"/>
      <c r="K72" s="32" t="n"/>
      <c r="L72" s="32" t="n"/>
      <c r="M72" s="32" t="n"/>
      <c r="N72" s="32" t="n"/>
      <c r="Q72" s="76" t="inlineStr">
        <is>
          <t>Doanh thu chưa thực hiện dài hạn</t>
        </is>
      </c>
      <c r="R72" s="76" t="n"/>
      <c r="S72" s="76" t="n"/>
      <c r="T72" s="473" t="n">
        <v>1738726911</v>
      </c>
      <c r="U72" s="473" t="n">
        <v>1827139071</v>
      </c>
      <c r="V72" s="76" t="n"/>
      <c r="W72" s="474">
        <f>W70+T72-U72</f>
        <v/>
      </c>
      <c r="X72" s="76" t="n"/>
      <c r="Y72" s="76" t="n"/>
      <c r="Z72" s="94" t="n"/>
      <c r="AA72" s="94" t="n"/>
      <c r="AB72" s="94" t="n"/>
    </row>
    <row r="73">
      <c r="B73" s="7" t="inlineStr">
        <is>
          <t>4. Investment and development fund</t>
        </is>
      </c>
      <c r="C73" s="11" t="n"/>
      <c r="D73" s="11" t="n"/>
      <c r="E73" s="11" t="n"/>
      <c r="F73" s="11" t="n"/>
      <c r="G73" s="32" t="n"/>
      <c r="H73" s="32" t="n"/>
      <c r="I73" s="32" t="n"/>
      <c r="J73" s="32" t="n"/>
      <c r="K73" s="32" t="n"/>
      <c r="L73" s="32" t="n"/>
      <c r="M73" s="32" t="n"/>
      <c r="N73" s="32" t="n"/>
      <c r="Q73" s="76" t="inlineStr">
        <is>
          <t>Phải trả dài hạn khác</t>
        </is>
      </c>
      <c r="R73" s="76" t="n"/>
      <c r="S73" s="76" t="n"/>
      <c r="T73" s="473" t="n">
        <v>835685230137</v>
      </c>
      <c r="U73" s="473" t="n">
        <v>483420000000</v>
      </c>
      <c r="V73" s="76" t="n"/>
      <c r="W73" s="474">
        <f>W72+T73-U73</f>
        <v/>
      </c>
      <c r="X73" s="76" t="n"/>
      <c r="Y73" s="474">
        <f>840575791158-W73</f>
        <v/>
      </c>
      <c r="Z73" s="94" t="n"/>
      <c r="AA73" s="94" t="n"/>
      <c r="AB73" s="94" t="n"/>
    </row>
    <row r="74">
      <c r="B74" s="7" t="inlineStr">
        <is>
          <t>5. Undistributed earnings</t>
        </is>
      </c>
      <c r="C74" s="32">
        <f>SUM(C75:C76)</f>
        <v/>
      </c>
      <c r="D74" s="32">
        <f>SUM(D75:D76)</f>
        <v/>
      </c>
      <c r="E74" s="32">
        <f>SUM(E75:E76)</f>
        <v/>
      </c>
      <c r="F74" s="32">
        <f>SUM(F75:F76)</f>
        <v/>
      </c>
      <c r="G74" s="32">
        <f>SUM(G75:G76)</f>
        <v/>
      </c>
      <c r="H74" s="32">
        <f>SUM(H75:H76)</f>
        <v/>
      </c>
      <c r="I74" s="32">
        <f>SUM(I75:I76)</f>
        <v/>
      </c>
      <c r="J74" s="32">
        <f>SUM(J75:J76)</f>
        <v/>
      </c>
      <c r="K74" s="32">
        <f>SUM(K75:K76)</f>
        <v/>
      </c>
      <c r="L74" s="32">
        <f>SUM(L75:L76)</f>
        <v/>
      </c>
      <c r="M74" s="32">
        <f>SUM(M75:M76)</f>
        <v/>
      </c>
      <c r="N74" s="32">
        <f>SUM(N75:N76)</f>
        <v/>
      </c>
      <c r="Q74" s="76" t="inlineStr">
        <is>
          <t>Vay và nợ thuê tài chính dài hạn</t>
        </is>
      </c>
      <c r="R74" s="76" t="n"/>
      <c r="S74" s="76" t="n"/>
      <c r="T74" s="473" t="n">
        <v>4228313607428</v>
      </c>
      <c r="U74" s="473" t="n">
        <v>3114737920774</v>
      </c>
      <c r="V74" s="76" t="n"/>
      <c r="W74" s="76" t="n"/>
      <c r="X74" s="76" t="n"/>
      <c r="Y74" s="76" t="n"/>
      <c r="Z74" s="94" t="n"/>
      <c r="AA74" s="94" t="n"/>
      <c r="AB74" s="94" t="n"/>
    </row>
    <row r="75">
      <c r="B75" s="14" t="inlineStr">
        <is>
          <t>- Undistributed earnings up to end of prior year</t>
        </is>
      </c>
      <c r="C75" s="99" t="n"/>
      <c r="D75" s="99" t="n"/>
      <c r="E75" s="99" t="n"/>
      <c r="F75" s="99" t="n"/>
      <c r="G75" s="32" t="n"/>
      <c r="H75" s="32" t="n"/>
      <c r="I75" s="32" t="n"/>
      <c r="J75" s="32" t="n"/>
      <c r="K75" s="32" t="n"/>
      <c r="L75" s="32" t="n"/>
      <c r="M75" s="32" t="n"/>
      <c r="N75" s="32" t="n"/>
      <c r="Q75" s="76" t="inlineStr">
        <is>
          <t>Thuế thu nhập hoãn lại phải trả</t>
        </is>
      </c>
      <c r="R75" s="76" t="n"/>
      <c r="S75" s="76" t="n"/>
      <c r="T75" s="473" t="n">
        <v>12972258275</v>
      </c>
      <c r="U75" s="473" t="n">
        <v>0</v>
      </c>
      <c r="V75" s="76" t="n"/>
      <c r="W75" s="76" t="n"/>
      <c r="X75" s="76" t="n"/>
      <c r="Y75" s="76" t="n"/>
      <c r="Z75" s="94" t="n"/>
      <c r="AA75" s="94" t="n"/>
      <c r="AB75" s="94" t="n"/>
      <c r="AG75" s="475" t="n"/>
      <c r="AH75" s="475" t="n"/>
      <c r="AI75" s="475" t="n"/>
    </row>
    <row r="76">
      <c r="B76" s="14" t="inlineStr">
        <is>
          <t>- Undistributed earnings of current year</t>
        </is>
      </c>
      <c r="C76" s="99" t="n"/>
      <c r="D76" s="99" t="n"/>
      <c r="E76" s="99" t="n"/>
      <c r="F76" s="99" t="n"/>
      <c r="G76" s="32" t="n"/>
      <c r="H76" s="32" t="n"/>
      <c r="I76" s="32" t="n"/>
      <c r="J76" s="32" t="n"/>
      <c r="K76" s="32" t="n"/>
      <c r="L76" s="32" t="n"/>
      <c r="M76" s="32" t="n"/>
      <c r="N76" s="32" t="n"/>
      <c r="Q76" s="76" t="n"/>
      <c r="R76" s="76" t="n"/>
      <c r="S76" s="76" t="n"/>
      <c r="T76" s="473" t="n"/>
      <c r="U76" s="473" t="n"/>
      <c r="V76" s="76" t="n"/>
      <c r="W76" s="76" t="n"/>
      <c r="X76" s="76" t="n"/>
      <c r="Y76" s="76" t="n"/>
      <c r="Z76" s="94" t="n"/>
      <c r="AA76" s="94" t="n"/>
      <c r="AB76" s="94" t="n"/>
      <c r="AG76" s="475" t="n"/>
      <c r="AH76" s="475" t="n"/>
      <c r="AI76" s="477" t="n"/>
    </row>
    <row r="77" ht="15" customHeight="1" s="337" thickBot="1">
      <c r="B77" s="14" t="inlineStr">
        <is>
          <t>6. Minorities interest</t>
        </is>
      </c>
      <c r="C77" s="99" t="n"/>
      <c r="D77" s="99" t="n"/>
      <c r="E77" s="99" t="n"/>
      <c r="F77" s="99" t="n"/>
      <c r="G77" s="32" t="n"/>
      <c r="H77" s="32" t="n"/>
      <c r="I77" s="32" t="n"/>
      <c r="J77" s="32" t="n"/>
      <c r="K77" s="32" t="n"/>
      <c r="L77" s="32" t="n"/>
      <c r="M77" s="32" t="n"/>
      <c r="N77" s="32" t="n"/>
      <c r="Q77" s="76" t="n"/>
      <c r="R77" s="76" t="n"/>
      <c r="S77" s="76" t="n"/>
      <c r="T77" s="473" t="n"/>
      <c r="U77" s="473" t="n"/>
      <c r="V77" s="76" t="n"/>
      <c r="W77" s="76" t="n"/>
      <c r="X77" s="76" t="n"/>
      <c r="Y77" s="76" t="n"/>
      <c r="Z77" s="94" t="n"/>
      <c r="AA77" s="94" t="n"/>
      <c r="AB77" s="94" t="n"/>
      <c r="AG77" s="459" t="n"/>
      <c r="AH77" s="459" t="n"/>
      <c r="AI77" s="459" t="n"/>
    </row>
    <row r="78" ht="15.6" customHeight="1" s="337" thickBot="1" thickTop="1">
      <c r="B78" s="15" t="inlineStr">
        <is>
          <t xml:space="preserve">TOTAL LIABILITIES AND OWNERS’ EQUITY </t>
        </is>
      </c>
      <c r="C78" s="85">
        <f>SUM(C68,C50)</f>
        <v/>
      </c>
      <c r="D78" s="85">
        <f>SUM(D68,D50)</f>
        <v/>
      </c>
      <c r="E78" s="85">
        <f>SUM(E68,E50)</f>
        <v/>
      </c>
      <c r="F78" s="85">
        <f>SUM(F68,F50)</f>
        <v/>
      </c>
      <c r="G78" s="85">
        <f>SUM(G68,G50)</f>
        <v/>
      </c>
      <c r="H78" s="85">
        <f>SUM(H68,H50)</f>
        <v/>
      </c>
      <c r="I78" s="85">
        <f>SUM(I68,I50)</f>
        <v/>
      </c>
      <c r="J78" s="85">
        <f>SUM(J68,J50)</f>
        <v/>
      </c>
      <c r="K78" s="85">
        <f>SUM(K68,K50)</f>
        <v/>
      </c>
      <c r="L78" s="85">
        <f>SUM(L68,L50)</f>
        <v/>
      </c>
      <c r="M78" s="85">
        <f>SUM(M68,M50)</f>
        <v/>
      </c>
      <c r="N78" s="85">
        <f>SUM(N68,N50)</f>
        <v/>
      </c>
      <c r="Q78" s="76" t="n"/>
      <c r="R78" s="76" t="n"/>
      <c r="S78" s="76" t="n"/>
      <c r="T78" s="473" t="n"/>
      <c r="U78" s="473" t="n"/>
      <c r="V78" s="76" t="n"/>
      <c r="W78" s="76" t="n"/>
      <c r="X78" s="76" t="n"/>
      <c r="Y78" s="76" t="n"/>
    </row>
    <row r="79">
      <c r="G79" s="32">
        <f>G48-G78</f>
        <v/>
      </c>
      <c r="H79" s="32">
        <f>H48-H78</f>
        <v/>
      </c>
      <c r="I79" s="32">
        <f>I48-I78</f>
        <v/>
      </c>
      <c r="J79" s="32">
        <f>J48-J78</f>
        <v/>
      </c>
      <c r="K79" s="32">
        <f>K48-K78</f>
        <v/>
      </c>
      <c r="Q79" s="76" t="n"/>
      <c r="R79" s="76" t="n"/>
      <c r="S79" s="76" t="n"/>
      <c r="T79" s="473" t="n"/>
      <c r="U79" s="473" t="n"/>
      <c r="V79" s="76" t="n"/>
      <c r="W79" s="76" t="n"/>
      <c r="X79" s="76" t="n"/>
      <c r="Y79" s="76" t="n"/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12">
    <outlinePr summaryBelow="1" summaryRight="1"/>
    <pageSetUpPr/>
  </sheetPr>
  <dimension ref="B2:AA120"/>
  <sheetViews>
    <sheetView workbookViewId="0">
      <selection activeCell="B66" sqref="B66"/>
    </sheetView>
  </sheetViews>
  <sheetFormatPr baseColWidth="8" defaultColWidth="8.88671875" defaultRowHeight="14.4" outlineLevelCol="0"/>
  <cols>
    <col width="8.88671875" customWidth="1" style="337" min="1" max="1"/>
    <col width="37.109375" customWidth="1" style="337" min="3" max="3"/>
    <col width="29.44140625" customWidth="1" style="337" min="4" max="4"/>
    <col width="10.44140625" customWidth="1" style="337" min="5" max="12"/>
    <col width="11.33203125" customWidth="1" style="337" min="13" max="14"/>
    <col width="12.6640625" customWidth="1" style="337" min="15" max="15"/>
    <col width="11.33203125" customWidth="1" style="337" min="16" max="18"/>
    <col width="11.44140625" customWidth="1" style="337" min="19" max="20"/>
    <col width="11.44140625" bestFit="1" customWidth="1" style="337" min="21" max="23"/>
    <col width="10.44140625" bestFit="1" customWidth="1" style="337" min="25" max="27"/>
  </cols>
  <sheetData>
    <row r="1" ht="15" customHeight="1" s="337" thickBot="1"/>
    <row r="2" ht="26.4" customHeight="1" s="337" thickBot="1">
      <c r="B2" s="105" t="inlineStr">
        <is>
          <t>BẢNG CÂN ĐỐI KẾ TOÁN</t>
        </is>
      </c>
      <c r="C2" s="338" t="n"/>
      <c r="D2" s="338" t="inlineStr">
        <is>
          <t>Note</t>
        </is>
      </c>
      <c r="E2" s="107" t="inlineStr">
        <is>
          <t>2018</t>
        </is>
      </c>
      <c r="F2" s="107" t="inlineStr">
        <is>
          <t>2019</t>
        </is>
      </c>
      <c r="G2" s="107" t="inlineStr">
        <is>
          <t>2020</t>
        </is>
      </c>
      <c r="H2" s="107" t="inlineStr">
        <is>
          <t>2021</t>
        </is>
      </c>
      <c r="I2" s="107" t="inlineStr">
        <is>
          <t>2022</t>
        </is>
      </c>
      <c r="J2" s="107" t="n"/>
      <c r="K2" s="107" t="n"/>
      <c r="L2" s="107" t="n"/>
      <c r="M2" s="107" t="n"/>
      <c r="N2" s="107" t="n"/>
      <c r="O2" s="107" t="n"/>
      <c r="P2" s="107" t="n"/>
      <c r="Q2" s="107" t="n"/>
      <c r="R2" s="107" t="n"/>
      <c r="S2" s="107" t="n"/>
      <c r="T2" s="107" t="n"/>
      <c r="U2" s="107" t="n"/>
      <c r="V2" s="107" t="n"/>
      <c r="W2" s="107" t="n"/>
    </row>
    <row r="3" ht="18.6" customHeight="1" s="337" thickTop="1">
      <c r="B3" s="103" t="inlineStr">
        <is>
          <t>TS</t>
        </is>
      </c>
      <c r="C3" s="108" t="inlineStr">
        <is>
          <t>TÀI SẢN</t>
        </is>
      </c>
      <c r="D3" s="345" t="n"/>
    </row>
    <row r="4" ht="18" customFormat="1" customHeight="1" s="347">
      <c r="B4" s="103" t="n">
        <v>100</v>
      </c>
      <c r="C4" s="110" t="inlineStr">
        <is>
          <t>A. TÀI SẢN NGẮN HẠN (100=110+120+130+140+150)</t>
        </is>
      </c>
      <c r="D4" s="345" t="n"/>
      <c r="E4" s="478" t="n">
        <v>5878663</v>
      </c>
      <c r="F4" s="478" t="n">
        <v>6116848</v>
      </c>
      <c r="G4" s="478" t="n">
        <v>6250524</v>
      </c>
      <c r="H4" s="478" t="n">
        <v>5898599</v>
      </c>
      <c r="I4" s="478" t="n">
        <v>7170751</v>
      </c>
      <c r="J4" s="478" t="n"/>
      <c r="K4" s="478" t="n"/>
      <c r="L4" s="478" t="n"/>
      <c r="M4" s="478" t="n"/>
      <c r="N4" s="478" t="n"/>
      <c r="O4" s="478" t="n"/>
      <c r="P4" s="478" t="n"/>
      <c r="Q4" s="478" t="n"/>
      <c r="R4" s="478" t="n"/>
      <c r="S4" s="478" t="n"/>
      <c r="T4" s="478" t="n"/>
      <c r="U4" s="478" t="n"/>
      <c r="V4" s="478" t="n"/>
      <c r="W4" s="478" t="n"/>
    </row>
    <row r="5" customFormat="1" s="347">
      <c r="B5" s="101" t="n">
        <v>110</v>
      </c>
      <c r="C5" s="112" t="inlineStr">
        <is>
          <t>I. Tiền và các khoản tương đương tiền</t>
        </is>
      </c>
      <c r="D5" s="479" t="inlineStr">
        <is>
          <t>Cash and Marketable Securities</t>
        </is>
      </c>
      <c r="E5" s="480" t="n">
        <v>50430</v>
      </c>
      <c r="F5" s="480" t="n">
        <v>102092</v>
      </c>
      <c r="G5" s="480" t="n">
        <v>81836</v>
      </c>
      <c r="H5" s="480" t="n">
        <v>231659</v>
      </c>
      <c r="I5" s="480" t="n">
        <v>17573</v>
      </c>
      <c r="J5" s="480" t="n"/>
      <c r="K5" s="480" t="n"/>
      <c r="L5" s="480" t="n"/>
      <c r="M5" s="480" t="n"/>
      <c r="N5" s="480" t="n"/>
      <c r="O5" s="480" t="n"/>
      <c r="P5" s="480" t="n"/>
      <c r="Q5" s="480" t="n"/>
      <c r="R5" s="480" t="n"/>
      <c r="S5" s="480" t="n"/>
      <c r="T5" s="480" t="n"/>
      <c r="U5" s="480" t="n"/>
      <c r="V5" s="480" t="n"/>
      <c r="W5" s="480" t="n"/>
    </row>
    <row r="6">
      <c r="B6" s="100" t="n">
        <v>111</v>
      </c>
      <c r="C6" s="114" t="inlineStr">
        <is>
          <t xml:space="preserve">  1.Tiền </t>
        </is>
      </c>
      <c r="D6" s="340" t="n"/>
      <c r="E6" s="442" t="n">
        <v>50430</v>
      </c>
      <c r="F6" s="442" t="n">
        <v>97092</v>
      </c>
      <c r="G6" s="442" t="n">
        <v>71836</v>
      </c>
      <c r="H6" s="442" t="n">
        <v>231659</v>
      </c>
      <c r="I6" s="442" t="n">
        <v>17573</v>
      </c>
      <c r="J6" s="442" t="n"/>
      <c r="K6" s="442" t="n"/>
      <c r="L6" s="442" t="n"/>
      <c r="M6" s="442" t="n"/>
      <c r="N6" s="442" t="n"/>
      <c r="O6" s="442" t="n"/>
      <c r="P6" s="442" t="n"/>
      <c r="Q6" s="442" t="n"/>
      <c r="R6" s="442" t="n"/>
      <c r="S6" s="442" t="n"/>
      <c r="T6" s="442" t="n"/>
      <c r="U6" s="442" t="n"/>
      <c r="V6" s="442" t="n"/>
      <c r="W6" s="442" t="n"/>
    </row>
    <row r="7">
      <c r="B7" s="100" t="n">
        <v>112</v>
      </c>
      <c r="C7" s="114" t="inlineStr">
        <is>
          <t xml:space="preserve">  2. Các khoản tương đương tiền</t>
        </is>
      </c>
      <c r="D7" s="340" t="n"/>
      <c r="E7" s="442" t="n"/>
      <c r="F7" s="442" t="n">
        <v>5000</v>
      </c>
      <c r="G7" s="442" t="n">
        <v>10000</v>
      </c>
      <c r="H7" s="442" t="n"/>
      <c r="I7" s="442" t="n"/>
      <c r="J7" s="442" t="n"/>
      <c r="K7" s="442" t="n"/>
      <c r="L7" s="442" t="n"/>
      <c r="M7" s="442" t="n"/>
      <c r="N7" s="442" t="n"/>
      <c r="O7" s="442" t="n"/>
      <c r="P7" s="442" t="n"/>
      <c r="Q7" s="442" t="n"/>
      <c r="R7" s="442" t="n"/>
      <c r="S7" s="442" t="n"/>
      <c r="T7" s="442" t="n"/>
      <c r="U7" s="442" t="n"/>
      <c r="V7" s="442" t="n"/>
      <c r="W7" s="442" t="n"/>
    </row>
    <row r="8" customFormat="1" s="347">
      <c r="B8" s="101" t="n">
        <v>120</v>
      </c>
      <c r="C8" s="112" t="inlineStr">
        <is>
          <t>II. Đầu tư tài chính ngắn hạn (120 = 121 + 122 + 123)</t>
        </is>
      </c>
      <c r="D8" s="479" t="inlineStr">
        <is>
          <t>Cash and Marketable Securities</t>
        </is>
      </c>
      <c r="E8" s="480" t="n"/>
      <c r="F8" s="480" t="n"/>
      <c r="G8" s="480" t="n"/>
      <c r="H8" s="480" t="n"/>
      <c r="I8" s="480" t="n"/>
      <c r="J8" s="480" t="n"/>
      <c r="K8" s="480" t="n"/>
      <c r="L8" s="480" t="n"/>
      <c r="M8" s="480" t="n"/>
      <c r="N8" s="480" t="n"/>
      <c r="O8" s="480" t="n"/>
      <c r="P8" s="480" t="n"/>
      <c r="Q8" s="480" t="n"/>
      <c r="R8" s="480" t="n"/>
      <c r="S8" s="480" t="n"/>
      <c r="T8" s="480" t="n"/>
      <c r="U8" s="480" t="n"/>
      <c r="V8" s="480" t="n"/>
      <c r="W8" s="480" t="n"/>
    </row>
    <row r="9">
      <c r="B9" s="100" t="n">
        <v>121</v>
      </c>
      <c r="C9" s="114" t="inlineStr">
        <is>
          <t>1. Chứng khoán kinh doanh</t>
        </is>
      </c>
      <c r="D9" s="340" t="n"/>
      <c r="E9" s="442" t="n"/>
      <c r="F9" s="442" t="n"/>
      <c r="G9" s="442" t="n"/>
      <c r="H9" s="442" t="n"/>
      <c r="I9" s="442" t="n"/>
      <c r="J9" s="442" t="n"/>
      <c r="K9" s="442" t="n"/>
      <c r="L9" s="442" t="n"/>
      <c r="M9" s="442" t="n"/>
      <c r="N9" s="442" t="n"/>
      <c r="O9" s="442" t="n"/>
      <c r="P9" s="442" t="n"/>
      <c r="Q9" s="442" t="n"/>
      <c r="R9" s="442" t="n"/>
      <c r="S9" s="442" t="n"/>
      <c r="T9" s="442" t="n"/>
      <c r="U9" s="442" t="n"/>
      <c r="V9" s="442" t="n"/>
      <c r="W9" s="442" t="n"/>
    </row>
    <row r="10">
      <c r="B10" s="100" t="n">
        <v>122</v>
      </c>
      <c r="C10" s="114" t="inlineStr">
        <is>
          <t>2. Dự phòng giảm giá chứng khoán kinh doanh (*) (2)</t>
        </is>
      </c>
      <c r="D10" s="340" t="n"/>
      <c r="E10" s="442" t="n"/>
      <c r="F10" s="442" t="n"/>
      <c r="G10" s="442" t="n"/>
      <c r="H10" s="442" t="n"/>
      <c r="I10" s="442" t="n"/>
      <c r="J10" s="442" t="n"/>
      <c r="K10" s="442" t="n"/>
      <c r="L10" s="442" t="n"/>
      <c r="M10" s="442" t="n"/>
      <c r="N10" s="442" t="n"/>
      <c r="O10" s="442" t="n"/>
      <c r="P10" s="442" t="n"/>
      <c r="Q10" s="442" t="n"/>
      <c r="R10" s="442" t="n"/>
      <c r="S10" s="442" t="n"/>
      <c r="T10" s="442" t="n"/>
      <c r="U10" s="442" t="n"/>
      <c r="V10" s="442" t="n"/>
      <c r="W10" s="442" t="n"/>
    </row>
    <row r="11">
      <c r="B11" s="100" t="n">
        <v>123</v>
      </c>
      <c r="C11" s="114" t="inlineStr">
        <is>
          <t>3. Đầu tư nắm giữ đến ngày đáo hạn</t>
        </is>
      </c>
      <c r="D11" s="340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442" t="n"/>
      <c r="O11" s="442" t="n"/>
      <c r="P11" s="442" t="n"/>
      <c r="Q11" s="442" t="n"/>
      <c r="R11" s="442" t="n"/>
      <c r="S11" s="442" t="n"/>
      <c r="T11" s="442" t="n"/>
      <c r="U11" s="442" t="n"/>
      <c r="V11" s="442" t="n"/>
      <c r="W11" s="442" t="n"/>
    </row>
    <row r="12" customFormat="1" s="347">
      <c r="B12" s="101" t="n">
        <v>130</v>
      </c>
      <c r="C12" s="112" t="inlineStr">
        <is>
          <t>III. Các khoản phải thu ngắn hạn</t>
        </is>
      </c>
      <c r="D12" s="345" t="n"/>
      <c r="E12" s="480" t="n">
        <v>1453793</v>
      </c>
      <c r="F12" s="480" t="n">
        <v>1843936</v>
      </c>
      <c r="G12" s="480" t="n">
        <v>2100143</v>
      </c>
      <c r="H12" s="480" t="n">
        <v>1940966</v>
      </c>
      <c r="I12" s="480" t="n">
        <v>3589785</v>
      </c>
      <c r="J12" s="480" t="n"/>
      <c r="K12" s="480" t="n"/>
      <c r="L12" s="480" t="n"/>
      <c r="M12" s="480" t="n"/>
      <c r="N12" s="480" t="n"/>
      <c r="O12" s="480" t="n"/>
      <c r="P12" s="480" t="n"/>
      <c r="Q12" s="480" t="n"/>
      <c r="R12" s="480" t="n"/>
      <c r="S12" s="480" t="n"/>
      <c r="T12" s="480" t="n"/>
      <c r="U12" s="480" t="n"/>
      <c r="V12" s="480" t="n"/>
      <c r="W12" s="480" t="n"/>
    </row>
    <row r="13">
      <c r="B13" s="100" t="n">
        <v>131</v>
      </c>
      <c r="C13" s="114" t="inlineStr">
        <is>
          <t xml:space="preserve">1. Phải thu ngắn hạn của khách hàng </t>
        </is>
      </c>
      <c r="D13" s="481" t="inlineStr">
        <is>
          <t>Trade Debtors (Accounts Receivable)</t>
        </is>
      </c>
      <c r="E13" s="442" t="n">
        <v>471503</v>
      </c>
      <c r="F13" s="442" t="n">
        <v>456621</v>
      </c>
      <c r="G13" s="442" t="n">
        <v>472863</v>
      </c>
      <c r="H13" s="442" t="n">
        <v>424894</v>
      </c>
      <c r="I13" s="442" t="n">
        <v>483275</v>
      </c>
      <c r="J13" s="442" t="n"/>
      <c r="K13" s="442" t="n"/>
      <c r="L13" s="442" t="n"/>
      <c r="M13" s="442" t="n"/>
      <c r="N13" s="442" t="n"/>
      <c r="O13" s="442" t="n"/>
      <c r="P13" s="442" t="n"/>
      <c r="Q13" s="442" t="n"/>
      <c r="R13" s="442" t="n"/>
      <c r="S13" s="442" t="n"/>
      <c r="T13" s="442" t="n"/>
      <c r="U13" s="442" t="n"/>
      <c r="V13" s="442" t="n"/>
      <c r="W13" s="442" t="n"/>
    </row>
    <row r="14">
      <c r="B14" s="100" t="n">
        <v>132</v>
      </c>
      <c r="C14" s="114" t="inlineStr">
        <is>
          <t>2. Trả trước cho người bán ngắn hạn</t>
        </is>
      </c>
      <c r="D14" s="482" t="inlineStr">
        <is>
          <t>Prepayment to Suppliers</t>
        </is>
      </c>
      <c r="E14" s="442" t="n">
        <v>520611</v>
      </c>
      <c r="F14" s="442" t="n">
        <v>420752</v>
      </c>
      <c r="G14" s="442" t="n">
        <v>522818</v>
      </c>
      <c r="H14" s="442" t="n">
        <v>397395</v>
      </c>
      <c r="I14" s="442" t="n">
        <v>439237</v>
      </c>
      <c r="J14" s="442" t="n"/>
      <c r="K14" s="442" t="n"/>
      <c r="L14" s="442" t="n"/>
      <c r="M14" s="442" t="n"/>
      <c r="N14" s="442" t="n"/>
      <c r="O14" s="442" t="n"/>
      <c r="P14" s="442" t="n"/>
      <c r="Q14" s="442" t="n"/>
      <c r="R14" s="442" t="n"/>
      <c r="S14" s="442" t="n"/>
      <c r="T14" s="442" t="n"/>
      <c r="U14" s="442" t="n"/>
      <c r="V14" s="442" t="n"/>
      <c r="W14" s="442" t="n"/>
    </row>
    <row r="15">
      <c r="B15" s="100" t="n">
        <v>133</v>
      </c>
      <c r="C15" s="114" t="inlineStr">
        <is>
          <t xml:space="preserve">  3. Phải thu nội bộ ngắn hạn</t>
        </is>
      </c>
      <c r="D15" s="482" t="inlineStr">
        <is>
          <t>Other debtors and other assets</t>
        </is>
      </c>
      <c r="E15" s="442" t="n"/>
      <c r="F15" s="442" t="n"/>
      <c r="G15" s="442" t="n"/>
      <c r="H15" s="442" t="n"/>
      <c r="I15" s="442" t="n"/>
      <c r="J15" s="442" t="n"/>
      <c r="K15" s="442" t="n"/>
      <c r="L15" s="442" t="n"/>
      <c r="M15" s="442" t="n"/>
      <c r="N15" s="442" t="n"/>
      <c r="O15" s="442" t="n"/>
      <c r="P15" s="442" t="n"/>
      <c r="Q15" s="442" t="n"/>
      <c r="R15" s="442" t="n"/>
      <c r="S15" s="442" t="n"/>
      <c r="T15" s="442" t="n"/>
      <c r="U15" s="442" t="n"/>
      <c r="V15" s="442" t="n"/>
      <c r="W15" s="442" t="n"/>
    </row>
    <row r="16">
      <c r="B16" s="100" t="n">
        <v>134</v>
      </c>
      <c r="C16" s="114" t="inlineStr">
        <is>
          <t xml:space="preserve">  4. Phải thu theo tiến độ kế hoạch hợp đồng xây dựng</t>
        </is>
      </c>
      <c r="D16" s="482" t="inlineStr">
        <is>
          <t>Other debtors and other assets</t>
        </is>
      </c>
      <c r="E16" s="442" t="n"/>
      <c r="F16" s="442" t="n"/>
      <c r="G16" s="442" t="n"/>
      <c r="H16" s="442" t="n"/>
      <c r="I16" s="442" t="n"/>
      <c r="J16" s="442" t="n"/>
      <c r="K16" s="442" t="n"/>
      <c r="L16" s="442" t="n"/>
      <c r="M16" s="442" t="n"/>
      <c r="N16" s="442" t="n"/>
      <c r="O16" s="442" t="n"/>
      <c r="P16" s="442" t="n"/>
      <c r="Q16" s="442" t="n"/>
      <c r="R16" s="442" t="n"/>
      <c r="S16" s="442" t="n"/>
      <c r="T16" s="442" t="n"/>
      <c r="U16" s="442" t="n"/>
      <c r="V16" s="442" t="n"/>
      <c r="W16" s="442" t="n"/>
    </row>
    <row r="17">
      <c r="B17" s="100" t="n">
        <v>135</v>
      </c>
      <c r="C17" s="114" t="inlineStr">
        <is>
          <t>5. Phải thu về cho vay ngắn hạn</t>
        </is>
      </c>
      <c r="D17" s="482" t="inlineStr">
        <is>
          <t>Other debtors and other assets</t>
        </is>
      </c>
      <c r="E17" s="442" t="n"/>
      <c r="F17" s="442" t="n"/>
      <c r="G17" s="442" t="n">
        <v>6000</v>
      </c>
      <c r="H17" s="442" t="n">
        <v>10200</v>
      </c>
      <c r="I17" s="442" t="n">
        <v>11800</v>
      </c>
      <c r="J17" s="442" t="n"/>
      <c r="K17" s="442" t="n"/>
      <c r="L17" s="442" t="n"/>
      <c r="M17" s="442" t="n"/>
      <c r="N17" s="442" t="n"/>
      <c r="O17" s="442" t="n"/>
      <c r="P17" s="442" t="n"/>
      <c r="Q17" s="442" t="n"/>
      <c r="R17" s="442" t="n"/>
      <c r="S17" s="442" t="n"/>
      <c r="T17" s="442" t="n"/>
      <c r="U17" s="442" t="n"/>
      <c r="V17" s="442" t="n"/>
      <c r="W17" s="442" t="n"/>
    </row>
    <row r="18">
      <c r="B18" s="100" t="n">
        <v>136</v>
      </c>
      <c r="C18" s="114" t="inlineStr">
        <is>
          <t>6. Phải thu ngắn hạn khác</t>
        </is>
      </c>
      <c r="D18" s="482" t="inlineStr">
        <is>
          <t>Other debtors and other assets</t>
        </is>
      </c>
      <c r="E18" s="442" t="n">
        <v>728097</v>
      </c>
      <c r="F18" s="442" t="n">
        <v>1224088</v>
      </c>
      <c r="G18" s="442" t="n">
        <v>1405886</v>
      </c>
      <c r="H18" s="442" t="n">
        <v>1453948</v>
      </c>
      <c r="I18" s="442" t="n">
        <v>3686847</v>
      </c>
      <c r="J18" s="442" t="n"/>
      <c r="K18" s="442" t="n"/>
      <c r="L18" s="442" t="n"/>
      <c r="M18" s="442" t="n"/>
      <c r="N18" s="442" t="n"/>
      <c r="O18" s="442" t="n"/>
      <c r="P18" s="442" t="n"/>
      <c r="Q18" s="442" t="n"/>
      <c r="R18" s="442" t="n"/>
      <c r="S18" s="442" t="n"/>
      <c r="T18" s="442" t="n"/>
      <c r="U18" s="442" t="n"/>
      <c r="V18" s="442" t="n"/>
      <c r="W18" s="442" t="n"/>
    </row>
    <row r="19">
      <c r="B19" s="100" t="n">
        <v>137</v>
      </c>
      <c r="C19" s="114" t="inlineStr">
        <is>
          <t>7. Dự phòng phải thu ngắn hạn khó đòi (*)</t>
        </is>
      </c>
      <c r="D19" s="482" t="inlineStr">
        <is>
          <t>Other debtors and other assets</t>
        </is>
      </c>
      <c r="E19" s="442" t="n">
        <v>-266419</v>
      </c>
      <c r="F19" s="442" t="n">
        <v>-257525</v>
      </c>
      <c r="G19" s="442" t="n">
        <v>-307425</v>
      </c>
      <c r="H19" s="442" t="n">
        <v>-345472</v>
      </c>
      <c r="I19" s="442" t="n">
        <v>-1031373</v>
      </c>
      <c r="J19" s="442" t="n"/>
      <c r="K19" s="442" t="n"/>
      <c r="L19" s="442" t="n"/>
      <c r="M19" s="442" t="n"/>
      <c r="N19" s="442" t="n"/>
      <c r="O19" s="442" t="n"/>
      <c r="P19" s="442" t="n"/>
      <c r="Q19" s="442" t="n"/>
      <c r="R19" s="442" t="n"/>
      <c r="S19" s="442" t="n"/>
      <c r="T19" s="442" t="n"/>
      <c r="U19" s="442" t="n"/>
      <c r="V19" s="442" t="n"/>
      <c r="W19" s="442" t="n"/>
    </row>
    <row r="20">
      <c r="B20" s="100" t="n">
        <v>139</v>
      </c>
      <c r="C20" s="114" t="inlineStr">
        <is>
          <t>8. Tài sản thiếu chờ xử lý</t>
        </is>
      </c>
      <c r="D20" s="482" t="inlineStr">
        <is>
          <t>Other debtors and other assets</t>
        </is>
      </c>
      <c r="E20" s="442" t="n"/>
      <c r="F20" s="442" t="n"/>
      <c r="G20" s="442" t="n"/>
      <c r="H20" s="442" t="n"/>
      <c r="I20" s="442" t="n"/>
      <c r="J20" s="442" t="n"/>
      <c r="K20" s="442" t="n"/>
      <c r="L20" s="442" t="n"/>
      <c r="M20" s="442" t="n"/>
      <c r="N20" s="442" t="n"/>
      <c r="O20" s="442" t="n"/>
      <c r="P20" s="442" t="n"/>
      <c r="Q20" s="442" t="n"/>
      <c r="R20" s="442" t="n"/>
      <c r="S20" s="442" t="n"/>
      <c r="T20" s="442" t="n"/>
      <c r="U20" s="442" t="n"/>
      <c r="V20" s="442" t="n"/>
      <c r="W20" s="442" t="n"/>
    </row>
    <row r="21" customFormat="1" s="347">
      <c r="B21" s="101" t="n">
        <v>140</v>
      </c>
      <c r="C21" s="112" t="inlineStr">
        <is>
          <t>IV. Hàng tồn kho</t>
        </is>
      </c>
      <c r="D21" s="483" t="inlineStr">
        <is>
          <t>Stock (Inventory) #</t>
        </is>
      </c>
      <c r="E21" s="480" t="n">
        <v>4373272</v>
      </c>
      <c r="F21" s="480" t="n">
        <v>4167561</v>
      </c>
      <c r="G21" s="480" t="n">
        <v>4060677</v>
      </c>
      <c r="H21" s="480" t="n">
        <v>3725793</v>
      </c>
      <c r="I21" s="480" t="n">
        <v>3561284</v>
      </c>
      <c r="J21" s="480" t="n"/>
      <c r="K21" s="480" t="n"/>
      <c r="L21" s="480" t="n"/>
      <c r="M21" s="480" t="n"/>
      <c r="N21" s="480" t="n"/>
      <c r="O21" s="480" t="n"/>
      <c r="P21" s="480" t="n"/>
      <c r="Q21" s="480" t="n"/>
      <c r="R21" s="480" t="n"/>
      <c r="S21" s="480" t="n"/>
      <c r="T21" s="480" t="n"/>
      <c r="U21" s="480" t="n"/>
      <c r="V21" s="480" t="n"/>
      <c r="W21" s="480" t="n"/>
    </row>
    <row r="22">
      <c r="B22" s="100" t="n">
        <v>141</v>
      </c>
      <c r="C22" s="114" t="inlineStr">
        <is>
          <t>1. Hàng tồn kho</t>
        </is>
      </c>
      <c r="D22" s="340" t="n"/>
      <c r="E22" s="442" t="n">
        <v>4416707</v>
      </c>
      <c r="F22" s="442" t="n">
        <v>4218650</v>
      </c>
      <c r="G22" s="442" t="n">
        <v>4102557</v>
      </c>
      <c r="H22" s="442" t="n">
        <v>3785530</v>
      </c>
      <c r="I22" s="442" t="n">
        <v>3621678</v>
      </c>
      <c r="J22" s="442" t="n"/>
      <c r="K22" s="442" t="n"/>
      <c r="L22" s="442" t="n"/>
      <c r="M22" s="442" t="n"/>
      <c r="N22" s="442" t="n"/>
      <c r="O22" s="442" t="n"/>
      <c r="P22" s="442" t="n"/>
      <c r="Q22" s="442" t="n"/>
      <c r="R22" s="442" t="n"/>
      <c r="S22" s="442" t="n"/>
      <c r="T22" s="442" t="n"/>
      <c r="U22" s="442" t="n"/>
      <c r="V22" s="442" t="n"/>
      <c r="W22" s="442" t="n"/>
    </row>
    <row r="23">
      <c r="B23" s="100" t="n">
        <v>149</v>
      </c>
      <c r="C23" s="114" t="inlineStr">
        <is>
          <t xml:space="preserve">  2. Dự phòng giảm giá hàng tồn kho (*)</t>
        </is>
      </c>
      <c r="D23" s="340" t="n"/>
      <c r="E23" s="442" t="n">
        <v>-43435</v>
      </c>
      <c r="F23" s="442" t="n">
        <v>-51089</v>
      </c>
      <c r="G23" s="442" t="n">
        <v>-41880</v>
      </c>
      <c r="H23" s="442" t="n">
        <v>-59737</v>
      </c>
      <c r="I23" s="442" t="n">
        <v>-60394</v>
      </c>
      <c r="J23" s="442" t="n"/>
      <c r="K23" s="442" t="n"/>
      <c r="L23" s="442" t="n"/>
      <c r="M23" s="442" t="n"/>
      <c r="N23" s="442" t="n"/>
      <c r="O23" s="442" t="n"/>
      <c r="P23" s="442" t="n"/>
      <c r="Q23" s="442" t="n"/>
      <c r="R23" s="442" t="n"/>
      <c r="S23" s="442" t="n"/>
      <c r="T23" s="442" t="n"/>
      <c r="U23" s="442" t="n"/>
      <c r="V23" s="442" t="n"/>
      <c r="W23" s="442" t="n"/>
    </row>
    <row r="24" customFormat="1" s="347">
      <c r="B24" s="101" t="n">
        <v>150</v>
      </c>
      <c r="C24" s="112" t="inlineStr">
        <is>
          <t>V. Tài sản ngắn hạn khác (150=151+152+…+155)</t>
        </is>
      </c>
      <c r="D24" s="345" t="n"/>
      <c r="E24" s="480" t="n">
        <v>1167</v>
      </c>
      <c r="F24" s="480" t="n">
        <v>3259</v>
      </c>
      <c r="G24" s="480" t="n">
        <v>7868</v>
      </c>
      <c r="H24" s="480" t="n">
        <v>182</v>
      </c>
      <c r="I24" s="480" t="n">
        <v>2109</v>
      </c>
      <c r="J24" s="480" t="n"/>
      <c r="K24" s="480" t="n"/>
      <c r="L24" s="480" t="n"/>
      <c r="M24" s="480" t="n"/>
      <c r="N24" s="480" t="n"/>
      <c r="O24" s="480" t="n"/>
      <c r="P24" s="480" t="n"/>
      <c r="Q24" s="480" t="n"/>
      <c r="R24" s="480" t="n"/>
      <c r="S24" s="480" t="n"/>
      <c r="T24" s="480" t="n"/>
      <c r="U24" s="480" t="n"/>
      <c r="V24" s="480" t="n"/>
      <c r="W24" s="480" t="n"/>
    </row>
    <row r="25">
      <c r="B25" s="100" t="n">
        <v>151</v>
      </c>
      <c r="C25" s="114" t="inlineStr">
        <is>
          <t xml:space="preserve">  1. Chi phí trả trước ngắn hạn </t>
        </is>
      </c>
      <c r="D25" s="340" t="inlineStr">
        <is>
          <t>Prepaid Expenses</t>
        </is>
      </c>
      <c r="E25" s="442" t="n">
        <v>1112</v>
      </c>
      <c r="F25" s="442" t="n">
        <v>3204</v>
      </c>
      <c r="G25" s="442" t="n">
        <v>170</v>
      </c>
      <c r="H25" s="442" t="n">
        <v>57</v>
      </c>
      <c r="I25" s="442" t="n">
        <v>152</v>
      </c>
      <c r="J25" s="442" t="n"/>
      <c r="K25" s="442" t="n"/>
      <c r="L25" s="442" t="n"/>
      <c r="M25" s="442" t="n"/>
      <c r="N25" s="442" t="n"/>
      <c r="O25" s="442" t="n"/>
      <c r="P25" s="442" t="n"/>
      <c r="Q25" s="442" t="n"/>
      <c r="R25" s="442" t="n"/>
      <c r="S25" s="442" t="n"/>
      <c r="T25" s="442" t="n"/>
      <c r="U25" s="442" t="n"/>
      <c r="V25" s="442" t="n"/>
      <c r="W25" s="442" t="n"/>
    </row>
    <row r="26">
      <c r="B26" s="100" t="n">
        <v>152</v>
      </c>
      <c r="C26" s="114" t="inlineStr">
        <is>
          <t xml:space="preserve">  2. Thuế GTGT được khấu trừ</t>
        </is>
      </c>
      <c r="D26" s="340" t="inlineStr">
        <is>
          <t>Other debtors and other assets</t>
        </is>
      </c>
      <c r="E26" s="442" t="n">
        <v>55</v>
      </c>
      <c r="F26" s="442" t="n">
        <v>55</v>
      </c>
      <c r="G26" s="442" t="n">
        <v>7699</v>
      </c>
      <c r="H26" s="442" t="n">
        <v>125</v>
      </c>
      <c r="I26" s="442" t="n">
        <v>68</v>
      </c>
      <c r="J26" s="442" t="n"/>
      <c r="K26" s="442" t="n"/>
      <c r="L26" s="442" t="n"/>
      <c r="M26" s="442" t="n"/>
      <c r="N26" s="442" t="n"/>
      <c r="O26" s="442" t="n"/>
      <c r="P26" s="442" t="n"/>
      <c r="Q26" s="442" t="n"/>
      <c r="R26" s="442" t="n"/>
      <c r="S26" s="442" t="n"/>
      <c r="T26" s="442" t="n"/>
      <c r="U26" s="442" t="n"/>
      <c r="V26" s="442" t="n"/>
      <c r="W26" s="442" t="n"/>
    </row>
    <row r="27">
      <c r="B27" s="100" t="n">
        <v>153</v>
      </c>
      <c r="C27" s="114" t="inlineStr">
        <is>
          <t>3. Thuế và các khoản khác phải thu Nhà nước</t>
        </is>
      </c>
      <c r="D27" s="484" t="inlineStr">
        <is>
          <t>Other debtors and other assets</t>
        </is>
      </c>
      <c r="E27" s="442" t="n"/>
      <c r="F27" s="442" t="n"/>
      <c r="G27" s="442" t="n"/>
      <c r="H27" s="442" t="n"/>
      <c r="I27" s="442" t="n">
        <v>1889</v>
      </c>
      <c r="J27" s="442" t="n"/>
      <c r="K27" s="442" t="n"/>
      <c r="L27" s="442" t="n"/>
      <c r="M27" s="442" t="n"/>
      <c r="N27" s="442" t="n"/>
      <c r="O27" s="442" t="n"/>
      <c r="P27" s="442" t="n"/>
      <c r="Q27" s="442" t="n"/>
      <c r="R27" s="442" t="n"/>
      <c r="S27" s="442" t="n"/>
      <c r="T27" s="442" t="n"/>
      <c r="U27" s="442" t="n"/>
      <c r="V27" s="442" t="n"/>
      <c r="W27" s="442" t="n"/>
    </row>
    <row r="28">
      <c r="B28" s="100" t="n">
        <v>154</v>
      </c>
      <c r="C28" s="114" t="inlineStr">
        <is>
          <t>4. Giao dịch mua bán lại trái phiếu Chính phủ</t>
        </is>
      </c>
      <c r="D28" s="484" t="inlineStr">
        <is>
          <t>Other debtors and other assets</t>
        </is>
      </c>
      <c r="E28" s="442" t="n"/>
      <c r="F28" s="442" t="n"/>
      <c r="G28" s="442" t="n"/>
      <c r="H28" s="442" t="n"/>
      <c r="I28" s="442" t="n"/>
      <c r="J28" s="442" t="n"/>
      <c r="K28" s="442" t="n"/>
      <c r="L28" s="442" t="n"/>
      <c r="M28" s="442" t="n"/>
      <c r="N28" s="442" t="n"/>
      <c r="O28" s="442" t="n"/>
      <c r="P28" s="442" t="n"/>
      <c r="Q28" s="442" t="n"/>
      <c r="R28" s="442" t="n"/>
      <c r="S28" s="442" t="n"/>
      <c r="T28" s="442" t="n"/>
      <c r="U28" s="442" t="n"/>
      <c r="V28" s="442" t="n"/>
      <c r="W28" s="442" t="n"/>
    </row>
    <row r="29">
      <c r="B29" s="100" t="n">
        <v>155</v>
      </c>
      <c r="C29" s="114" t="inlineStr">
        <is>
          <t>5. Tài sản ngắn hạn khác</t>
        </is>
      </c>
      <c r="D29" s="484" t="inlineStr">
        <is>
          <t>Other debtors and other assets</t>
        </is>
      </c>
      <c r="E29" s="442" t="n"/>
      <c r="F29" s="442" t="n"/>
      <c r="G29" s="442" t="n"/>
      <c r="H29" s="442" t="n"/>
      <c r="I29" s="442" t="n"/>
      <c r="J29" s="442" t="n"/>
      <c r="K29" s="442" t="n"/>
      <c r="L29" s="442" t="n"/>
      <c r="M29" s="442" t="n"/>
      <c r="N29" s="442" t="n"/>
      <c r="O29" s="442" t="n"/>
      <c r="P29" s="442" t="n"/>
      <c r="Q29" s="442" t="n"/>
      <c r="R29" s="442" t="n"/>
      <c r="S29" s="442" t="n"/>
      <c r="T29" s="442" t="n"/>
      <c r="U29" s="442" t="n"/>
      <c r="V29" s="442" t="n"/>
      <c r="W29" s="442" t="n"/>
    </row>
    <row r="30" ht="18" customFormat="1" customHeight="1" s="347">
      <c r="B30" s="103" t="n">
        <v>200</v>
      </c>
      <c r="C30" s="110" t="inlineStr">
        <is>
          <t>B - TÀI SẢN DÀI HẠN (200=210+220+230+240+250+260)</t>
        </is>
      </c>
      <c r="D30" s="345" t="n"/>
      <c r="E30" s="480" t="n">
        <v>7207016</v>
      </c>
      <c r="F30" s="480" t="n">
        <v>7183725</v>
      </c>
      <c r="G30" s="480" t="n">
        <v>7246576</v>
      </c>
      <c r="H30" s="480" t="n">
        <v>7374211</v>
      </c>
      <c r="I30" s="480" t="n">
        <v>5050666</v>
      </c>
      <c r="J30" s="480" t="n"/>
      <c r="K30" s="480" t="n"/>
      <c r="L30" s="480" t="n"/>
      <c r="M30" s="480" t="n"/>
      <c r="N30" s="480" t="n"/>
      <c r="O30" s="480" t="n"/>
      <c r="P30" s="480" t="n"/>
      <c r="Q30" s="480" t="n"/>
      <c r="R30" s="480" t="n"/>
      <c r="S30" s="480" t="n"/>
      <c r="T30" s="480" t="n"/>
      <c r="U30" s="480" t="n"/>
      <c r="V30" s="480" t="n"/>
      <c r="W30" s="480" t="n"/>
    </row>
    <row r="31" customFormat="1" s="347">
      <c r="B31" s="101" t="n">
        <v>210</v>
      </c>
      <c r="C31" s="112" t="inlineStr">
        <is>
          <t>I- Các khoản phải thu dài hạn (210 = 211 + 212 +….+ 216 + 219)</t>
        </is>
      </c>
      <c r="D31" s="345" t="n"/>
      <c r="E31" s="480" t="n">
        <v>2019212</v>
      </c>
      <c r="F31" s="480" t="n">
        <v>1984998</v>
      </c>
      <c r="G31" s="480" t="n">
        <v>1962884</v>
      </c>
      <c r="H31" s="480" t="n">
        <v>1941982</v>
      </c>
      <c r="I31" s="480" t="n">
        <v>8249</v>
      </c>
      <c r="J31" s="480" t="n"/>
      <c r="K31" s="480" t="n"/>
      <c r="L31" s="480" t="n"/>
      <c r="M31" s="480" t="n"/>
      <c r="N31" s="480" t="n"/>
      <c r="O31" s="480" t="n"/>
      <c r="P31" s="480" t="n"/>
      <c r="Q31" s="480" t="n"/>
      <c r="R31" s="480" t="n"/>
      <c r="S31" s="480" t="n"/>
      <c r="T31" s="480" t="n"/>
      <c r="U31" s="480" t="n"/>
      <c r="V31" s="480" t="n"/>
      <c r="W31" s="480" t="n"/>
    </row>
    <row r="32">
      <c r="B32" s="100" t="n">
        <v>211</v>
      </c>
      <c r="C32" s="114" t="inlineStr">
        <is>
          <t>1. Phải thu dài hạn của khách hàng</t>
        </is>
      </c>
      <c r="D32" s="484" t="inlineStr">
        <is>
          <t>Other debtors and other assets</t>
        </is>
      </c>
      <c r="E32" s="442" t="n">
        <v>1364519</v>
      </c>
      <c r="F32" s="442" t="n">
        <v>1346005</v>
      </c>
      <c r="G32" s="442" t="n">
        <v>1323891</v>
      </c>
      <c r="H32" s="442" t="n">
        <v>1301915</v>
      </c>
      <c r="I32" s="442" t="n">
        <v>6068</v>
      </c>
      <c r="J32" s="442" t="n"/>
      <c r="K32" s="442" t="n"/>
      <c r="L32" s="442" t="n"/>
      <c r="M32" s="442" t="n"/>
      <c r="N32" s="442" t="n"/>
      <c r="O32" s="442" t="n"/>
      <c r="P32" s="442" t="n"/>
      <c r="Q32" s="442" t="n"/>
      <c r="R32" s="442" t="n"/>
      <c r="S32" s="442" t="n"/>
      <c r="T32" s="442" t="n"/>
      <c r="U32" s="442" t="n"/>
      <c r="V32" s="442" t="n"/>
      <c r="W32" s="442" t="n"/>
    </row>
    <row r="33">
      <c r="B33" s="100" t="n">
        <v>212</v>
      </c>
      <c r="C33" s="114" t="inlineStr">
        <is>
          <t>2. Trả trước cho người bán dài hạn</t>
        </is>
      </c>
      <c r="D33" s="484" t="inlineStr">
        <is>
          <t>Other debtors and other assets</t>
        </is>
      </c>
      <c r="E33" s="442" t="n"/>
      <c r="F33" s="442" t="n"/>
      <c r="G33" s="442" t="n"/>
      <c r="H33" s="442" t="n"/>
      <c r="I33" s="442" t="n"/>
      <c r="J33" s="442" t="n"/>
      <c r="K33" s="442" t="n"/>
      <c r="L33" s="442" t="n"/>
      <c r="M33" s="442" t="n"/>
      <c r="N33" s="442" t="n"/>
      <c r="O33" s="442" t="n"/>
      <c r="P33" s="442" t="n"/>
      <c r="Q33" s="442" t="n"/>
      <c r="R33" s="442" t="n"/>
      <c r="S33" s="442" t="n"/>
      <c r="T33" s="442" t="n"/>
      <c r="U33" s="442" t="n"/>
      <c r="V33" s="442" t="n"/>
      <c r="W33" s="442" t="n"/>
    </row>
    <row r="34">
      <c r="B34" s="100" t="n">
        <v>213</v>
      </c>
      <c r="C34" s="114" t="inlineStr">
        <is>
          <t>3. Vốn kinh doanh ở đơn vị trực thuộc</t>
        </is>
      </c>
      <c r="D34" s="484" t="inlineStr">
        <is>
          <t>Other debtors and other assets</t>
        </is>
      </c>
      <c r="E34" s="442" t="n"/>
      <c r="F34" s="442" t="n"/>
      <c r="G34" s="442" t="n"/>
      <c r="H34" s="442" t="n"/>
      <c r="I34" s="442" t="n"/>
      <c r="J34" s="442" t="n"/>
      <c r="K34" s="442" t="n"/>
      <c r="L34" s="442" t="n"/>
      <c r="M34" s="442" t="n"/>
      <c r="N34" s="442" t="n"/>
      <c r="O34" s="442" t="n"/>
      <c r="P34" s="442" t="n"/>
      <c r="Q34" s="442" t="n"/>
      <c r="R34" s="442" t="n"/>
      <c r="S34" s="442" t="n"/>
      <c r="T34" s="442" t="n"/>
      <c r="U34" s="442" t="n"/>
      <c r="V34" s="442" t="n"/>
      <c r="W34" s="442" t="n"/>
    </row>
    <row r="35">
      <c r="B35" s="100" t="n">
        <v>214</v>
      </c>
      <c r="C35" s="114" t="inlineStr">
        <is>
          <t>4. Phải thu nội bộ dài hạn</t>
        </is>
      </c>
      <c r="D35" s="484" t="inlineStr">
        <is>
          <t>Other debtors and other assets</t>
        </is>
      </c>
      <c r="E35" s="442" t="n"/>
      <c r="F35" s="442" t="n"/>
      <c r="G35" s="442" t="n"/>
      <c r="H35" s="442" t="n"/>
      <c r="I35" s="442" t="n"/>
      <c r="J35" s="442" t="n"/>
      <c r="K35" s="442" t="n"/>
      <c r="L35" s="442" t="n"/>
      <c r="M35" s="442" t="n"/>
      <c r="N35" s="442" t="n"/>
      <c r="O35" s="442" t="n"/>
      <c r="P35" s="442" t="n"/>
      <c r="Q35" s="442" t="n"/>
      <c r="R35" s="442" t="n"/>
      <c r="S35" s="442" t="n"/>
      <c r="T35" s="442" t="n"/>
      <c r="U35" s="442" t="n"/>
      <c r="V35" s="442" t="n"/>
      <c r="W35" s="442" t="n"/>
    </row>
    <row r="36">
      <c r="B36" s="100" t="n">
        <v>215</v>
      </c>
      <c r="C36" s="114" t="inlineStr">
        <is>
          <t>5. Phải thu về cho vay dài hạn</t>
        </is>
      </c>
      <c r="D36" s="484" t="inlineStr">
        <is>
          <t>Other debtors and other assets</t>
        </is>
      </c>
      <c r="E36" s="442" t="n"/>
      <c r="F36" s="442" t="n"/>
      <c r="G36" s="442" t="n"/>
      <c r="H36" s="442" t="n"/>
      <c r="I36" s="442" t="n"/>
      <c r="J36" s="442" t="n"/>
      <c r="K36" s="442" t="n"/>
      <c r="L36" s="442" t="n"/>
      <c r="M36" s="442" t="n"/>
      <c r="N36" s="442" t="n"/>
      <c r="O36" s="442" t="n"/>
      <c r="P36" s="442" t="n"/>
      <c r="Q36" s="442" t="n"/>
      <c r="R36" s="442" t="n"/>
      <c r="S36" s="442" t="n"/>
      <c r="T36" s="442" t="n"/>
      <c r="U36" s="442" t="n"/>
      <c r="V36" s="442" t="n"/>
      <c r="W36" s="442" t="n"/>
    </row>
    <row r="37">
      <c r="B37" s="100" t="n">
        <v>216</v>
      </c>
      <c r="C37" s="114" t="inlineStr">
        <is>
          <t>6. Phải thu dài hạn khác</t>
        </is>
      </c>
      <c r="D37" s="484" t="inlineStr">
        <is>
          <t>Other debtors and other assets</t>
        </is>
      </c>
      <c r="E37" s="442" t="n">
        <v>654693</v>
      </c>
      <c r="F37" s="442" t="n">
        <v>638993</v>
      </c>
      <c r="G37" s="442" t="n">
        <v>638993</v>
      </c>
      <c r="H37" s="442" t="n">
        <v>640067</v>
      </c>
      <c r="I37" s="442" t="n">
        <v>2181</v>
      </c>
      <c r="J37" s="442" t="n"/>
      <c r="K37" s="442" t="n"/>
      <c r="L37" s="442" t="n"/>
      <c r="M37" s="442" t="n"/>
      <c r="N37" s="442" t="n"/>
      <c r="O37" s="442" t="n"/>
      <c r="P37" s="442" t="n"/>
      <c r="Q37" s="442" t="n"/>
      <c r="R37" s="442" t="n"/>
      <c r="S37" s="442" t="n"/>
      <c r="T37" s="442" t="n"/>
      <c r="U37" s="442" t="n"/>
      <c r="V37" s="442" t="n"/>
      <c r="W37" s="442" t="n"/>
    </row>
    <row r="38">
      <c r="B38" s="100" t="n">
        <v>219</v>
      </c>
      <c r="C38" s="114" t="inlineStr">
        <is>
          <t>7. Dự phòng phải thu dài hạn khó đòi (*)</t>
        </is>
      </c>
      <c r="D38" s="484" t="inlineStr">
        <is>
          <t>Other debtors and other assets</t>
        </is>
      </c>
      <c r="E38" s="442" t="n"/>
      <c r="F38" s="442" t="n"/>
      <c r="G38" s="442" t="n"/>
      <c r="H38" s="442" t="n"/>
      <c r="I38" s="442" t="n"/>
      <c r="J38" s="442" t="n"/>
      <c r="K38" s="442" t="n"/>
      <c r="L38" s="442" t="n"/>
      <c r="M38" s="442" t="n"/>
      <c r="N38" s="442" t="n"/>
      <c r="O38" s="442" t="n"/>
      <c r="P38" s="442" t="n"/>
      <c r="Q38" s="442" t="n"/>
      <c r="R38" s="442" t="n"/>
      <c r="S38" s="442" t="n"/>
      <c r="T38" s="442" t="n"/>
      <c r="U38" s="442" t="n"/>
      <c r="V38" s="442" t="n"/>
      <c r="W38" s="442" t="n"/>
    </row>
    <row r="39" customFormat="1" s="347">
      <c r="B39" s="101" t="n">
        <v>220</v>
      </c>
      <c r="C39" s="112" t="inlineStr">
        <is>
          <t>II. Tài sản cố định ( 220 = 221 + 224 + 227)</t>
        </is>
      </c>
      <c r="D39" s="345" t="n"/>
      <c r="E39" s="480" t="n">
        <v>62700</v>
      </c>
      <c r="F39" s="480" t="n">
        <v>86964</v>
      </c>
      <c r="G39" s="480" t="n">
        <v>107257</v>
      </c>
      <c r="H39" s="480" t="n">
        <v>140485</v>
      </c>
      <c r="I39" s="480" t="n">
        <v>158892</v>
      </c>
      <c r="J39" s="480" t="n"/>
      <c r="K39" s="480" t="n"/>
      <c r="L39" s="480" t="n"/>
      <c r="M39" s="480" t="n"/>
      <c r="N39" s="480" t="n"/>
      <c r="O39" s="480" t="n"/>
      <c r="P39" s="480" t="n"/>
      <c r="Q39" s="480" t="n"/>
      <c r="R39" s="480" t="n"/>
      <c r="S39" s="480" t="n"/>
      <c r="T39" s="480" t="n"/>
      <c r="U39" s="480" t="n"/>
      <c r="V39" s="480" t="n"/>
      <c r="W39" s="480" t="n"/>
    </row>
    <row r="40">
      <c r="B40" s="100" t="n">
        <v>221</v>
      </c>
      <c r="C40" s="114" t="inlineStr">
        <is>
          <t xml:space="preserve">  1. Tài sản cố định hữu hình</t>
        </is>
      </c>
      <c r="D40" s="481" t="inlineStr">
        <is>
          <t>Net Fixed Assets</t>
        </is>
      </c>
      <c r="E40" s="442" t="n">
        <v>58964</v>
      </c>
      <c r="F40" s="442" t="n">
        <v>81280</v>
      </c>
      <c r="G40" s="442" t="n">
        <v>99791</v>
      </c>
      <c r="H40" s="442" t="n">
        <v>128739</v>
      </c>
      <c r="I40" s="442" t="n">
        <v>139380</v>
      </c>
      <c r="J40" s="442" t="n"/>
      <c r="K40" s="442" t="n"/>
      <c r="L40" s="442" t="n"/>
      <c r="M40" s="442" t="n"/>
      <c r="N40" s="442" t="n"/>
      <c r="O40" s="442" t="n"/>
      <c r="P40" s="442" t="n"/>
      <c r="Q40" s="442" t="n"/>
      <c r="R40" s="442" t="n"/>
      <c r="S40" s="442" t="n"/>
      <c r="T40" s="442" t="n"/>
      <c r="U40" s="442" t="n"/>
      <c r="V40" s="442" t="n"/>
      <c r="W40" s="442" t="n"/>
    </row>
    <row r="41">
      <c r="B41" s="100" t="n">
        <v>222</v>
      </c>
      <c r="C41" s="114" t="inlineStr">
        <is>
          <t xml:space="preserve">      - Nguyên giá</t>
        </is>
      </c>
      <c r="D41" s="340" t="n"/>
      <c r="E41" s="442" t="n">
        <v>6564</v>
      </c>
      <c r="F41" s="442" t="n">
        <v>9345</v>
      </c>
      <c r="G41" s="442" t="n">
        <v>9486</v>
      </c>
      <c r="H41" s="442" t="n">
        <v>9486</v>
      </c>
      <c r="I41" s="442" t="n">
        <v>9486</v>
      </c>
      <c r="J41" s="442" t="n"/>
      <c r="K41" s="442" t="n"/>
      <c r="L41" s="442" t="n"/>
      <c r="M41" s="442" t="n"/>
      <c r="N41" s="442" t="n"/>
      <c r="O41" s="442" t="n"/>
      <c r="P41" s="442" t="n"/>
      <c r="Q41" s="442" t="n"/>
      <c r="R41" s="442" t="n"/>
      <c r="S41" s="442" t="n"/>
      <c r="T41" s="442" t="n"/>
      <c r="U41" s="442" t="n"/>
      <c r="V41" s="442" t="n"/>
      <c r="W41" s="442" t="n"/>
    </row>
    <row r="42">
      <c r="B42" s="100" t="n">
        <v>223</v>
      </c>
      <c r="C42" s="114" t="inlineStr">
        <is>
          <t xml:space="preserve">      - Giá trị hao mòn luỹ kế (*)</t>
        </is>
      </c>
      <c r="D42" s="340" t="n"/>
      <c r="E42" s="442" t="n">
        <v>-4831</v>
      </c>
      <c r="F42" s="442" t="n">
        <v>-5450</v>
      </c>
      <c r="G42" s="442" t="n">
        <v>-5562</v>
      </c>
      <c r="H42" s="442" t="n">
        <v>-5735</v>
      </c>
      <c r="I42" s="442" t="n">
        <v>-5808</v>
      </c>
      <c r="J42" s="442" t="n"/>
      <c r="K42" s="442" t="n"/>
      <c r="L42" s="442" t="n"/>
      <c r="M42" s="442" t="n"/>
      <c r="N42" s="442" t="n"/>
      <c r="O42" s="442" t="n"/>
      <c r="P42" s="442" t="n"/>
      <c r="Q42" s="442" t="n"/>
      <c r="R42" s="442" t="n"/>
      <c r="S42" s="442" t="n"/>
      <c r="T42" s="442" t="n"/>
      <c r="U42" s="442" t="n"/>
      <c r="V42" s="442" t="n"/>
      <c r="W42" s="442" t="n"/>
    </row>
    <row r="43">
      <c r="B43" s="100" t="n">
        <v>224</v>
      </c>
      <c r="C43" s="114" t="inlineStr">
        <is>
          <t xml:space="preserve">  2. Tài sản cố định thuê tài chính</t>
        </is>
      </c>
      <c r="D43" s="481" t="inlineStr">
        <is>
          <t>Net Fixed Assets</t>
        </is>
      </c>
      <c r="E43" s="442" t="n">
        <v>2003</v>
      </c>
      <c r="F43" s="442" t="n">
        <v>1789</v>
      </c>
      <c r="G43" s="442" t="n">
        <v>3542</v>
      </c>
      <c r="H43" s="442" t="n">
        <v>7995</v>
      </c>
      <c r="I43" s="442" t="n">
        <v>15834</v>
      </c>
      <c r="J43" s="442" t="n"/>
      <c r="K43" s="442" t="n"/>
      <c r="L43" s="442" t="n"/>
      <c r="M43" s="442" t="n"/>
      <c r="N43" s="442" t="n"/>
      <c r="O43" s="442" t="n"/>
      <c r="P43" s="442" t="n"/>
      <c r="Q43" s="442" t="n"/>
      <c r="R43" s="442" t="n"/>
      <c r="S43" s="442" t="n"/>
      <c r="T43" s="442" t="n"/>
      <c r="U43" s="442" t="n"/>
      <c r="V43" s="442" t="n"/>
      <c r="W43" s="442" t="n"/>
    </row>
    <row r="44">
      <c r="B44" s="100" t="n">
        <v>225</v>
      </c>
      <c r="C44" s="114" t="inlineStr">
        <is>
          <t xml:space="preserve">      - Nguyên giá</t>
        </is>
      </c>
      <c r="D44" s="340" t="n"/>
      <c r="E44" s="442" t="n"/>
      <c r="F44" s="442" t="n"/>
      <c r="G44" s="442" t="n"/>
      <c r="H44" s="442" t="n"/>
      <c r="I44" s="442" t="n"/>
      <c r="J44" s="442" t="n"/>
      <c r="K44" s="442" t="n"/>
      <c r="L44" s="442" t="n"/>
      <c r="M44" s="442" t="n"/>
      <c r="N44" s="442" t="n"/>
      <c r="O44" s="442" t="n"/>
      <c r="P44" s="442" t="n"/>
      <c r="Q44" s="442" t="n"/>
      <c r="R44" s="442" t="n"/>
      <c r="S44" s="442" t="n"/>
      <c r="T44" s="442" t="n"/>
      <c r="U44" s="442" t="n"/>
      <c r="V44" s="442" t="n"/>
      <c r="W44" s="442" t="n"/>
    </row>
    <row r="45">
      <c r="B45" s="100" t="n">
        <v>226</v>
      </c>
      <c r="C45" s="114" t="inlineStr">
        <is>
          <t xml:space="preserve">      - Giá trị hao mòn luỹ kế (*)</t>
        </is>
      </c>
      <c r="D45" s="340" t="n"/>
      <c r="E45" s="442" t="n"/>
      <c r="F45" s="442" t="n"/>
      <c r="G45" s="442" t="n"/>
      <c r="H45" s="442" t="n"/>
      <c r="I45" s="442" t="n"/>
      <c r="J45" s="442" t="n"/>
      <c r="K45" s="442" t="n"/>
      <c r="L45" s="442" t="n"/>
      <c r="M45" s="442" t="n"/>
      <c r="N45" s="442" t="n"/>
      <c r="O45" s="442" t="n"/>
      <c r="P45" s="442" t="n"/>
      <c r="Q45" s="442" t="n"/>
      <c r="R45" s="442" t="n"/>
      <c r="S45" s="442" t="n"/>
      <c r="T45" s="442" t="n"/>
      <c r="U45" s="442" t="n"/>
      <c r="V45" s="442" t="n"/>
      <c r="W45" s="442" t="n"/>
    </row>
    <row r="46">
      <c r="B46" s="100" t="n">
        <v>227</v>
      </c>
      <c r="C46" s="114" t="inlineStr">
        <is>
          <t xml:space="preserve">  3. Tài sản cố định vô hình</t>
        </is>
      </c>
      <c r="D46" s="482" t="inlineStr">
        <is>
          <t>Intangible Assets</t>
        </is>
      </c>
      <c r="E46" s="442" t="n">
        <v>1733</v>
      </c>
      <c r="F46" s="442" t="n">
        <v>3895</v>
      </c>
      <c r="G46" s="442" t="n">
        <v>3924</v>
      </c>
      <c r="H46" s="442" t="n">
        <v>3751</v>
      </c>
      <c r="I46" s="442" t="n">
        <v>3678</v>
      </c>
      <c r="J46" s="442" t="n"/>
      <c r="K46" s="442" t="n"/>
      <c r="L46" s="442" t="n"/>
      <c r="M46" s="442" t="n"/>
      <c r="N46" s="442" t="n"/>
      <c r="O46" s="442" t="n"/>
      <c r="P46" s="442" t="n"/>
      <c r="Q46" s="442" t="n"/>
      <c r="R46" s="442" t="n"/>
      <c r="S46" s="442" t="n"/>
      <c r="T46" s="442" t="n"/>
      <c r="U46" s="442" t="n"/>
      <c r="V46" s="442" t="n"/>
      <c r="W46" s="442" t="n"/>
    </row>
    <row r="47">
      <c r="B47" s="100" t="n">
        <v>228</v>
      </c>
      <c r="C47" s="114" t="inlineStr">
        <is>
          <t xml:space="preserve">      - Nguyên giá</t>
        </is>
      </c>
      <c r="D47" s="340" t="n"/>
      <c r="E47" s="442" t="n"/>
      <c r="F47" s="442" t="n"/>
      <c r="G47" s="442" t="n"/>
      <c r="H47" s="442" t="n"/>
      <c r="I47" s="442" t="n"/>
      <c r="J47" s="442" t="n"/>
      <c r="K47" s="442" t="n"/>
      <c r="L47" s="442" t="n"/>
      <c r="M47" s="442" t="n"/>
      <c r="N47" s="442" t="n"/>
      <c r="O47" s="442" t="n"/>
      <c r="P47" s="442" t="n"/>
      <c r="Q47" s="442" t="n"/>
      <c r="R47" s="442" t="n"/>
      <c r="S47" s="442" t="n"/>
      <c r="T47" s="442" t="n"/>
      <c r="U47" s="442" t="n"/>
      <c r="V47" s="442" t="n"/>
      <c r="W47" s="442" t="n"/>
    </row>
    <row r="48">
      <c r="B48" s="100" t="n">
        <v>229</v>
      </c>
      <c r="C48" s="114" t="inlineStr">
        <is>
          <t xml:space="preserve">      - Giá trị hao mòn luỹ kế (*)</t>
        </is>
      </c>
      <c r="D48" s="340" t="n"/>
      <c r="E48" s="442" t="n"/>
      <c r="F48" s="442" t="n"/>
      <c r="G48" s="442" t="n"/>
      <c r="H48" s="442" t="n"/>
      <c r="I48" s="442" t="n"/>
      <c r="J48" s="442" t="n"/>
      <c r="K48" s="442" t="n"/>
      <c r="L48" s="442" t="n"/>
      <c r="M48" s="442" t="n"/>
      <c r="N48" s="442" t="n"/>
      <c r="O48" s="442" t="n"/>
      <c r="P48" s="442" t="n"/>
      <c r="Q48" s="442" t="n"/>
      <c r="R48" s="442" t="n"/>
      <c r="S48" s="442" t="n"/>
      <c r="T48" s="442" t="n"/>
      <c r="U48" s="442" t="n"/>
      <c r="V48" s="442" t="n"/>
      <c r="W48" s="442" t="n"/>
    </row>
    <row r="49" customFormat="1" s="347">
      <c r="B49" s="101" t="n">
        <v>230</v>
      </c>
      <c r="C49" s="112" t="inlineStr">
        <is>
          <t>III. Bất động sản đầu tư (230 = 231 + 232)</t>
        </is>
      </c>
      <c r="D49" s="479" t="inlineStr">
        <is>
          <t>Investments and assets for sale</t>
        </is>
      </c>
      <c r="E49" s="480" t="n">
        <v>510176</v>
      </c>
      <c r="F49" s="480" t="n">
        <v>502081</v>
      </c>
      <c r="G49" s="480" t="n">
        <v>474996</v>
      </c>
      <c r="H49" s="480" t="n">
        <v>449184</v>
      </c>
      <c r="I49" s="480" t="n">
        <v>369770</v>
      </c>
      <c r="J49" s="480" t="n"/>
      <c r="K49" s="480" t="n"/>
      <c r="L49" s="480" t="n"/>
      <c r="M49" s="480" t="n"/>
      <c r="N49" s="480" t="n"/>
      <c r="O49" s="480" t="n"/>
      <c r="P49" s="480" t="n"/>
      <c r="Q49" s="480" t="n"/>
      <c r="R49" s="480" t="n"/>
      <c r="S49" s="480" t="n"/>
      <c r="T49" s="480" t="n"/>
      <c r="U49" s="480" t="n"/>
      <c r="V49" s="480" t="n"/>
      <c r="W49" s="480" t="n"/>
    </row>
    <row r="50">
      <c r="B50" s="100" t="n">
        <v>231</v>
      </c>
      <c r="C50" s="114" t="inlineStr">
        <is>
          <t>- Nguyên giá</t>
        </is>
      </c>
      <c r="D50" s="340" t="n"/>
      <c r="E50" s="442" t="n">
        <v>649151</v>
      </c>
      <c r="F50" s="442" t="n">
        <v>661223</v>
      </c>
      <c r="G50" s="442" t="n">
        <v>661223</v>
      </c>
      <c r="H50" s="442" t="n">
        <v>661223</v>
      </c>
      <c r="I50" s="442" t="n">
        <v>608169</v>
      </c>
      <c r="J50" s="442" t="n"/>
      <c r="K50" s="442" t="n"/>
      <c r="L50" s="442" t="n"/>
      <c r="M50" s="442" t="n"/>
      <c r="N50" s="442" t="n"/>
      <c r="O50" s="442" t="n"/>
      <c r="P50" s="442" t="n"/>
      <c r="Q50" s="442" t="n"/>
      <c r="R50" s="442" t="n"/>
      <c r="S50" s="442" t="n"/>
      <c r="T50" s="442" t="n"/>
      <c r="U50" s="442" t="n"/>
      <c r="V50" s="442" t="n"/>
      <c r="W50" s="442" t="n"/>
    </row>
    <row r="51">
      <c r="B51" s="100" t="n">
        <v>232</v>
      </c>
      <c r="C51" s="114" t="inlineStr">
        <is>
          <t>- Giá trị hao mòn lũy kế (*)</t>
        </is>
      </c>
      <c r="D51" s="340" t="n"/>
      <c r="E51" s="442" t="n">
        <v>-138975</v>
      </c>
      <c r="F51" s="442" t="n">
        <v>-159142</v>
      </c>
      <c r="G51" s="442" t="n">
        <v>-186227</v>
      </c>
      <c r="H51" s="442" t="n">
        <v>-212039</v>
      </c>
      <c r="I51" s="442" t="n">
        <v>-238399</v>
      </c>
      <c r="J51" s="442" t="n"/>
      <c r="K51" s="442" t="n"/>
      <c r="L51" s="442" t="n"/>
      <c r="M51" s="442" t="n"/>
      <c r="N51" s="442" t="n"/>
      <c r="O51" s="442" t="n"/>
      <c r="P51" s="442" t="n"/>
      <c r="Q51" s="442" t="n"/>
      <c r="R51" s="442" t="n"/>
      <c r="S51" s="442" t="n"/>
      <c r="T51" s="442" t="n"/>
      <c r="U51" s="442" t="n"/>
      <c r="V51" s="442" t="n"/>
      <c r="W51" s="442" t="n"/>
    </row>
    <row r="52" customFormat="1" s="347">
      <c r="B52" s="101" t="n">
        <v>240</v>
      </c>
      <c r="C52" s="112" t="inlineStr">
        <is>
          <t>IV. Tài sản dang dở dài hạn (240 = 241 + 242)</t>
        </is>
      </c>
      <c r="D52" s="481" t="inlineStr">
        <is>
          <t>Net Fixed Assets</t>
        </is>
      </c>
      <c r="E52" s="480" t="n">
        <v>1478947</v>
      </c>
      <c r="F52" s="480" t="n">
        <v>1494648</v>
      </c>
      <c r="G52" s="480" t="n">
        <v>1494330</v>
      </c>
      <c r="H52" s="480" t="n">
        <v>1484389</v>
      </c>
      <c r="I52" s="480" t="n">
        <v>3210121</v>
      </c>
      <c r="J52" s="480" t="n"/>
      <c r="K52" s="480" t="n"/>
      <c r="L52" s="480" t="n"/>
      <c r="M52" s="480" t="n"/>
      <c r="N52" s="480" t="n"/>
      <c r="O52" s="480" t="n"/>
      <c r="P52" s="480" t="n"/>
      <c r="Q52" s="480" t="n"/>
      <c r="R52" s="480" t="n"/>
      <c r="S52" s="480" t="n"/>
      <c r="T52" s="480" t="n"/>
      <c r="U52" s="480" t="n"/>
      <c r="V52" s="480" t="n"/>
      <c r="W52" s="480" t="n"/>
    </row>
    <row r="53">
      <c r="B53" s="100" t="n">
        <v>241</v>
      </c>
      <c r="C53" s="114" t="inlineStr">
        <is>
          <t xml:space="preserve">1. Chi phí sản xuất, kinh doanh dở dang dài hạn </t>
        </is>
      </c>
      <c r="D53" s="340" t="n"/>
      <c r="E53" s="442" t="n">
        <v>1438139</v>
      </c>
      <c r="F53" s="442" t="n">
        <v>1438229</v>
      </c>
      <c r="G53" s="442" t="n">
        <v>1438393</v>
      </c>
      <c r="H53" s="442" t="n">
        <v>1419922</v>
      </c>
      <c r="I53" s="442" t="n">
        <v>3154385</v>
      </c>
      <c r="J53" s="442" t="n"/>
      <c r="K53" s="442" t="n"/>
      <c r="L53" s="442" t="n"/>
      <c r="M53" s="442" t="n"/>
      <c r="N53" s="442" t="n"/>
      <c r="O53" s="442" t="n"/>
      <c r="P53" s="442" t="n"/>
      <c r="Q53" s="442" t="n"/>
      <c r="R53" s="442" t="n"/>
      <c r="S53" s="442" t="n"/>
      <c r="T53" s="442" t="n"/>
      <c r="U53" s="442" t="n"/>
      <c r="V53" s="442" t="n"/>
      <c r="W53" s="442" t="n"/>
    </row>
    <row r="54">
      <c r="B54" s="100" t="n">
        <v>242</v>
      </c>
      <c r="C54" s="114" t="inlineStr">
        <is>
          <t>2. Chi phí xây dựng cơ bản dở dang</t>
        </is>
      </c>
      <c r="D54" s="340" t="n"/>
      <c r="E54" s="442" t="n">
        <v>40808</v>
      </c>
      <c r="F54" s="442" t="n">
        <v>56419</v>
      </c>
      <c r="G54" s="442" t="n">
        <v>55937</v>
      </c>
      <c r="H54" s="442" t="n">
        <v>64467</v>
      </c>
      <c r="I54" s="442" t="n">
        <v>55736</v>
      </c>
      <c r="J54" s="442" t="n"/>
      <c r="K54" s="442" t="n"/>
      <c r="L54" s="442" t="n"/>
      <c r="M54" s="442" t="n"/>
      <c r="N54" s="442" t="n"/>
      <c r="O54" s="442" t="n"/>
      <c r="P54" s="442" t="n"/>
      <c r="Q54" s="442" t="n"/>
      <c r="R54" s="442" t="n"/>
      <c r="S54" s="442" t="n"/>
      <c r="T54" s="442" t="n"/>
      <c r="U54" s="442" t="n"/>
      <c r="V54" s="442" t="n"/>
      <c r="W54" s="442" t="n"/>
    </row>
    <row r="55" customFormat="1" s="347">
      <c r="B55" s="101" t="n">
        <v>250</v>
      </c>
      <c r="C55" s="112" t="inlineStr">
        <is>
          <t>V. Đầu tư tài chính dài hạn (250 = 251 + …+ 255)</t>
        </is>
      </c>
      <c r="D55" s="479" t="inlineStr">
        <is>
          <t>Investments and assets for sale</t>
        </is>
      </c>
      <c r="E55" s="480" t="n">
        <v>3124681</v>
      </c>
      <c r="F55" s="480" t="n">
        <v>3099726</v>
      </c>
      <c r="G55" s="480" t="n">
        <v>3194389</v>
      </c>
      <c r="H55" s="480" t="n">
        <v>3342212</v>
      </c>
      <c r="I55" s="480" t="n">
        <v>1288962</v>
      </c>
      <c r="J55" s="480" t="n"/>
      <c r="K55" s="480" t="n"/>
      <c r="L55" s="480" t="n"/>
      <c r="M55" s="480" t="n"/>
      <c r="N55" s="480" t="n"/>
      <c r="O55" s="480" t="n"/>
      <c r="P55" s="480" t="n"/>
      <c r="Q55" s="480" t="n"/>
      <c r="R55" s="480" t="n"/>
      <c r="S55" s="480" t="n"/>
      <c r="T55" s="480" t="n"/>
      <c r="U55" s="480" t="n"/>
      <c r="V55" s="480" t="n"/>
      <c r="W55" s="480" t="n"/>
    </row>
    <row r="56">
      <c r="B56" s="100" t="n">
        <v>251</v>
      </c>
      <c r="C56" s="114" t="inlineStr">
        <is>
          <t xml:space="preserve">  1. Đầu tư vào công ty con </t>
        </is>
      </c>
      <c r="D56" s="340" t="n"/>
      <c r="E56" s="442" t="n"/>
      <c r="F56" s="442" t="n"/>
      <c r="G56" s="442" t="n"/>
      <c r="H56" s="442" t="n"/>
      <c r="I56" s="442" t="n"/>
      <c r="J56" s="442" t="n"/>
      <c r="K56" s="442" t="n"/>
      <c r="L56" s="442" t="n"/>
      <c r="M56" s="442" t="n"/>
      <c r="N56" s="442" t="n"/>
      <c r="O56" s="442" t="n"/>
      <c r="P56" s="442" t="n"/>
      <c r="Q56" s="442" t="n"/>
      <c r="R56" s="442" t="n"/>
      <c r="S56" s="442" t="n"/>
      <c r="T56" s="442" t="n"/>
      <c r="U56" s="442" t="n"/>
      <c r="V56" s="442" t="n"/>
      <c r="W56" s="442" t="n"/>
    </row>
    <row r="57">
      <c r="B57" s="100" t="n">
        <v>252</v>
      </c>
      <c r="C57" s="114" t="inlineStr">
        <is>
          <t xml:space="preserve">  2. Đầu tư vào công ty liên kết, liên doanh</t>
        </is>
      </c>
      <c r="D57" s="340" t="n"/>
      <c r="E57" s="442" t="n">
        <v>323439</v>
      </c>
      <c r="F57" s="442" t="n">
        <v>320136</v>
      </c>
      <c r="G57" s="442" t="n">
        <v>309746</v>
      </c>
      <c r="H57" s="442" t="n">
        <v>306761</v>
      </c>
      <c r="I57" s="442" t="n"/>
      <c r="J57" s="442" t="n"/>
      <c r="K57" s="442" t="n"/>
      <c r="L57" s="442" t="n"/>
      <c r="M57" s="442" t="n"/>
      <c r="N57" s="442" t="n"/>
      <c r="O57" s="442" t="n"/>
      <c r="P57" s="442" t="n"/>
      <c r="Q57" s="442" t="n"/>
      <c r="R57" s="442" t="n"/>
      <c r="S57" s="442" t="n"/>
      <c r="T57" s="442" t="n"/>
      <c r="U57" s="442" t="n"/>
      <c r="V57" s="442" t="n"/>
      <c r="W57" s="442" t="n"/>
    </row>
    <row r="58">
      <c r="B58" s="100" t="n">
        <v>253</v>
      </c>
      <c r="C58" s="114" t="inlineStr">
        <is>
          <t>3. Đầu tư khác vào đơn vị khác</t>
        </is>
      </c>
      <c r="D58" s="340" t="n"/>
      <c r="E58" s="442" t="n">
        <v>2959218</v>
      </c>
      <c r="F58" s="442" t="n">
        <v>3008618</v>
      </c>
      <c r="G58" s="442" t="n">
        <v>3012618</v>
      </c>
      <c r="H58" s="442" t="n">
        <v>3161925</v>
      </c>
      <c r="I58" s="442" t="n">
        <v>1452353</v>
      </c>
      <c r="J58" s="442" t="n"/>
      <c r="K58" s="442" t="n"/>
      <c r="L58" s="442" t="n"/>
      <c r="M58" s="442" t="n"/>
      <c r="N58" s="442" t="n"/>
      <c r="O58" s="442" t="n"/>
      <c r="P58" s="442" t="n"/>
      <c r="Q58" s="442" t="n"/>
      <c r="R58" s="442" t="n"/>
      <c r="S58" s="442" t="n"/>
      <c r="T58" s="442" t="n"/>
      <c r="U58" s="442" t="n"/>
      <c r="V58" s="442" t="n"/>
      <c r="W58" s="442" t="n"/>
    </row>
    <row r="59">
      <c r="B59" s="100" t="n">
        <v>254</v>
      </c>
      <c r="C59" s="114" t="inlineStr">
        <is>
          <t>4. Dự phòng đầu tư tài chính dài hạn (*)</t>
        </is>
      </c>
      <c r="D59" s="340" t="n"/>
      <c r="E59" s="442" t="n">
        <v>-157975</v>
      </c>
      <c r="F59" s="442" t="n">
        <v>-229027</v>
      </c>
      <c r="G59" s="442" t="n">
        <v>-127975</v>
      </c>
      <c r="H59" s="442" t="n">
        <v>-127975</v>
      </c>
      <c r="I59" s="442" t="n">
        <v>-163390</v>
      </c>
      <c r="J59" s="442" t="n"/>
      <c r="K59" s="442" t="n"/>
      <c r="L59" s="442" t="n"/>
      <c r="M59" s="442" t="n"/>
      <c r="N59" s="442" t="n"/>
      <c r="O59" s="442" t="n"/>
      <c r="P59" s="442" t="n"/>
      <c r="Q59" s="442" t="n"/>
      <c r="R59" s="442" t="n"/>
      <c r="S59" s="442" t="n"/>
      <c r="T59" s="442" t="n"/>
      <c r="U59" s="442" t="n"/>
      <c r="V59" s="442" t="n"/>
      <c r="W59" s="442" t="n"/>
    </row>
    <row r="60">
      <c r="B60" s="100" t="n">
        <v>255</v>
      </c>
      <c r="C60" s="114" t="inlineStr">
        <is>
          <t>5. Đầu tư nắm giữ đến ngày đáo hạn</t>
        </is>
      </c>
      <c r="D60" s="340" t="n"/>
      <c r="E60" s="442" t="n"/>
      <c r="F60" s="442" t="n"/>
      <c r="G60" s="442" t="n"/>
      <c r="H60" s="442" t="n">
        <v>1500</v>
      </c>
      <c r="I60" s="442" t="n"/>
      <c r="J60" s="442" t="n"/>
      <c r="K60" s="442" t="n"/>
      <c r="L60" s="442" t="n"/>
      <c r="M60" s="442" t="n"/>
      <c r="N60" s="442" t="n"/>
      <c r="O60" s="442" t="n"/>
      <c r="P60" s="442" t="n"/>
      <c r="Q60" s="442" t="n"/>
      <c r="R60" s="442" t="n"/>
      <c r="S60" s="442" t="n"/>
      <c r="T60" s="442" t="n"/>
      <c r="U60" s="442" t="n"/>
      <c r="V60" s="442" t="n"/>
      <c r="W60" s="442" t="n"/>
    </row>
    <row r="61" customFormat="1" s="347">
      <c r="B61" s="101" t="n">
        <v>260</v>
      </c>
      <c r="C61" s="112" t="inlineStr">
        <is>
          <t>V. Tài sản dài hạn khác (260 = 261 + 262 + 263 + 268)</t>
        </is>
      </c>
      <c r="D61" s="345" t="n"/>
      <c r="E61" s="480" t="n">
        <v>11301</v>
      </c>
      <c r="F61" s="480" t="n">
        <v>15308</v>
      </c>
      <c r="G61" s="480" t="n">
        <v>12720</v>
      </c>
      <c r="H61" s="480" t="n">
        <v>15959</v>
      </c>
      <c r="I61" s="480" t="n">
        <v>14672</v>
      </c>
      <c r="J61" s="480" t="n"/>
      <c r="K61" s="480" t="n"/>
      <c r="L61" s="480" t="n"/>
      <c r="M61" s="480" t="n"/>
      <c r="N61" s="480" t="n"/>
      <c r="O61" s="480" t="n"/>
      <c r="P61" s="480" t="n"/>
      <c r="Q61" s="480" t="n"/>
      <c r="R61" s="480" t="n"/>
      <c r="S61" s="480" t="n"/>
      <c r="T61" s="480" t="n"/>
      <c r="U61" s="480" t="n"/>
      <c r="V61" s="480" t="n"/>
      <c r="W61" s="480" t="n"/>
    </row>
    <row r="62">
      <c r="B62" s="100" t="n">
        <v>261</v>
      </c>
      <c r="C62" s="114" t="inlineStr">
        <is>
          <t xml:space="preserve">  1. Chi phí trả trước dài hạn</t>
        </is>
      </c>
      <c r="D62" s="340" t="inlineStr">
        <is>
          <t>Other debtors and other assets</t>
        </is>
      </c>
      <c r="E62" s="442" t="n">
        <v>11301</v>
      </c>
      <c r="F62" s="442" t="n">
        <v>15308</v>
      </c>
      <c r="G62" s="442" t="n">
        <v>12720</v>
      </c>
      <c r="H62" s="442" t="n">
        <v>15959</v>
      </c>
      <c r="I62" s="442" t="n">
        <v>14672</v>
      </c>
      <c r="J62" s="442" t="n"/>
      <c r="K62" s="442" t="n"/>
      <c r="L62" s="442" t="n"/>
      <c r="M62" s="442" t="n"/>
      <c r="N62" s="442" t="n"/>
      <c r="O62" s="442" t="n"/>
      <c r="P62" s="442" t="n"/>
      <c r="Q62" s="442" t="n"/>
      <c r="R62" s="442" t="n"/>
      <c r="S62" s="442" t="n"/>
      <c r="T62" s="442" t="n"/>
      <c r="U62" s="442" t="n"/>
      <c r="V62" s="442" t="n"/>
      <c r="W62" s="442" t="n"/>
    </row>
    <row r="63">
      <c r="B63" s="100" t="n">
        <v>262</v>
      </c>
      <c r="C63" s="114" t="inlineStr">
        <is>
          <t xml:space="preserve">  2. Tài sản thuế thu nhập hoãn lại</t>
        </is>
      </c>
      <c r="D63" s="340" t="inlineStr">
        <is>
          <t>Other debtors and other assets</t>
        </is>
      </c>
      <c r="E63" s="442" t="n"/>
      <c r="F63" s="442" t="n"/>
      <c r="G63" s="442" t="n"/>
      <c r="H63" s="442" t="n"/>
      <c r="I63" s="442" t="n"/>
      <c r="J63" s="442" t="n"/>
      <c r="K63" s="442" t="n"/>
      <c r="L63" s="442" t="n"/>
      <c r="M63" s="442" t="n"/>
      <c r="N63" s="442" t="n"/>
      <c r="O63" s="442" t="n"/>
      <c r="P63" s="442" t="n"/>
      <c r="Q63" s="442" t="n"/>
      <c r="R63" s="442" t="n"/>
      <c r="S63" s="442" t="n"/>
      <c r="T63" s="442" t="n"/>
      <c r="U63" s="442" t="n"/>
      <c r="V63" s="442" t="n"/>
      <c r="W63" s="442" t="n"/>
    </row>
    <row r="64">
      <c r="B64" s="100" t="n">
        <v>263</v>
      </c>
      <c r="C64" s="114" t="inlineStr">
        <is>
          <t>3. Thiết bị, vật tư, phụ tùng thay thế dài hạn</t>
        </is>
      </c>
      <c r="D64" s="484" t="inlineStr">
        <is>
          <t>Other debtors and other assets</t>
        </is>
      </c>
      <c r="E64" s="442" t="n"/>
      <c r="F64" s="442" t="n"/>
      <c r="G64" s="442" t="n"/>
      <c r="H64" s="442" t="n"/>
      <c r="I64" s="442" t="n"/>
      <c r="J64" s="442" t="n"/>
      <c r="K64" s="442" t="n"/>
      <c r="L64" s="442" t="n"/>
      <c r="M64" s="442" t="n"/>
      <c r="N64" s="442" t="n"/>
      <c r="O64" s="442" t="n"/>
      <c r="P64" s="442" t="n"/>
      <c r="Q64" s="442" t="n"/>
      <c r="R64" s="442" t="n"/>
      <c r="S64" s="442" t="n"/>
      <c r="T64" s="442" t="n"/>
      <c r="U64" s="442" t="n"/>
      <c r="V64" s="442" t="n"/>
      <c r="W64" s="442" t="n"/>
    </row>
    <row r="65">
      <c r="B65" s="100" t="n">
        <v>268</v>
      </c>
      <c r="C65" s="114" t="inlineStr">
        <is>
          <t>4. Tài sản dài hạn khác</t>
        </is>
      </c>
      <c r="D65" s="484" t="inlineStr">
        <is>
          <t>Other debtors and other assets</t>
        </is>
      </c>
      <c r="E65" s="442" t="n"/>
      <c r="F65" s="442" t="n"/>
      <c r="G65" s="442" t="n"/>
      <c r="H65" s="442" t="n"/>
      <c r="I65" s="442" t="n"/>
      <c r="J65" s="442" t="n"/>
      <c r="K65" s="442" t="n"/>
      <c r="L65" s="442" t="n"/>
      <c r="M65" s="442" t="n"/>
      <c r="N65" s="442" t="n"/>
      <c r="O65" s="442" t="n"/>
      <c r="P65" s="442" t="n"/>
      <c r="Q65" s="442" t="n"/>
      <c r="R65" s="442" t="n"/>
      <c r="S65" s="442" t="n"/>
      <c r="T65" s="442" t="n"/>
      <c r="U65" s="442" t="n"/>
      <c r="V65" s="442" t="n"/>
      <c r="W65" s="442" t="n"/>
    </row>
    <row r="66">
      <c r="B66" s="100" t="n">
        <v>269</v>
      </c>
      <c r="C66" s="114" t="inlineStr">
        <is>
          <t>5. Lợi thế thương mại</t>
        </is>
      </c>
      <c r="D66" s="484" t="inlineStr">
        <is>
          <t>Other debtors and other assets</t>
        </is>
      </c>
      <c r="E66" s="442" t="n"/>
      <c r="F66" s="442" t="n"/>
      <c r="G66" s="442" t="n"/>
      <c r="H66" s="442" t="n"/>
      <c r="I66" s="442" t="n"/>
      <c r="J66" s="442" t="n"/>
      <c r="K66" s="442" t="n"/>
      <c r="L66" s="442" t="n"/>
      <c r="M66" s="442" t="n"/>
      <c r="N66" s="442" t="n"/>
      <c r="O66" s="442" t="n"/>
      <c r="P66" s="442" t="n"/>
      <c r="Q66" s="442" t="n"/>
      <c r="R66" s="442" t="n"/>
      <c r="S66" s="442" t="n"/>
      <c r="T66" s="442" t="n"/>
      <c r="U66" s="442" t="n"/>
      <c r="V66" s="442" t="n"/>
      <c r="W66" s="442" t="n"/>
    </row>
    <row r="67" ht="18" customFormat="1" customHeight="1" s="347">
      <c r="B67" s="120" t="n">
        <v>270</v>
      </c>
      <c r="C67" s="121" t="inlineStr">
        <is>
          <t>TỔNG CỘNG TÀI SẢN (270 = 100 + 200)</t>
        </is>
      </c>
      <c r="D67" s="122" t="n"/>
      <c r="E67" s="480" t="n">
        <v>13085679</v>
      </c>
      <c r="F67" s="480" t="n">
        <v>13300573</v>
      </c>
      <c r="G67" s="480" t="n">
        <v>13497100</v>
      </c>
      <c r="H67" s="480" t="n">
        <v>13272810</v>
      </c>
      <c r="I67" s="480" t="n">
        <v>12221417</v>
      </c>
      <c r="J67" s="480" t="n"/>
      <c r="K67" s="480" t="n"/>
      <c r="L67" s="480" t="n"/>
      <c r="M67" s="480" t="n"/>
      <c r="N67" s="480" t="n"/>
      <c r="O67" s="480" t="n"/>
      <c r="P67" s="480" t="n"/>
      <c r="Q67" s="480" t="n"/>
      <c r="R67" s="480" t="n"/>
      <c r="S67" s="480" t="n"/>
      <c r="T67" s="480" t="n"/>
      <c r="U67" s="480" t="n"/>
      <c r="V67" s="480" t="n"/>
      <c r="W67" s="480" t="n"/>
    </row>
    <row r="68" ht="18" customFormat="1" customHeight="1" s="347">
      <c r="B68" s="103" t="n">
        <v>300</v>
      </c>
      <c r="C68" s="110" t="inlineStr">
        <is>
          <t>C - NỢ PHẢI TRẢ (300= 310 + 330)</t>
        </is>
      </c>
      <c r="D68" s="345" t="n"/>
      <c r="E68" s="480" t="n">
        <v>2698722</v>
      </c>
      <c r="F68" s="480" t="n">
        <v>2707298</v>
      </c>
      <c r="G68" s="480" t="n">
        <v>2724670</v>
      </c>
      <c r="H68" s="480" t="n">
        <v>2244666</v>
      </c>
      <c r="I68" s="480" t="n">
        <v>2125439</v>
      </c>
      <c r="J68" s="480" t="n"/>
      <c r="K68" s="480" t="n"/>
      <c r="L68" s="480" t="n"/>
      <c r="M68" s="480" t="n"/>
      <c r="N68" s="480" t="n"/>
      <c r="O68" s="480" t="n"/>
      <c r="P68" s="480" t="n"/>
      <c r="Q68" s="480" t="n"/>
      <c r="R68" s="480" t="n"/>
      <c r="S68" s="480" t="n"/>
      <c r="T68" s="480" t="n"/>
      <c r="U68" s="480" t="n"/>
      <c r="V68" s="480" t="n"/>
      <c r="W68" s="480" t="n"/>
    </row>
    <row r="69" customFormat="1" s="347">
      <c r="B69" s="101" t="n">
        <v>310</v>
      </c>
      <c r="C69" s="112" t="inlineStr">
        <is>
          <t>I. Nợ ngắn hạn</t>
        </is>
      </c>
      <c r="D69" s="345" t="n"/>
      <c r="E69" s="480" t="n">
        <v>1811013</v>
      </c>
      <c r="F69" s="480" t="n">
        <v>1962420</v>
      </c>
      <c r="G69" s="480" t="n">
        <v>2081273</v>
      </c>
      <c r="H69" s="480" t="n">
        <v>2005047</v>
      </c>
      <c r="I69" s="480" t="n">
        <v>1968322</v>
      </c>
      <c r="J69" s="480" t="n"/>
      <c r="K69" s="480" t="n"/>
      <c r="L69" s="480" t="n"/>
      <c r="M69" s="480" t="n"/>
      <c r="N69" s="480" t="n"/>
      <c r="O69" s="480" t="n"/>
      <c r="P69" s="480" t="n"/>
      <c r="Q69" s="480" t="n"/>
      <c r="R69" s="480" t="n"/>
      <c r="S69" s="480" t="n"/>
      <c r="T69" s="480" t="n"/>
      <c r="U69" s="480" t="n"/>
      <c r="V69" s="480" t="n"/>
      <c r="W69" s="480" t="n"/>
    </row>
    <row r="70">
      <c r="B70" s="100" t="n">
        <v>311</v>
      </c>
      <c r="C70" s="114" t="inlineStr">
        <is>
          <t>1. Phải trả người bán ngắn hạn</t>
        </is>
      </c>
      <c r="D70" s="482" t="inlineStr">
        <is>
          <t>Trade Creditors (Accounts Payable)</t>
        </is>
      </c>
      <c r="E70" s="442" t="n">
        <v>613537</v>
      </c>
      <c r="F70" s="442" t="n">
        <v>415066</v>
      </c>
      <c r="G70" s="442" t="n">
        <v>367581</v>
      </c>
      <c r="H70" s="442" t="n">
        <v>209313</v>
      </c>
      <c r="I70" s="442" t="n">
        <v>185427</v>
      </c>
      <c r="J70" s="442" t="n"/>
      <c r="K70" s="442" t="n"/>
      <c r="L70" s="442" t="n"/>
      <c r="M70" s="442" t="n"/>
      <c r="N70" s="442" t="n"/>
      <c r="O70" s="442" t="n"/>
      <c r="P70" s="442" t="n"/>
      <c r="Q70" s="442" t="n"/>
      <c r="R70" s="442" t="n"/>
      <c r="S70" s="442" t="n"/>
      <c r="T70" s="442" t="n"/>
      <c r="U70" s="442" t="n"/>
      <c r="V70" s="442" t="n"/>
      <c r="W70" s="442" t="n"/>
      <c r="Z70" s="459" t="n"/>
      <c r="AA70" s="459" t="n"/>
    </row>
    <row r="71">
      <c r="B71" s="100" t="n">
        <v>312</v>
      </c>
      <c r="C71" s="114" t="inlineStr">
        <is>
          <t>2. Người mua trả tiền trước ngắn hạn</t>
        </is>
      </c>
      <c r="D71" s="481" t="inlineStr">
        <is>
          <t>Customers advances</t>
        </is>
      </c>
      <c r="E71" s="442" t="n">
        <v>259411</v>
      </c>
      <c r="F71" s="442" t="n">
        <v>298962</v>
      </c>
      <c r="G71" s="442" t="n">
        <v>326839</v>
      </c>
      <c r="H71" s="442" t="n">
        <v>280472</v>
      </c>
      <c r="I71" s="442" t="n">
        <v>419400</v>
      </c>
      <c r="J71" s="442" t="n"/>
      <c r="K71" s="442" t="n"/>
      <c r="L71" s="442" t="n"/>
      <c r="M71" s="442" t="n"/>
      <c r="N71" s="442" t="n"/>
      <c r="O71" s="442" t="n"/>
      <c r="P71" s="442" t="n"/>
      <c r="Q71" s="442" t="n"/>
      <c r="R71" s="442" t="n"/>
      <c r="S71" s="442" t="n"/>
      <c r="T71" s="442" t="n"/>
      <c r="U71" s="442" t="n"/>
      <c r="V71" s="442" t="n"/>
      <c r="W71" s="442" t="n"/>
      <c r="Z71" s="459" t="n"/>
    </row>
    <row r="72">
      <c r="B72" s="100" t="n">
        <v>313</v>
      </c>
      <c r="C72" s="114" t="inlineStr">
        <is>
          <t>3. Thuế và các khoản phải nộp Nhà nước</t>
        </is>
      </c>
      <c r="D72" s="340" t="inlineStr">
        <is>
          <t>Tax Payable</t>
        </is>
      </c>
      <c r="E72" s="442" t="n">
        <v>138779</v>
      </c>
      <c r="F72" s="442" t="n">
        <v>127382</v>
      </c>
      <c r="G72" s="442" t="n">
        <v>74427</v>
      </c>
      <c r="H72" s="442" t="n">
        <v>104667</v>
      </c>
      <c r="I72" s="442" t="n">
        <v>62363</v>
      </c>
      <c r="J72" s="442" t="n"/>
      <c r="K72" s="442" t="n"/>
      <c r="L72" s="442" t="n"/>
      <c r="M72" s="442" t="n"/>
      <c r="N72" s="442" t="n"/>
      <c r="O72" s="442" t="n"/>
      <c r="P72" s="442" t="n"/>
      <c r="Q72" s="442" t="n"/>
      <c r="R72" s="442" t="n"/>
      <c r="S72" s="442" t="n"/>
      <c r="T72" s="442" t="n"/>
      <c r="U72" s="442" t="n"/>
      <c r="V72" s="442" t="n"/>
      <c r="W72" s="442" t="n"/>
    </row>
    <row r="73">
      <c r="B73" s="100" t="n">
        <v>314</v>
      </c>
      <c r="C73" s="114" t="inlineStr">
        <is>
          <t>4. Phải trả người lao động</t>
        </is>
      </c>
      <c r="D73" s="482" t="inlineStr">
        <is>
          <t>Accrued Expenses</t>
        </is>
      </c>
      <c r="E73" s="442" t="n">
        <v>3564</v>
      </c>
      <c r="F73" s="442" t="n">
        <v>3523</v>
      </c>
      <c r="G73" s="442" t="n">
        <v>1540</v>
      </c>
      <c r="H73" s="442" t="n">
        <v>3352</v>
      </c>
      <c r="I73" s="442" t="n">
        <v>1706</v>
      </c>
      <c r="J73" s="442" t="n"/>
      <c r="K73" s="442" t="n"/>
      <c r="L73" s="442" t="n"/>
      <c r="M73" s="442" t="n"/>
      <c r="N73" s="442" t="n"/>
      <c r="O73" s="442" t="n"/>
      <c r="P73" s="442" t="n"/>
      <c r="Q73" s="442" t="n"/>
      <c r="R73" s="442" t="n"/>
      <c r="S73" s="442" t="n"/>
      <c r="T73" s="442" t="n"/>
      <c r="U73" s="442" t="n"/>
      <c r="V73" s="442" t="n"/>
      <c r="W73" s="442" t="n"/>
    </row>
    <row r="74">
      <c r="B74" s="100" t="n">
        <v>315</v>
      </c>
      <c r="C74" s="114" t="inlineStr">
        <is>
          <t>5. Chi phí phải trả ngắn hạn</t>
        </is>
      </c>
      <c r="D74" s="482" t="inlineStr">
        <is>
          <t>Accrued Expenses</t>
        </is>
      </c>
      <c r="E74" s="442" t="n">
        <v>365063</v>
      </c>
      <c r="F74" s="442" t="n">
        <v>867077</v>
      </c>
      <c r="G74" s="442" t="n">
        <v>956429</v>
      </c>
      <c r="H74" s="442" t="n">
        <v>1159109</v>
      </c>
      <c r="I74" s="442" t="n">
        <v>679568</v>
      </c>
      <c r="J74" s="442" t="n"/>
      <c r="K74" s="442" t="n"/>
      <c r="L74" s="442" t="n"/>
      <c r="M74" s="442" t="n"/>
      <c r="N74" s="442" t="n"/>
      <c r="O74" s="442" t="n"/>
      <c r="P74" s="442" t="n"/>
      <c r="Q74" s="442" t="n"/>
      <c r="R74" s="442" t="n"/>
      <c r="S74" s="442" t="n"/>
      <c r="T74" s="442" t="n"/>
      <c r="U74" s="442" t="n"/>
      <c r="V74" s="442" t="n"/>
      <c r="W74" s="442" t="n"/>
    </row>
    <row r="75">
      <c r="B75" s="100" t="n">
        <v>316</v>
      </c>
      <c r="C75" s="114" t="inlineStr">
        <is>
          <t>6. Phải trả nội bộ ngắn hạn</t>
        </is>
      </c>
      <c r="D75" s="481" t="inlineStr">
        <is>
          <t>Other Creditors and Provisions</t>
        </is>
      </c>
      <c r="E75" s="442" t="n"/>
      <c r="F75" s="442" t="n"/>
      <c r="G75" s="442" t="n"/>
      <c r="H75" s="442" t="n"/>
      <c r="I75" s="442" t="n"/>
      <c r="J75" s="442" t="n"/>
      <c r="K75" s="442" t="n"/>
      <c r="L75" s="442" t="n"/>
      <c r="M75" s="442" t="n"/>
      <c r="N75" s="442" t="n"/>
      <c r="O75" s="442" t="n"/>
      <c r="P75" s="442" t="n"/>
      <c r="Q75" s="442" t="n"/>
      <c r="R75" s="442" t="n"/>
      <c r="S75" s="442" t="n"/>
      <c r="T75" s="442" t="n"/>
      <c r="U75" s="442" t="n"/>
      <c r="V75" s="442" t="n"/>
      <c r="W75" s="442" t="n"/>
    </row>
    <row r="76">
      <c r="B76" s="100" t="n">
        <v>317</v>
      </c>
      <c r="C76" s="114" t="inlineStr">
        <is>
          <t>7. Phải trả theo tiến độ kế hoạch hợp đồng xây dựng</t>
        </is>
      </c>
      <c r="D76" s="481" t="inlineStr">
        <is>
          <t>Other Creditors and Provisions</t>
        </is>
      </c>
      <c r="E76" s="442" t="n"/>
      <c r="F76" s="442" t="n"/>
      <c r="G76" s="442" t="n"/>
      <c r="H76" s="442" t="n"/>
      <c r="I76" s="442" t="n"/>
      <c r="J76" s="442" t="n"/>
      <c r="K76" s="442" t="n"/>
      <c r="L76" s="442" t="n"/>
      <c r="M76" s="442" t="n"/>
      <c r="N76" s="442" t="n"/>
      <c r="O76" s="442" t="n"/>
      <c r="P76" s="442" t="n"/>
      <c r="Q76" s="442" t="n"/>
      <c r="R76" s="442" t="n"/>
      <c r="S76" s="442" t="n"/>
      <c r="T76" s="442" t="n"/>
      <c r="U76" s="442" t="n"/>
      <c r="V76" s="442" t="n"/>
      <c r="W76" s="442" t="n"/>
    </row>
    <row r="77">
      <c r="B77" s="100" t="n">
        <v>318</v>
      </c>
      <c r="C77" s="114" t="inlineStr">
        <is>
          <t xml:space="preserve">8. Doanh thu chưa thực hiện ngắn hạn </t>
        </is>
      </c>
      <c r="D77" s="482" t="inlineStr">
        <is>
          <t>Short-term Deferred Income</t>
        </is>
      </c>
      <c r="E77" s="442" t="n">
        <v>3606</v>
      </c>
      <c r="F77" s="442" t="n">
        <v>13423</v>
      </c>
      <c r="G77" s="442" t="n">
        <v>11276</v>
      </c>
      <c r="H77" s="442" t="n">
        <v>9016</v>
      </c>
      <c r="I77" s="442" t="n">
        <v>6813</v>
      </c>
      <c r="J77" s="442" t="n"/>
      <c r="K77" s="442" t="n"/>
      <c r="L77" s="442" t="n"/>
      <c r="M77" s="442" t="n"/>
      <c r="N77" s="442" t="n"/>
      <c r="O77" s="442" t="n"/>
      <c r="P77" s="442" t="n"/>
      <c r="Q77" s="442" t="n"/>
      <c r="R77" s="442" t="n"/>
      <c r="S77" s="442" t="n"/>
      <c r="T77" s="442" t="n"/>
      <c r="U77" s="442" t="n"/>
      <c r="V77" s="442" t="n"/>
      <c r="W77" s="442" t="n"/>
    </row>
    <row r="78">
      <c r="B78" s="100" t="n">
        <v>319</v>
      </c>
      <c r="C78" s="114" t="inlineStr">
        <is>
          <t>9. Phải trả ngắn hạn khác</t>
        </is>
      </c>
      <c r="D78" s="481" t="inlineStr">
        <is>
          <t>Other Creditors and Provisions</t>
        </is>
      </c>
      <c r="E78" s="442" t="n">
        <v>99507</v>
      </c>
      <c r="F78" s="442" t="n">
        <v>111884</v>
      </c>
      <c r="G78" s="442" t="n">
        <v>219861</v>
      </c>
      <c r="H78" s="442" t="n">
        <v>180594</v>
      </c>
      <c r="I78" s="442" t="n">
        <v>589051</v>
      </c>
      <c r="J78" s="442" t="n"/>
      <c r="K78" s="442" t="n"/>
      <c r="L78" s="442" t="n"/>
      <c r="M78" s="442" t="n"/>
      <c r="N78" s="442" t="n"/>
      <c r="O78" s="442" t="n"/>
      <c r="P78" s="442" t="n"/>
      <c r="Q78" s="442" t="n"/>
      <c r="R78" s="442" t="n"/>
      <c r="S78" s="442" t="n"/>
      <c r="T78" s="442" t="n"/>
      <c r="U78" s="442" t="n"/>
      <c r="V78" s="442" t="n"/>
      <c r="W78" s="442" t="n"/>
    </row>
    <row r="79">
      <c r="B79" s="100" t="n">
        <v>320</v>
      </c>
      <c r="C79" s="114" t="inlineStr">
        <is>
          <t>10. Vay và nợ thuê tài chính ngắn hạn</t>
        </is>
      </c>
      <c r="D79" s="482" t="inlineStr">
        <is>
          <t>Short Term Debt*</t>
        </is>
      </c>
      <c r="E79" s="442" t="n">
        <v>327468</v>
      </c>
      <c r="F79" s="442" t="n">
        <v>125024</v>
      </c>
      <c r="G79" s="442" t="n">
        <v>123244</v>
      </c>
      <c r="H79" s="442" t="n">
        <v>58447</v>
      </c>
      <c r="I79" s="442" t="n">
        <v>23917</v>
      </c>
      <c r="J79" s="442" t="n"/>
      <c r="K79" s="442" t="n"/>
      <c r="L79" s="442" t="n"/>
      <c r="M79" s="442" t="n"/>
      <c r="N79" s="442" t="n"/>
      <c r="O79" s="442" t="n"/>
      <c r="P79" s="442" t="n"/>
      <c r="Q79" s="442" t="n"/>
      <c r="R79" s="442" t="n"/>
      <c r="S79" s="442" t="n"/>
      <c r="T79" s="442" t="n"/>
      <c r="U79" s="442" t="n"/>
      <c r="V79" s="442" t="n"/>
      <c r="W79" s="442" t="n"/>
      <c r="Y79" s="459" t="n"/>
      <c r="Z79" s="459" t="n"/>
    </row>
    <row r="80">
      <c r="B80" s="100" t="n">
        <v>321</v>
      </c>
      <c r="C80" s="114" t="inlineStr">
        <is>
          <t xml:space="preserve">11. Dự phòng phải trả ngắn hạn </t>
        </is>
      </c>
      <c r="D80" s="481" t="inlineStr">
        <is>
          <t>Other Creditors and Provisions</t>
        </is>
      </c>
      <c r="E80" s="442" t="n"/>
      <c r="F80" s="442" t="n"/>
      <c r="G80" s="442" t="n"/>
      <c r="H80" s="442" t="n"/>
      <c r="I80" s="442" t="n"/>
      <c r="J80" s="442" t="n"/>
      <c r="K80" s="442" t="n"/>
      <c r="L80" s="442" t="n"/>
      <c r="M80" s="442" t="n"/>
      <c r="N80" s="442" t="n"/>
      <c r="O80" s="442" t="n"/>
      <c r="P80" s="442" t="n"/>
      <c r="Q80" s="442" t="n"/>
      <c r="R80" s="442" t="n"/>
      <c r="S80" s="442" t="n"/>
      <c r="T80" s="442" t="n"/>
      <c r="U80" s="442" t="n"/>
      <c r="V80" s="442" t="n"/>
      <c r="W80" s="442" t="n"/>
    </row>
    <row r="81">
      <c r="B81" s="100" t="n">
        <v>322</v>
      </c>
      <c r="C81" s="114" t="inlineStr">
        <is>
          <t xml:space="preserve">12. Quỹ khen thưởng, phúc lợi </t>
        </is>
      </c>
      <c r="D81" s="481" t="inlineStr">
        <is>
          <t>Other Creditors and Provisions</t>
        </is>
      </c>
      <c r="E81" s="442" t="n">
        <v>78</v>
      </c>
      <c r="F81" s="442" t="n">
        <v>78</v>
      </c>
      <c r="G81" s="442" t="n">
        <v>78</v>
      </c>
      <c r="H81" s="442" t="n">
        <v>78</v>
      </c>
      <c r="I81" s="442" t="n">
        <v>78</v>
      </c>
      <c r="J81" s="442" t="n"/>
      <c r="K81" s="442" t="n"/>
      <c r="L81" s="442" t="n"/>
      <c r="M81" s="442" t="n"/>
      <c r="N81" s="442" t="n"/>
      <c r="O81" s="442" t="n"/>
      <c r="P81" s="442" t="n"/>
      <c r="Q81" s="442" t="n"/>
      <c r="R81" s="442" t="n"/>
      <c r="S81" s="442" t="n"/>
      <c r="T81" s="442" t="n"/>
      <c r="U81" s="442" t="n"/>
      <c r="V81" s="442" t="n"/>
      <c r="W81" s="442" t="n"/>
    </row>
    <row r="82">
      <c r="B82" s="100" t="n">
        <v>323</v>
      </c>
      <c r="C82" s="114" t="inlineStr">
        <is>
          <t>13. Quỹ bình ổn giá</t>
        </is>
      </c>
      <c r="D82" s="481" t="inlineStr">
        <is>
          <t>Other Creditors and Provisions</t>
        </is>
      </c>
      <c r="E82" s="442" t="n"/>
      <c r="F82" s="442" t="n"/>
      <c r="G82" s="442" t="n"/>
      <c r="H82" s="442" t="n"/>
      <c r="I82" s="442" t="n"/>
      <c r="J82" s="442" t="n"/>
      <c r="K82" s="442" t="n"/>
      <c r="L82" s="442" t="n"/>
      <c r="M82" s="442" t="n"/>
      <c r="N82" s="442" t="n"/>
      <c r="O82" s="442" t="n"/>
      <c r="P82" s="442" t="n"/>
      <c r="Q82" s="442" t="n"/>
      <c r="R82" s="442" t="n"/>
      <c r="S82" s="442" t="n"/>
      <c r="T82" s="442" t="n"/>
      <c r="U82" s="442" t="n"/>
      <c r="V82" s="442" t="n"/>
      <c r="W82" s="442" t="n"/>
    </row>
    <row r="83">
      <c r="B83" s="100" t="n">
        <v>324</v>
      </c>
      <c r="C83" s="114" t="inlineStr">
        <is>
          <t>14. Giao dịch mua bán lại trái phiếu Chính phủ</t>
        </is>
      </c>
      <c r="D83" s="481" t="inlineStr">
        <is>
          <t>Other Creditors and Provisions</t>
        </is>
      </c>
      <c r="E83" s="442" t="n"/>
      <c r="F83" s="442" t="n"/>
      <c r="G83" s="442" t="n"/>
      <c r="H83" s="442" t="n"/>
      <c r="I83" s="442" t="n"/>
      <c r="J83" s="442" t="n"/>
      <c r="K83" s="442" t="n"/>
      <c r="L83" s="442" t="n"/>
      <c r="M83" s="442" t="n"/>
      <c r="N83" s="442" t="n"/>
      <c r="O83" s="442" t="n"/>
      <c r="P83" s="442" t="n"/>
      <c r="Q83" s="442" t="n"/>
      <c r="R83" s="442" t="n"/>
      <c r="S83" s="442" t="n"/>
      <c r="T83" s="442" t="n"/>
      <c r="U83" s="442" t="n"/>
      <c r="V83" s="442" t="n"/>
      <c r="W83" s="442" t="n"/>
    </row>
    <row r="84" customFormat="1" s="347">
      <c r="B84" s="101" t="n">
        <v>330</v>
      </c>
      <c r="C84" s="112" t="inlineStr">
        <is>
          <t>II. Nợ dài hạn</t>
        </is>
      </c>
      <c r="D84" s="345" t="n"/>
      <c r="E84" s="480" t="n">
        <v>887709</v>
      </c>
      <c r="F84" s="480" t="n">
        <v>744878</v>
      </c>
      <c r="G84" s="480" t="n">
        <v>643396</v>
      </c>
      <c r="H84" s="480" t="n">
        <v>239619</v>
      </c>
      <c r="I84" s="480" t="n">
        <v>157117</v>
      </c>
      <c r="J84" s="480" t="n"/>
      <c r="K84" s="480" t="n"/>
      <c r="L84" s="480" t="n"/>
      <c r="M84" s="480" t="n"/>
      <c r="N84" s="480" t="n"/>
      <c r="O84" s="480" t="n"/>
      <c r="P84" s="480" t="n"/>
      <c r="Q84" s="480" t="n"/>
      <c r="R84" s="480" t="n"/>
      <c r="S84" s="480" t="n"/>
      <c r="T84" s="480" t="n"/>
      <c r="U84" s="480" t="n"/>
      <c r="V84" s="480" t="n"/>
      <c r="W84" s="480" t="n"/>
    </row>
    <row r="85">
      <c r="B85" s="100" t="n">
        <v>331</v>
      </c>
      <c r="C85" s="114" t="inlineStr">
        <is>
          <t>1. Phải trả người bán dài hạn</t>
        </is>
      </c>
      <c r="D85" s="481" t="inlineStr">
        <is>
          <t>Other Creditors and Provisions</t>
        </is>
      </c>
      <c r="E85" s="442" t="n"/>
      <c r="F85" s="442" t="n"/>
      <c r="G85" s="442" t="n"/>
      <c r="H85" s="442" t="n"/>
      <c r="I85" s="442" t="n"/>
      <c r="J85" s="442" t="n"/>
      <c r="K85" s="442" t="n"/>
      <c r="L85" s="442" t="n"/>
      <c r="M85" s="442" t="n"/>
      <c r="N85" s="442" t="n"/>
      <c r="O85" s="442" t="n"/>
      <c r="P85" s="442" t="n"/>
      <c r="Q85" s="442" t="n"/>
      <c r="R85" s="442" t="n"/>
      <c r="S85" s="442" t="n"/>
      <c r="T85" s="442" t="n"/>
      <c r="U85" s="442" t="n"/>
      <c r="V85" s="442" t="n"/>
      <c r="W85" s="442" t="n"/>
    </row>
    <row r="86">
      <c r="B86" s="100" t="n">
        <v>332</v>
      </c>
      <c r="C86" s="114" t="inlineStr">
        <is>
          <t>2. Người mua trả tiền trước dài hạn</t>
        </is>
      </c>
      <c r="D86" s="481" t="inlineStr">
        <is>
          <t>Other Creditors and Provisions</t>
        </is>
      </c>
      <c r="E86" s="442" t="n"/>
      <c r="F86" s="442" t="n"/>
      <c r="G86" s="442" t="n"/>
      <c r="H86" s="442" t="n"/>
      <c r="I86" s="442" t="n"/>
      <c r="J86" s="442" t="n"/>
      <c r="K86" s="442" t="n"/>
      <c r="L86" s="442" t="n"/>
      <c r="M86" s="442" t="n"/>
      <c r="N86" s="442" t="n"/>
      <c r="O86" s="442" t="n"/>
      <c r="P86" s="442" t="n"/>
      <c r="Q86" s="442" t="n"/>
      <c r="R86" s="442" t="n"/>
      <c r="S86" s="442" t="n"/>
      <c r="T86" s="442" t="n"/>
      <c r="U86" s="442" t="n"/>
      <c r="V86" s="442" t="n"/>
      <c r="W86" s="442" t="n"/>
    </row>
    <row r="87">
      <c r="B87" s="100" t="n">
        <v>333</v>
      </c>
      <c r="C87" s="114" t="inlineStr">
        <is>
          <t>3. Chi phí phải trả dài hạn</t>
        </is>
      </c>
      <c r="D87" s="481" t="inlineStr">
        <is>
          <t>Other Creditors and Provisions</t>
        </is>
      </c>
      <c r="E87" s="442" t="n">
        <v>237087</v>
      </c>
      <c r="F87" s="442" t="n">
        <v>275692</v>
      </c>
      <c r="G87" s="442" t="n">
        <v>299756</v>
      </c>
      <c r="H87" s="442" t="n"/>
      <c r="I87" s="442" t="n"/>
      <c r="J87" s="442" t="n"/>
      <c r="K87" s="442" t="n"/>
      <c r="L87" s="442" t="n"/>
      <c r="M87" s="442" t="n"/>
      <c r="N87" s="442" t="n"/>
      <c r="O87" s="442" t="n"/>
      <c r="P87" s="442" t="n"/>
      <c r="Q87" s="442" t="n"/>
      <c r="R87" s="442" t="n"/>
      <c r="S87" s="442" t="n"/>
      <c r="T87" s="442" t="n"/>
      <c r="U87" s="442" t="n"/>
      <c r="V87" s="442" t="n"/>
      <c r="W87" s="442" t="n"/>
    </row>
    <row r="88">
      <c r="B88" s="100" t="n">
        <v>334</v>
      </c>
      <c r="C88" s="114" t="inlineStr">
        <is>
          <t>4. Phải trả nội bộ về vốn kinh doanh</t>
        </is>
      </c>
      <c r="D88" s="481" t="inlineStr">
        <is>
          <t>Other Creditors and Provisions</t>
        </is>
      </c>
      <c r="E88" s="442" t="n"/>
      <c r="F88" s="442" t="n"/>
      <c r="G88" s="442" t="n"/>
      <c r="H88" s="442" t="n"/>
      <c r="I88" s="442" t="n"/>
      <c r="J88" s="442" t="n"/>
      <c r="K88" s="442" t="n"/>
      <c r="L88" s="442" t="n"/>
      <c r="M88" s="442" t="n"/>
      <c r="N88" s="442" t="n"/>
      <c r="O88" s="442" t="n"/>
      <c r="P88" s="442" t="n"/>
      <c r="Q88" s="442" t="n"/>
      <c r="R88" s="442" t="n"/>
      <c r="S88" s="442" t="n"/>
      <c r="T88" s="442" t="n"/>
      <c r="U88" s="442" t="n"/>
      <c r="V88" s="442" t="n"/>
      <c r="W88" s="442" t="n"/>
    </row>
    <row r="89">
      <c r="B89" s="100" t="n">
        <v>335</v>
      </c>
      <c r="C89" s="114" t="inlineStr">
        <is>
          <t>5. Phải trả nội bộ dài hạn</t>
        </is>
      </c>
      <c r="D89" s="481" t="inlineStr">
        <is>
          <t>Other Creditors and Provisions</t>
        </is>
      </c>
      <c r="E89" s="442" t="n"/>
      <c r="F89" s="442" t="n"/>
      <c r="G89" s="442" t="n"/>
      <c r="H89" s="442" t="n"/>
      <c r="I89" s="442" t="n"/>
      <c r="J89" s="442" t="n"/>
      <c r="K89" s="442" t="n"/>
      <c r="L89" s="442" t="n"/>
      <c r="M89" s="442" t="n"/>
      <c r="N89" s="442" t="n"/>
      <c r="O89" s="442" t="n"/>
      <c r="P89" s="442" t="n"/>
      <c r="Q89" s="442" t="n"/>
      <c r="R89" s="442" t="n"/>
      <c r="S89" s="442" t="n"/>
      <c r="T89" s="442" t="n"/>
      <c r="U89" s="442" t="n"/>
      <c r="V89" s="442" t="n"/>
      <c r="W89" s="442" t="n"/>
    </row>
    <row r="90">
      <c r="B90" s="100" t="n">
        <v>336</v>
      </c>
      <c r="C90" s="114" t="inlineStr">
        <is>
          <t xml:space="preserve">6. Doanh thu chưa thực hiện dài hạn </t>
        </is>
      </c>
      <c r="D90" s="481" t="inlineStr">
        <is>
          <t>Other Creditors and Provisions</t>
        </is>
      </c>
      <c r="E90" s="442" t="n"/>
      <c r="F90" s="442" t="n"/>
      <c r="G90" s="442" t="n"/>
      <c r="H90" s="442" t="n"/>
      <c r="I90" s="442" t="n"/>
      <c r="J90" s="442" t="n"/>
      <c r="K90" s="442" t="n"/>
      <c r="L90" s="442" t="n"/>
      <c r="M90" s="442" t="n"/>
      <c r="N90" s="442" t="n"/>
      <c r="O90" s="442" t="n"/>
      <c r="P90" s="442" t="n"/>
      <c r="Q90" s="442" t="n"/>
      <c r="R90" s="442" t="n"/>
      <c r="S90" s="442" t="n"/>
      <c r="T90" s="442" t="n"/>
      <c r="U90" s="442" t="n"/>
      <c r="V90" s="442" t="n"/>
      <c r="W90" s="442" t="n"/>
    </row>
    <row r="91">
      <c r="B91" s="100" t="n">
        <v>337</v>
      </c>
      <c r="C91" s="114" t="inlineStr">
        <is>
          <t>7. Phải trả dài hạn khác</t>
        </is>
      </c>
      <c r="D91" s="481" t="inlineStr">
        <is>
          <t>Other Creditors and Provisions</t>
        </is>
      </c>
      <c r="E91" s="442" t="n">
        <v>49142</v>
      </c>
      <c r="F91" s="442" t="n">
        <v>58036</v>
      </c>
      <c r="G91" s="442" t="n">
        <v>54725</v>
      </c>
      <c r="H91" s="442" t="n">
        <v>48909</v>
      </c>
      <c r="I91" s="442" t="n">
        <v>43002</v>
      </c>
      <c r="J91" s="442" t="n"/>
      <c r="K91" s="442" t="n"/>
      <c r="L91" s="442" t="n"/>
      <c r="M91" s="442" t="n"/>
      <c r="N91" s="442" t="n"/>
      <c r="O91" s="442" t="n"/>
      <c r="P91" s="442" t="n"/>
      <c r="Q91" s="442" t="n"/>
      <c r="R91" s="442" t="n"/>
      <c r="S91" s="442" t="n"/>
      <c r="T91" s="442" t="n"/>
      <c r="U91" s="442" t="n"/>
      <c r="V91" s="442" t="n"/>
      <c r="W91" s="442" t="n"/>
    </row>
    <row r="92">
      <c r="B92" s="100" t="n">
        <v>338</v>
      </c>
      <c r="C92" s="114" t="inlineStr">
        <is>
          <t xml:space="preserve">8. Vay và nợ thuê tài chính dài hạn </t>
        </is>
      </c>
      <c r="D92" s="482" t="inlineStr">
        <is>
          <t>Existing Long Term Debt and Financial Leases</t>
        </is>
      </c>
      <c r="E92" s="442" t="n">
        <v>522442</v>
      </c>
      <c r="F92" s="442" t="n">
        <v>324994</v>
      </c>
      <c r="G92" s="442" t="n">
        <v>176850</v>
      </c>
      <c r="H92" s="442" t="n">
        <v>77898</v>
      </c>
      <c r="I92" s="442" t="n">
        <v>8365</v>
      </c>
      <c r="J92" s="442" t="n"/>
      <c r="K92" s="442" t="n"/>
      <c r="L92" s="442" t="n"/>
      <c r="M92" s="442" t="n"/>
      <c r="N92" s="442" t="n"/>
      <c r="O92" s="442" t="n"/>
      <c r="P92" s="442" t="n"/>
      <c r="Q92" s="442" t="n"/>
      <c r="R92" s="442" t="n"/>
      <c r="S92" s="442" t="n"/>
      <c r="T92" s="442" t="n"/>
      <c r="U92" s="442" t="n"/>
      <c r="V92" s="442" t="n"/>
      <c r="W92" s="442" t="n"/>
    </row>
    <row r="93">
      <c r="B93" s="100" t="n">
        <v>339</v>
      </c>
      <c r="C93" s="114" t="inlineStr">
        <is>
          <t>9. Trái phiếu chuyển đổi</t>
        </is>
      </c>
      <c r="D93" s="482" t="inlineStr">
        <is>
          <t>Existing Long Term Debt and Financial Leases</t>
        </is>
      </c>
      <c r="E93" s="442" t="n"/>
      <c r="F93" s="442" t="n"/>
      <c r="G93" s="442" t="n"/>
      <c r="H93" s="442" t="n"/>
      <c r="I93" s="442" t="n"/>
      <c r="J93" s="442" t="n"/>
      <c r="K93" s="442" t="n"/>
      <c r="L93" s="442" t="n"/>
      <c r="M93" s="442" t="n"/>
      <c r="N93" s="442" t="n"/>
      <c r="O93" s="442" t="n"/>
      <c r="P93" s="442" t="n"/>
      <c r="Q93" s="442" t="n"/>
      <c r="R93" s="442" t="n"/>
      <c r="S93" s="442" t="n"/>
      <c r="T93" s="442" t="n"/>
      <c r="U93" s="442" t="n"/>
      <c r="V93" s="442" t="n"/>
      <c r="W93" s="442" t="n"/>
    </row>
    <row r="94">
      <c r="B94" s="100" t="n">
        <v>340</v>
      </c>
      <c r="C94" s="114" t="inlineStr">
        <is>
          <t>10. Cổ phiếu ưu đãi</t>
        </is>
      </c>
      <c r="D94" s="482" t="inlineStr">
        <is>
          <t>Existing Long Term Debt and Financial Leases</t>
        </is>
      </c>
      <c r="E94" s="442" t="n"/>
      <c r="F94" s="442" t="n"/>
      <c r="G94" s="442" t="n"/>
      <c r="H94" s="442" t="n"/>
      <c r="I94" s="442" t="n"/>
      <c r="J94" s="442" t="n"/>
      <c r="K94" s="442" t="n"/>
      <c r="L94" s="442" t="n"/>
      <c r="M94" s="442" t="n"/>
      <c r="N94" s="442" t="n"/>
      <c r="O94" s="442" t="n"/>
      <c r="P94" s="442" t="n"/>
      <c r="Q94" s="442" t="n"/>
      <c r="R94" s="442" t="n"/>
      <c r="S94" s="442" t="n"/>
      <c r="T94" s="442" t="n"/>
      <c r="U94" s="442" t="n"/>
      <c r="V94" s="442" t="n"/>
      <c r="W94" s="442" t="n"/>
    </row>
    <row r="95">
      <c r="B95" s="100" t="n">
        <v>341</v>
      </c>
      <c r="C95" s="114" t="inlineStr">
        <is>
          <t xml:space="preserve">11. Thuế thu nhập hoãn lại phải trả </t>
        </is>
      </c>
      <c r="D95" s="340" t="inlineStr">
        <is>
          <t>Tax Payable</t>
        </is>
      </c>
      <c r="E95" s="442" t="n">
        <v>77400</v>
      </c>
      <c r="F95" s="442" t="n">
        <v>84181</v>
      </c>
      <c r="G95" s="442" t="n">
        <v>110092</v>
      </c>
      <c r="H95" s="442" t="n">
        <v>111128</v>
      </c>
      <c r="I95" s="442" t="n">
        <v>104677</v>
      </c>
      <c r="J95" s="442" t="n"/>
      <c r="K95" s="442" t="n"/>
      <c r="L95" s="442" t="n"/>
      <c r="M95" s="442" t="n"/>
      <c r="N95" s="442" t="n"/>
      <c r="O95" s="442" t="n"/>
      <c r="P95" s="442" t="n"/>
      <c r="Q95" s="442" t="n"/>
      <c r="R95" s="442" t="n"/>
      <c r="S95" s="442" t="n"/>
      <c r="T95" s="442" t="n"/>
      <c r="U95" s="442" t="n"/>
      <c r="V95" s="442" t="n"/>
      <c r="W95" s="442" t="n"/>
    </row>
    <row r="96">
      <c r="B96" s="100" t="n">
        <v>342</v>
      </c>
      <c r="C96" s="114" t="inlineStr">
        <is>
          <t xml:space="preserve">12. Dự phòng phải trả dài hạn </t>
        </is>
      </c>
      <c r="D96" s="481" t="inlineStr">
        <is>
          <t>Other Creditors and Provisions</t>
        </is>
      </c>
      <c r="E96" s="442" t="n">
        <v>1638</v>
      </c>
      <c r="F96" s="442" t="n">
        <v>1974</v>
      </c>
      <c r="G96" s="442" t="n">
        <v>1974</v>
      </c>
      <c r="H96" s="442" t="n">
        <v>1684</v>
      </c>
      <c r="I96" s="442" t="n">
        <v>1072</v>
      </c>
      <c r="J96" s="442" t="n"/>
      <c r="K96" s="442" t="n"/>
      <c r="L96" s="442" t="n"/>
      <c r="M96" s="442" t="n"/>
      <c r="N96" s="442" t="n"/>
      <c r="O96" s="442" t="n"/>
      <c r="P96" s="442" t="n"/>
      <c r="Q96" s="442" t="n"/>
      <c r="R96" s="442" t="n"/>
      <c r="S96" s="442" t="n"/>
      <c r="T96" s="442" t="n"/>
      <c r="U96" s="442" t="n"/>
      <c r="V96" s="442" t="n"/>
      <c r="W96" s="442" t="n"/>
    </row>
    <row r="97">
      <c r="B97" s="100" t="n">
        <v>343</v>
      </c>
      <c r="C97" s="114" t="inlineStr">
        <is>
          <t>13. Quỹ phát triển khoa học và công nghệ</t>
        </is>
      </c>
      <c r="D97" s="481" t="inlineStr">
        <is>
          <t>Other Creditors and Provisions</t>
        </is>
      </c>
      <c r="E97" s="442" t="n"/>
      <c r="F97" s="442" t="n"/>
      <c r="G97" s="442" t="n"/>
      <c r="H97" s="442" t="n"/>
      <c r="I97" s="442" t="n"/>
      <c r="J97" s="442" t="n"/>
      <c r="K97" s="442" t="n"/>
      <c r="L97" s="442" t="n"/>
      <c r="M97" s="442" t="n"/>
      <c r="N97" s="442" t="n"/>
      <c r="O97" s="442" t="n"/>
      <c r="P97" s="442" t="n"/>
      <c r="Q97" s="442" t="n"/>
      <c r="R97" s="442" t="n"/>
      <c r="S97" s="442" t="n"/>
      <c r="T97" s="442" t="n"/>
      <c r="U97" s="442" t="n"/>
      <c r="V97" s="442" t="n"/>
      <c r="W97" s="442" t="n"/>
    </row>
    <row r="98" ht="18" customFormat="1" customHeight="1" s="347">
      <c r="B98" s="103" t="n">
        <v>400</v>
      </c>
      <c r="C98" s="110" t="inlineStr">
        <is>
          <t>D - VỐN CHỦ SỞ HỮU (400=410+430)</t>
        </is>
      </c>
      <c r="D98" s="345" t="n"/>
      <c r="E98" s="480" t="n">
        <v>10386957</v>
      </c>
      <c r="F98" s="480" t="n">
        <v>10593275</v>
      </c>
      <c r="G98" s="480" t="n">
        <v>10772430</v>
      </c>
      <c r="H98" s="480" t="n">
        <v>11028145</v>
      </c>
      <c r="I98" s="480" t="n">
        <v>10095978</v>
      </c>
      <c r="J98" s="480" t="n"/>
      <c r="K98" s="480" t="n"/>
      <c r="L98" s="480" t="n"/>
      <c r="M98" s="480" t="n"/>
      <c r="N98" s="480" t="n"/>
      <c r="O98" s="480" t="n"/>
      <c r="P98" s="480" t="n"/>
      <c r="Q98" s="480" t="n"/>
      <c r="R98" s="480" t="n"/>
      <c r="S98" s="480" t="n"/>
      <c r="T98" s="480" t="n"/>
      <c r="U98" s="480" t="n"/>
      <c r="V98" s="480" t="n"/>
      <c r="W98" s="480" t="n"/>
    </row>
    <row r="99" customFormat="1" s="347">
      <c r="B99" s="101" t="n">
        <v>410</v>
      </c>
      <c r="C99" s="112" t="inlineStr">
        <is>
          <t>I. Vốn chủ sở hữu</t>
        </is>
      </c>
      <c r="D99" s="345" t="n"/>
      <c r="E99" s="480" t="n">
        <v>10386957</v>
      </c>
      <c r="F99" s="480" t="n">
        <v>10593275</v>
      </c>
      <c r="G99" s="480" t="n">
        <v>10772430</v>
      </c>
      <c r="H99" s="480" t="n">
        <v>11028145</v>
      </c>
      <c r="I99" s="480" t="n">
        <v>10095978</v>
      </c>
      <c r="J99" s="480" t="n"/>
      <c r="K99" s="480" t="n"/>
      <c r="L99" s="480" t="n"/>
      <c r="M99" s="480" t="n"/>
      <c r="N99" s="480" t="n"/>
      <c r="O99" s="480" t="n"/>
      <c r="P99" s="480" t="n"/>
      <c r="Q99" s="480" t="n"/>
      <c r="R99" s="480" t="n"/>
      <c r="S99" s="480" t="n"/>
      <c r="T99" s="480" t="n"/>
      <c r="U99" s="480" t="n"/>
      <c r="V99" s="480" t="n"/>
      <c r="W99" s="480" t="n"/>
    </row>
    <row r="100">
      <c r="B100" s="100" t="n">
        <v>411</v>
      </c>
      <c r="C100" s="114" t="inlineStr">
        <is>
          <t>1. Vốn góp của chủ sở hữu (411 = 411a + 411b)</t>
        </is>
      </c>
      <c r="D100" s="482" t="inlineStr">
        <is>
          <t>Share Capital and Reserves</t>
        </is>
      </c>
      <c r="E100" s="442" t="n">
        <v>9384636</v>
      </c>
      <c r="F100" s="442" t="n">
        <v>9384636</v>
      </c>
      <c r="G100" s="442" t="n">
        <v>9384636</v>
      </c>
      <c r="H100" s="442" t="n">
        <v>9384636</v>
      </c>
      <c r="I100" s="442" t="n">
        <v>9384636</v>
      </c>
      <c r="J100" s="442" t="n"/>
      <c r="K100" s="442" t="n"/>
      <c r="L100" s="442" t="n"/>
      <c r="M100" s="442" t="n"/>
      <c r="N100" s="442" t="n"/>
      <c r="O100" s="442" t="n"/>
      <c r="P100" s="442" t="n"/>
      <c r="Q100" s="442" t="n"/>
      <c r="R100" s="442" t="n"/>
      <c r="S100" s="442" t="n"/>
      <c r="T100" s="442" t="n"/>
      <c r="U100" s="442" t="n"/>
      <c r="V100" s="442" t="n"/>
      <c r="W100" s="442" t="n"/>
    </row>
    <row r="101">
      <c r="B101" s="100" t="inlineStr">
        <is>
          <t>411a</t>
        </is>
      </c>
      <c r="C101" s="114" t="inlineStr">
        <is>
          <t xml:space="preserve"> - Cổ phiếu phổ thông có quyền biểu quyết</t>
        </is>
      </c>
      <c r="D101" s="340" t="n"/>
      <c r="E101" s="442" t="n">
        <v>9384636</v>
      </c>
      <c r="F101" s="442" t="n">
        <v>9384636</v>
      </c>
      <c r="G101" s="442" t="n">
        <v>9384636</v>
      </c>
      <c r="H101" s="442" t="n">
        <v>9384636</v>
      </c>
      <c r="I101" s="442" t="n">
        <v>9384636</v>
      </c>
      <c r="J101" s="442" t="n"/>
      <c r="K101" s="442" t="n"/>
      <c r="L101" s="442" t="n"/>
      <c r="M101" s="442" t="n"/>
      <c r="N101" s="442" t="n"/>
      <c r="O101" s="442" t="n"/>
      <c r="P101" s="442" t="n"/>
      <c r="Q101" s="442" t="n"/>
      <c r="R101" s="442" t="n"/>
      <c r="S101" s="442" t="n"/>
      <c r="T101" s="442" t="n"/>
      <c r="U101" s="442" t="n"/>
      <c r="V101" s="442" t="n"/>
      <c r="W101" s="442" t="n"/>
    </row>
    <row r="102">
      <c r="B102" s="100" t="inlineStr">
        <is>
          <t>411b</t>
        </is>
      </c>
      <c r="C102" s="114" t="inlineStr">
        <is>
          <t xml:space="preserve"> - Cổ phiếu ưu đãi</t>
        </is>
      </c>
      <c r="D102" s="340" t="n"/>
      <c r="E102" s="442" t="n"/>
      <c r="F102" s="442" t="n"/>
      <c r="G102" s="442" t="n"/>
      <c r="H102" s="442" t="n"/>
      <c r="I102" s="442" t="n"/>
      <c r="J102" s="442" t="n"/>
      <c r="K102" s="442" t="n"/>
      <c r="L102" s="442" t="n"/>
      <c r="M102" s="442" t="n"/>
      <c r="N102" s="442" t="n"/>
      <c r="O102" s="442" t="n"/>
      <c r="P102" s="442" t="n"/>
      <c r="Q102" s="442" t="n"/>
      <c r="R102" s="442" t="n"/>
      <c r="S102" s="442" t="n"/>
      <c r="T102" s="442" t="n"/>
      <c r="U102" s="442" t="n"/>
      <c r="V102" s="442" t="n"/>
      <c r="W102" s="442" t="n"/>
    </row>
    <row r="103">
      <c r="B103" s="100" t="n">
        <v>412</v>
      </c>
      <c r="C103" s="114" t="inlineStr">
        <is>
          <t>2. Thặng dư vốn cổ phần</t>
        </is>
      </c>
      <c r="D103" s="482" t="inlineStr">
        <is>
          <t>Share Capital and Reserves</t>
        </is>
      </c>
      <c r="E103" s="442" t="n">
        <v>307377</v>
      </c>
      <c r="F103" s="442" t="n">
        <v>307377</v>
      </c>
      <c r="G103" s="442" t="n">
        <v>307377</v>
      </c>
      <c r="H103" s="442" t="n">
        <v>307377</v>
      </c>
      <c r="I103" s="442" t="n">
        <v>307377</v>
      </c>
      <c r="J103" s="442" t="n"/>
      <c r="K103" s="442" t="n"/>
      <c r="L103" s="442" t="n"/>
      <c r="M103" s="442" t="n"/>
      <c r="N103" s="442" t="n"/>
      <c r="O103" s="442" t="n"/>
      <c r="P103" s="442" t="n"/>
      <c r="Q103" s="442" t="n"/>
      <c r="R103" s="442" t="n"/>
      <c r="S103" s="442" t="n"/>
      <c r="T103" s="442" t="n"/>
      <c r="U103" s="442" t="n"/>
      <c r="V103" s="442" t="n"/>
      <c r="W103" s="442" t="n"/>
    </row>
    <row r="104">
      <c r="B104" s="100" t="n">
        <v>413</v>
      </c>
      <c r="C104" s="114" t="inlineStr">
        <is>
          <t>3. Quyền chọn chuyển đổi trái phiếu</t>
        </is>
      </c>
      <c r="D104" s="482" t="inlineStr">
        <is>
          <t>Share Capital and Reserves</t>
        </is>
      </c>
      <c r="E104" s="442" t="n"/>
      <c r="F104" s="442" t="n"/>
      <c r="G104" s="442" t="n"/>
      <c r="H104" s="442" t="n"/>
      <c r="I104" s="442" t="n"/>
      <c r="J104" s="442" t="n"/>
      <c r="K104" s="442" t="n"/>
      <c r="L104" s="442" t="n"/>
      <c r="M104" s="442" t="n"/>
      <c r="N104" s="442" t="n"/>
      <c r="O104" s="442" t="n"/>
      <c r="P104" s="442" t="n"/>
      <c r="Q104" s="442" t="n"/>
      <c r="R104" s="442" t="n"/>
      <c r="S104" s="442" t="n"/>
      <c r="T104" s="442" t="n"/>
      <c r="U104" s="442" t="n"/>
      <c r="V104" s="442" t="n"/>
      <c r="W104" s="442" t="n"/>
    </row>
    <row r="105">
      <c r="B105" s="100" t="n">
        <v>414</v>
      </c>
      <c r="C105" s="114" t="inlineStr">
        <is>
          <t xml:space="preserve">4. Vốn khác của chủ sở hữu </t>
        </is>
      </c>
      <c r="D105" s="482" t="inlineStr">
        <is>
          <t>Share Capital and Reserves</t>
        </is>
      </c>
      <c r="E105" s="442" t="n"/>
      <c r="F105" s="442" t="n"/>
      <c r="G105" s="442" t="n"/>
      <c r="H105" s="442" t="n"/>
      <c r="I105" s="442" t="n"/>
      <c r="J105" s="442" t="n"/>
      <c r="K105" s="442" t="n"/>
      <c r="L105" s="442" t="n"/>
      <c r="M105" s="442" t="n"/>
      <c r="N105" s="442" t="n"/>
      <c r="O105" s="442" t="n"/>
      <c r="P105" s="442" t="n"/>
      <c r="Q105" s="442" t="n"/>
      <c r="R105" s="442" t="n"/>
      <c r="S105" s="442" t="n"/>
      <c r="T105" s="442" t="n"/>
      <c r="U105" s="442" t="n"/>
      <c r="V105" s="442" t="n"/>
      <c r="W105" s="442" t="n"/>
    </row>
    <row r="106">
      <c r="B106" s="100" t="n">
        <v>415</v>
      </c>
      <c r="C106" s="114" t="inlineStr">
        <is>
          <t>5. Cổ phiếu quỹ (*)</t>
        </is>
      </c>
      <c r="D106" s="482" t="inlineStr">
        <is>
          <t>Share Capital and Reserves</t>
        </is>
      </c>
      <c r="E106" s="442" t="n">
        <v>-3674</v>
      </c>
      <c r="F106" s="442" t="n">
        <v>-3674</v>
      </c>
      <c r="G106" s="442" t="n">
        <v>-3674</v>
      </c>
      <c r="H106" s="442" t="n">
        <v>-3674</v>
      </c>
      <c r="I106" s="442" t="n">
        <v>-3674</v>
      </c>
      <c r="J106" s="442" t="n"/>
      <c r="K106" s="442" t="n"/>
      <c r="L106" s="442" t="n"/>
      <c r="M106" s="442" t="n"/>
      <c r="N106" s="442" t="n"/>
      <c r="O106" s="442" t="n"/>
      <c r="P106" s="442" t="n"/>
      <c r="Q106" s="442" t="n"/>
      <c r="R106" s="442" t="n"/>
      <c r="S106" s="442" t="n"/>
      <c r="T106" s="442" t="n"/>
      <c r="U106" s="442" t="n"/>
      <c r="V106" s="442" t="n"/>
      <c r="W106" s="442" t="n"/>
    </row>
    <row r="107">
      <c r="B107" s="100" t="n">
        <v>416</v>
      </c>
      <c r="C107" s="114" t="inlineStr">
        <is>
          <t>6. Chênh lệch đánh giá lại tài sản</t>
        </is>
      </c>
      <c r="D107" s="482" t="inlineStr">
        <is>
          <t>Share Capital and Reserves</t>
        </is>
      </c>
      <c r="E107" s="442" t="n"/>
      <c r="F107" s="442" t="n"/>
      <c r="G107" s="442" t="n"/>
      <c r="H107" s="442" t="n"/>
      <c r="I107" s="442" t="n"/>
      <c r="J107" s="442" t="n"/>
      <c r="K107" s="442" t="n"/>
      <c r="L107" s="442" t="n"/>
      <c r="M107" s="442" t="n"/>
      <c r="N107" s="442" t="n"/>
      <c r="O107" s="442" t="n"/>
      <c r="P107" s="442" t="n"/>
      <c r="Q107" s="442" t="n"/>
      <c r="R107" s="442" t="n"/>
      <c r="S107" s="442" t="n"/>
      <c r="T107" s="442" t="n"/>
      <c r="U107" s="442" t="n"/>
      <c r="V107" s="442" t="n"/>
      <c r="W107" s="442" t="n"/>
    </row>
    <row r="108">
      <c r="B108" s="100" t="n">
        <v>417</v>
      </c>
      <c r="C108" s="114" t="inlineStr">
        <is>
          <t>7. Chênh lệch tỷ giá hối đoái</t>
        </is>
      </c>
      <c r="D108" s="482" t="inlineStr">
        <is>
          <t>Share Capital and Reserves</t>
        </is>
      </c>
      <c r="E108" s="442" t="n"/>
      <c r="F108" s="442" t="n"/>
      <c r="G108" s="442" t="n"/>
      <c r="H108" s="442" t="n"/>
      <c r="I108" s="442" t="n"/>
      <c r="J108" s="442" t="n"/>
      <c r="K108" s="442" t="n"/>
      <c r="L108" s="442" t="n"/>
      <c r="M108" s="442" t="n"/>
      <c r="N108" s="442" t="n"/>
      <c r="O108" s="442" t="n"/>
      <c r="P108" s="442" t="n"/>
      <c r="Q108" s="442" t="n"/>
      <c r="R108" s="442" t="n"/>
      <c r="S108" s="442" t="n"/>
      <c r="T108" s="442" t="n"/>
      <c r="U108" s="442" t="n"/>
      <c r="V108" s="442" t="n"/>
      <c r="W108" s="442" t="n"/>
    </row>
    <row r="109">
      <c r="B109" s="100" t="n">
        <v>418</v>
      </c>
      <c r="C109" s="114" t="inlineStr">
        <is>
          <t>8. Quỹ đầu tư phát triển</t>
        </is>
      </c>
      <c r="D109" s="482" t="inlineStr">
        <is>
          <t>Share Capital and Reserves</t>
        </is>
      </c>
      <c r="E109" s="442" t="n">
        <v>9155</v>
      </c>
      <c r="F109" s="442" t="n">
        <v>9155</v>
      </c>
      <c r="G109" s="442" t="n">
        <v>9155</v>
      </c>
      <c r="H109" s="442" t="n">
        <v>9155</v>
      </c>
      <c r="I109" s="442" t="n">
        <v>9040</v>
      </c>
      <c r="J109" s="442" t="n"/>
      <c r="K109" s="442" t="n"/>
      <c r="L109" s="442" t="n"/>
      <c r="M109" s="442" t="n"/>
      <c r="N109" s="442" t="n"/>
      <c r="O109" s="442" t="n"/>
      <c r="P109" s="442" t="n"/>
      <c r="Q109" s="442" t="n"/>
      <c r="R109" s="442" t="n"/>
      <c r="S109" s="442" t="n"/>
      <c r="T109" s="442" t="n"/>
      <c r="U109" s="442" t="n"/>
      <c r="V109" s="442" t="n"/>
      <c r="W109" s="442" t="n"/>
    </row>
    <row r="110">
      <c r="B110" s="100" t="n">
        <v>419</v>
      </c>
      <c r="C110" s="114" t="inlineStr">
        <is>
          <t>9. Quỹ hỗ trợ sắp xếp doanh nghiệp</t>
        </is>
      </c>
      <c r="D110" s="482" t="inlineStr">
        <is>
          <t>Share Capital and Reserves</t>
        </is>
      </c>
      <c r="E110" s="442" t="n"/>
      <c r="F110" s="442" t="n"/>
      <c r="G110" s="442" t="n"/>
      <c r="H110" s="442" t="n"/>
      <c r="I110" s="442" t="n"/>
      <c r="J110" s="442" t="n"/>
      <c r="K110" s="442" t="n"/>
      <c r="L110" s="442" t="n"/>
      <c r="M110" s="442" t="n"/>
      <c r="N110" s="442" t="n"/>
      <c r="O110" s="442" t="n"/>
      <c r="P110" s="442" t="n"/>
      <c r="Q110" s="442" t="n"/>
      <c r="R110" s="442" t="n"/>
      <c r="S110" s="442" t="n"/>
      <c r="T110" s="442" t="n"/>
      <c r="U110" s="442" t="n"/>
      <c r="V110" s="442" t="n"/>
      <c r="W110" s="442" t="n"/>
    </row>
    <row r="111">
      <c r="B111" s="100" t="n">
        <v>420</v>
      </c>
      <c r="C111" s="114" t="inlineStr">
        <is>
          <t>10. Quỹ khác thuộc vốn chủ sở hữu</t>
        </is>
      </c>
      <c r="D111" s="482" t="inlineStr">
        <is>
          <t>Share Capital and Reserves</t>
        </is>
      </c>
      <c r="E111" s="442" t="n"/>
      <c r="F111" s="442" t="n"/>
      <c r="G111" s="442" t="n"/>
      <c r="H111" s="442" t="n"/>
      <c r="I111" s="442" t="n"/>
      <c r="J111" s="442" t="n"/>
      <c r="K111" s="442" t="n"/>
      <c r="L111" s="442" t="n"/>
      <c r="M111" s="442" t="n"/>
      <c r="N111" s="442" t="n"/>
      <c r="O111" s="442" t="n"/>
      <c r="P111" s="442" t="n"/>
      <c r="Q111" s="442" t="n"/>
      <c r="R111" s="442" t="n"/>
      <c r="S111" s="442" t="n"/>
      <c r="T111" s="442" t="n"/>
      <c r="U111" s="442" t="n"/>
      <c r="V111" s="442" t="n"/>
      <c r="W111" s="442" t="n"/>
    </row>
    <row r="112">
      <c r="B112" s="100" t="n">
        <v>421</v>
      </c>
      <c r="C112" s="114" t="inlineStr">
        <is>
          <t>11. Lợi nhuận sau thuế chưa phân phối (421 =421a + 421b)</t>
        </is>
      </c>
      <c r="D112" s="482" t="inlineStr">
        <is>
          <t>Retained Earnings</t>
        </is>
      </c>
      <c r="E112" s="442" t="n">
        <v>655424</v>
      </c>
      <c r="F112" s="442" t="n">
        <v>858331</v>
      </c>
      <c r="G112" s="442" t="n">
        <v>1034525</v>
      </c>
      <c r="H112" s="442" t="n">
        <v>1296214</v>
      </c>
      <c r="I112" s="442" t="n">
        <v>366169</v>
      </c>
      <c r="J112" s="442" t="n"/>
      <c r="K112" s="442" t="n"/>
      <c r="L112" s="442" t="n"/>
      <c r="M112" s="442" t="n"/>
      <c r="N112" s="442" t="n"/>
      <c r="O112" s="442" t="n"/>
      <c r="P112" s="442" t="n"/>
      <c r="Q112" s="442" t="n"/>
      <c r="R112" s="442" t="n"/>
      <c r="S112" s="442" t="n"/>
      <c r="T112" s="442" t="n"/>
      <c r="U112" s="442" t="n"/>
      <c r="V112" s="442" t="n"/>
      <c r="W112" s="442" t="n"/>
    </row>
    <row r="113">
      <c r="B113" s="100" t="inlineStr">
        <is>
          <t>421a</t>
        </is>
      </c>
      <c r="C113" s="114" t="inlineStr">
        <is>
          <t xml:space="preserve"> - LNST chưa phân phối lũy kế đến cuối kỳ trước</t>
        </is>
      </c>
      <c r="D113" s="340" t="n"/>
      <c r="E113" s="442" t="n">
        <v>574234</v>
      </c>
      <c r="F113" s="442" t="n">
        <v>655424</v>
      </c>
      <c r="G113" s="442" t="n">
        <v>858331</v>
      </c>
      <c r="H113" s="442" t="n">
        <v>1034525</v>
      </c>
      <c r="I113" s="442" t="n">
        <v>626538</v>
      </c>
      <c r="J113" s="442" t="n"/>
      <c r="K113" s="442" t="n"/>
      <c r="L113" s="442" t="n"/>
      <c r="M113" s="442" t="n"/>
      <c r="N113" s="442" t="n"/>
      <c r="O113" s="442" t="n"/>
      <c r="P113" s="442" t="n"/>
      <c r="Q113" s="442" t="n"/>
      <c r="R113" s="442" t="n"/>
      <c r="S113" s="442" t="n"/>
      <c r="T113" s="442" t="n"/>
      <c r="U113" s="442" t="n"/>
      <c r="V113" s="442" t="n"/>
      <c r="W113" s="442" t="n"/>
    </row>
    <row r="114">
      <c r="B114" s="100" t="inlineStr">
        <is>
          <t>421b</t>
        </is>
      </c>
      <c r="C114" s="114" t="inlineStr">
        <is>
          <t xml:space="preserve"> - LNST chưa phân phối kỳ này</t>
        </is>
      </c>
      <c r="D114" s="340" t="n"/>
      <c r="E114" s="442" t="n">
        <v>81191</v>
      </c>
      <c r="F114" s="442" t="n">
        <v>202907</v>
      </c>
      <c r="G114" s="442" t="n">
        <v>176194</v>
      </c>
      <c r="H114" s="442" t="n">
        <v>261689</v>
      </c>
      <c r="I114" s="442" t="n">
        <v>-260369</v>
      </c>
      <c r="J114" s="442" t="n"/>
      <c r="K114" s="442" t="n"/>
      <c r="L114" s="442" t="n"/>
      <c r="M114" s="442" t="n"/>
      <c r="N114" s="442" t="n"/>
      <c r="O114" s="442" t="n"/>
      <c r="P114" s="442" t="n"/>
      <c r="Q114" s="442" t="n"/>
      <c r="R114" s="442" t="n"/>
      <c r="S114" s="442" t="n"/>
      <c r="T114" s="442" t="n"/>
      <c r="U114" s="442" t="n"/>
      <c r="V114" s="442" t="n"/>
      <c r="W114" s="442" t="n"/>
    </row>
    <row r="115">
      <c r="B115" s="100" t="n">
        <v>429</v>
      </c>
      <c r="C115" s="114" t="inlineStr">
        <is>
          <t>Lợi ích cổ động không kiểm soát</t>
        </is>
      </c>
      <c r="D115" s="482" t="inlineStr">
        <is>
          <t>Minority Interest</t>
        </is>
      </c>
      <c r="E115" s="442" t="n">
        <v>34039</v>
      </c>
      <c r="F115" s="442" t="n">
        <v>37450</v>
      </c>
      <c r="G115" s="442" t="n">
        <v>40411</v>
      </c>
      <c r="H115" s="442" t="n">
        <v>34437</v>
      </c>
      <c r="I115" s="442" t="n">
        <v>32430</v>
      </c>
      <c r="J115" s="442" t="n"/>
      <c r="K115" s="442" t="n"/>
      <c r="L115" s="442" t="n"/>
      <c r="M115" s="442" t="n"/>
      <c r="N115" s="442" t="n"/>
      <c r="O115" s="442" t="n"/>
      <c r="P115" s="442" t="n"/>
      <c r="Q115" s="442" t="n"/>
      <c r="R115" s="442" t="n"/>
      <c r="S115" s="442" t="n"/>
      <c r="T115" s="442" t="n"/>
      <c r="U115" s="442" t="n"/>
      <c r="V115" s="442" t="n"/>
      <c r="W115" s="442" t="n"/>
    </row>
    <row r="116" customFormat="1" s="347">
      <c r="B116" s="101" t="n">
        <v>430</v>
      </c>
      <c r="C116" s="112" t="inlineStr">
        <is>
          <t>II. Nguồn kinh phí và quỹ khác</t>
        </is>
      </c>
      <c r="D116" s="485" t="inlineStr">
        <is>
          <t>Share Capital and Reserves</t>
        </is>
      </c>
      <c r="E116" s="480" t="n"/>
      <c r="F116" s="480" t="n"/>
      <c r="G116" s="480" t="n"/>
      <c r="H116" s="480" t="n"/>
      <c r="I116" s="480" t="n"/>
      <c r="J116" s="480" t="n"/>
      <c r="K116" s="480" t="n"/>
      <c r="L116" s="480" t="n"/>
      <c r="M116" s="480" t="n"/>
      <c r="N116" s="480" t="n"/>
      <c r="O116" s="480" t="n"/>
      <c r="P116" s="480" t="n"/>
      <c r="Q116" s="480" t="n"/>
      <c r="R116" s="480" t="n"/>
      <c r="S116" s="480" t="n"/>
      <c r="T116" s="480" t="n"/>
      <c r="U116" s="480" t="n"/>
      <c r="V116" s="480" t="n"/>
      <c r="W116" s="480" t="n"/>
    </row>
    <row r="117">
      <c r="B117" s="100" t="n">
        <v>431</v>
      </c>
      <c r="C117" s="114" t="inlineStr">
        <is>
          <t>1. Nguồn kinh phí</t>
        </is>
      </c>
      <c r="D117" s="482" t="n"/>
      <c r="E117" s="442" t="n"/>
      <c r="F117" s="442" t="n"/>
      <c r="G117" s="442" t="n"/>
      <c r="H117" s="442" t="n"/>
      <c r="I117" s="442" t="n"/>
      <c r="J117" s="442" t="n"/>
      <c r="K117" s="442" t="n"/>
      <c r="L117" s="442" t="n"/>
      <c r="M117" s="442" t="n"/>
      <c r="N117" s="442" t="n"/>
      <c r="O117" s="442" t="n"/>
      <c r="P117" s="442" t="n"/>
      <c r="Q117" s="442" t="n"/>
      <c r="R117" s="442" t="n"/>
      <c r="S117" s="442" t="n"/>
      <c r="T117" s="442" t="n"/>
      <c r="U117" s="442" t="n"/>
      <c r="V117" s="442" t="n"/>
      <c r="W117" s="442" t="n"/>
    </row>
    <row r="118">
      <c r="B118" s="100" t="n">
        <v>432</v>
      </c>
      <c r="C118" s="114" t="inlineStr">
        <is>
          <t>2. Nguồn kinh phí đó hình thành TSCĐ</t>
        </is>
      </c>
      <c r="D118" s="482" t="n"/>
      <c r="E118" s="442" t="n"/>
      <c r="F118" s="442" t="n"/>
      <c r="G118" s="442" t="n"/>
      <c r="H118" s="442" t="n"/>
      <c r="I118" s="442" t="n"/>
      <c r="J118" s="442" t="n"/>
      <c r="K118" s="442" t="n"/>
      <c r="L118" s="442" t="n"/>
      <c r="M118" s="442" t="n"/>
      <c r="N118" s="442" t="n"/>
      <c r="O118" s="442" t="n"/>
      <c r="P118" s="442" t="n"/>
      <c r="Q118" s="442" t="n"/>
      <c r="R118" s="442" t="n"/>
      <c r="S118" s="442" t="n"/>
      <c r="T118" s="442" t="n"/>
      <c r="U118" s="442" t="n"/>
      <c r="V118" s="442" t="n"/>
      <c r="W118" s="442" t="n"/>
    </row>
    <row r="119" ht="18" customFormat="1" customHeight="1" s="347">
      <c r="B119" s="103" t="n">
        <v>440</v>
      </c>
      <c r="C119" s="123" t="inlineStr">
        <is>
          <t>TỔNG CỘNG NGUỒN VỐN (440 = 300 + 400)</t>
        </is>
      </c>
      <c r="D119" s="345" t="n"/>
      <c r="E119" s="480" t="n">
        <v>13085679</v>
      </c>
      <c r="F119" s="480" t="n">
        <v>13300573</v>
      </c>
      <c r="G119" s="480" t="n">
        <v>13497100</v>
      </c>
      <c r="H119" s="480" t="n">
        <v>13272810</v>
      </c>
      <c r="I119" s="480" t="n">
        <v>12221417</v>
      </c>
      <c r="J119" s="480" t="n"/>
      <c r="K119" s="480" t="n"/>
      <c r="L119" s="480" t="n"/>
      <c r="M119" s="480" t="n"/>
      <c r="N119" s="480" t="n"/>
      <c r="O119" s="480" t="n"/>
      <c r="P119" s="480" t="n"/>
      <c r="Q119" s="480" t="n"/>
      <c r="R119" s="480" t="n"/>
      <c r="S119" s="480" t="n"/>
      <c r="T119" s="480" t="n"/>
      <c r="U119" s="480" t="n"/>
      <c r="V119" s="480" t="n"/>
      <c r="W119" s="480" t="n"/>
    </row>
    <row r="120">
      <c r="E120" s="459" t="n"/>
      <c r="F120" s="459" t="n"/>
      <c r="G120" s="459" t="n"/>
      <c r="H120" s="459" t="n"/>
      <c r="I120" s="459" t="n"/>
      <c r="J120" s="459" t="n"/>
      <c r="K120" s="459" t="n"/>
      <c r="L120" s="459" t="n"/>
      <c r="M120" s="459" t="n"/>
      <c r="N120" s="459" t="n"/>
      <c r="O120" s="459" t="n"/>
      <c r="P120" s="459" t="n"/>
      <c r="Q120" s="459" t="n"/>
      <c r="R120" s="459" t="n"/>
      <c r="S120" s="459" t="n"/>
      <c r="T120" s="459" t="n"/>
      <c r="U120" s="459" t="n"/>
      <c r="V120" s="459" t="n"/>
      <c r="W120" s="459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13">
    <outlinePr summaryBelow="1" summaryRight="1"/>
    <pageSetUpPr/>
  </sheetPr>
  <dimension ref="A1:Q41"/>
  <sheetViews>
    <sheetView workbookViewId="0">
      <selection activeCell="H10" sqref="H10:H12"/>
    </sheetView>
  </sheetViews>
  <sheetFormatPr baseColWidth="8" defaultColWidth="8.88671875" defaultRowHeight="14.4" outlineLevelCol="0"/>
  <cols>
    <col width="48" bestFit="1" customWidth="1" style="337" min="2" max="2"/>
    <col width="12.44140625" customWidth="1" style="337" min="3" max="6"/>
    <col width="9.88671875" bestFit="1" customWidth="1" style="337" min="7" max="7"/>
    <col width="10.88671875" bestFit="1" customWidth="1" style="337" min="8" max="11"/>
    <col width="17" bestFit="1" customWidth="1" style="337" min="12" max="14"/>
    <col hidden="1" width="11.44140625" customWidth="1" style="337" min="15" max="15"/>
    <col hidden="1" style="337" min="16" max="17"/>
  </cols>
  <sheetData>
    <row r="1">
      <c r="B1" s="1" t="inlineStr">
        <is>
          <t>SBT</t>
        </is>
      </c>
    </row>
    <row r="2">
      <c r="B2" s="1" t="n"/>
      <c r="O2" t="n">
        <v>1000000</v>
      </c>
    </row>
    <row r="3">
      <c r="B3" s="1" t="n"/>
      <c r="C3" s="95" t="n">
        <v>2015</v>
      </c>
      <c r="D3" s="95">
        <f>C3+1</f>
        <v/>
      </c>
      <c r="E3" s="95">
        <f>D3+1</f>
        <v/>
      </c>
      <c r="F3" s="95">
        <f>E3+1</f>
        <v/>
      </c>
      <c r="G3" s="95">
        <f>F3+1</f>
        <v/>
      </c>
      <c r="H3" s="95">
        <f>G3+1</f>
        <v/>
      </c>
      <c r="I3" s="95">
        <f>H3+1</f>
        <v/>
      </c>
      <c r="J3" s="95">
        <f>I3+1</f>
        <v/>
      </c>
      <c r="K3" s="95">
        <f>J3+1</f>
        <v/>
      </c>
      <c r="L3" s="95">
        <f>K3+1</f>
        <v/>
      </c>
      <c r="M3" s="95">
        <f>L3+1</f>
        <v/>
      </c>
      <c r="N3" s="95">
        <f>M3+1</f>
        <v/>
      </c>
    </row>
    <row r="4" customFormat="1" s="135">
      <c r="B4" s="139" t="inlineStr">
        <is>
          <t>1. Revenues from sales and services rendered</t>
        </is>
      </c>
      <c r="C4" s="140">
        <f>C5</f>
        <v/>
      </c>
      <c r="D4" s="140">
        <f>D5</f>
        <v/>
      </c>
      <c r="E4" s="140">
        <f>E5</f>
        <v/>
      </c>
      <c r="F4" s="140">
        <f>F5</f>
        <v/>
      </c>
      <c r="G4" s="140">
        <f>G5</f>
        <v/>
      </c>
      <c r="H4" s="140">
        <f>H5</f>
        <v/>
      </c>
      <c r="I4" s="140">
        <f>I5</f>
        <v/>
      </c>
      <c r="J4" s="140">
        <f>J5</f>
        <v/>
      </c>
      <c r="K4" s="140" t="n"/>
      <c r="L4" s="140" t="n"/>
      <c r="M4" s="140" t="n"/>
      <c r="N4" s="140" t="n"/>
    </row>
    <row r="5">
      <c r="A5" s="100" t="inlineStr">
        <is>
          <t>01</t>
        </is>
      </c>
      <c r="B5" s="2" t="inlineStr">
        <is>
          <t>Total Revenue</t>
        </is>
      </c>
      <c r="C5" s="32">
        <f>SUMIF(PL.data!$B$3:$B$25,PL!$A5,PL.data!P$3:P$25)</f>
        <v/>
      </c>
      <c r="D5" s="32">
        <f>SUMIF(PL.data!$B$3:$B$25,PL!$A5,PL.data!Q$3:Q$25)</f>
        <v/>
      </c>
      <c r="E5" s="32">
        <f>SUMIF(PL.data!$B$3:$B$25,PL!$A5,PL.data!R$3:R$25)</f>
        <v/>
      </c>
      <c r="F5" s="32">
        <f>SUMIF(PL.data!$B$3:$B$25,PL!$A5,PL.data!S$3:S$25)</f>
        <v/>
      </c>
      <c r="G5" s="32">
        <f>SUMIF(PL.data!$B$3:$B$25,PL!$A5,PL.data!T$3:T$25)</f>
        <v/>
      </c>
      <c r="H5" s="32">
        <f>SUMIF(PL.data!$B$3:$B$25,PL!$A5,PL.data!U$3:U$25)</f>
        <v/>
      </c>
      <c r="I5" s="32">
        <f>SUMIF(PL.data!$B$3:$B$25,PL!$A5,PL.data!V$3:V$25)</f>
        <v/>
      </c>
      <c r="J5" s="32">
        <f>SUMIF(PL.data!$B$3:$B$25,PL!$A5,PL.data!W$3:W$25)</f>
        <v/>
      </c>
      <c r="K5" s="32" t="n"/>
      <c r="L5" s="32" t="n"/>
      <c r="M5" s="32" t="n"/>
      <c r="N5" s="32" t="n"/>
      <c r="O5" s="94">
        <f>O24/$O$2</f>
        <v/>
      </c>
      <c r="P5" s="94">
        <f>P24/$O$2</f>
        <v/>
      </c>
      <c r="Q5" s="94">
        <f>Q24/$O$2</f>
        <v/>
      </c>
    </row>
    <row r="6">
      <c r="A6" s="100" t="inlineStr">
        <is>
          <t>02</t>
        </is>
      </c>
      <c r="B6" s="1" t="inlineStr">
        <is>
          <t>2. Revenue deductions</t>
        </is>
      </c>
      <c r="C6" s="32">
        <f>SUMIF(PL.data!$B$3:$B$25,PL!$A6,PL.data!P$3:P$25)</f>
        <v/>
      </c>
      <c r="D6" s="32">
        <f>SUMIF(PL.data!$B$3:$B$25,PL!$A6,PL.data!Q$3:Q$25)</f>
        <v/>
      </c>
      <c r="E6" s="32">
        <f>SUMIF(PL.data!$B$3:$B$25,PL!$A6,PL.data!R$3:R$25)</f>
        <v/>
      </c>
      <c r="F6" s="32">
        <f>SUMIF(PL.data!$B$3:$B$25,PL!$A6,PL.data!S$3:S$25)</f>
        <v/>
      </c>
      <c r="G6" s="32">
        <f>SUMIF(PL.data!$B$3:$B$25,PL!$A6,PL.data!T$3:T$25)</f>
        <v/>
      </c>
      <c r="H6" s="32">
        <f>SUMIF(PL.data!$B$3:$B$25,PL!$A6,PL.data!U$3:U$25)</f>
        <v/>
      </c>
      <c r="I6" s="32">
        <f>SUMIF(PL.data!$B$3:$B$25,PL!$A6,PL.data!V$3:V$25)</f>
        <v/>
      </c>
      <c r="J6" s="32">
        <f>SUMIF(PL.data!$B$3:$B$25,PL!$A6,PL.data!W$3:W$25)</f>
        <v/>
      </c>
      <c r="K6" s="32" t="n"/>
      <c r="L6" s="32" t="n"/>
      <c r="M6" s="32" t="n"/>
      <c r="N6" s="32" t="n"/>
      <c r="O6" s="94">
        <f>O25/$O$2</f>
        <v/>
      </c>
      <c r="P6" s="94">
        <f>P25/$O$2</f>
        <v/>
      </c>
      <c r="Q6" s="94">
        <f>Q25/$O$2</f>
        <v/>
      </c>
    </row>
    <row r="7">
      <c r="A7" s="101" t="inlineStr">
        <is>
          <t>10</t>
        </is>
      </c>
      <c r="B7" s="1" t="inlineStr">
        <is>
          <t xml:space="preserve">3. Net revenues from sales and services rendered </t>
        </is>
      </c>
      <c r="C7" s="32">
        <f>SUMIF(PL.data!$B$3:$B$25,PL!$A7,PL.data!P$3:P$25)</f>
        <v/>
      </c>
      <c r="D7" s="32">
        <f>SUMIF(PL.data!$B$3:$B$25,PL!$A7,PL.data!Q$3:Q$25)</f>
        <v/>
      </c>
      <c r="E7" s="32">
        <f>SUMIF(PL.data!$B$3:$B$25,PL!$A7,PL.data!R$3:R$25)</f>
        <v/>
      </c>
      <c r="F7" s="32">
        <f>SUMIF(PL.data!$B$3:$B$25,PL!$A7,PL.data!S$3:S$25)</f>
        <v/>
      </c>
      <c r="G7" s="32">
        <f>SUMIF(PL.data!$B$3:$B$25,PL!$A7,PL.data!T$3:T$25)</f>
        <v/>
      </c>
      <c r="H7" s="32">
        <f>SUMIF(PL.data!$B$3:$B$25,PL!$A7,PL.data!U$3:U$25)</f>
        <v/>
      </c>
      <c r="I7" s="32">
        <f>SUMIF(PL.data!$B$3:$B$25,PL!$A7,PL.data!V$3:V$25)</f>
        <v/>
      </c>
      <c r="J7" s="32">
        <f>SUMIF(PL.data!$B$3:$B$25,PL!$A7,PL.data!W$3:W$25)</f>
        <v/>
      </c>
      <c r="K7" s="32" t="n"/>
      <c r="L7" s="32" t="n"/>
      <c r="M7" s="32" t="n"/>
      <c r="N7" s="32" t="n"/>
      <c r="O7" s="94">
        <f>O26/$O$2</f>
        <v/>
      </c>
      <c r="P7" s="94">
        <f>P26/$O$2</f>
        <v/>
      </c>
      <c r="Q7" s="94">
        <f>Q26/$O$2</f>
        <v/>
      </c>
    </row>
    <row r="8">
      <c r="A8" s="100" t="inlineStr">
        <is>
          <t>11</t>
        </is>
      </c>
      <c r="B8" s="1" t="inlineStr">
        <is>
          <t>4. Costs of goods sold</t>
        </is>
      </c>
      <c r="C8" s="32">
        <f>SUMIF(PL.data!$B$3:$B$25,PL!$A8,PL.data!P$3:P$25)</f>
        <v/>
      </c>
      <c r="D8" s="32">
        <f>SUMIF(PL.data!$B$3:$B$25,PL!$A8,PL.data!Q$3:Q$25)</f>
        <v/>
      </c>
      <c r="E8" s="32">
        <f>SUMIF(PL.data!$B$3:$B$25,PL!$A8,PL.data!R$3:R$25)</f>
        <v/>
      </c>
      <c r="F8" s="32">
        <f>SUMIF(PL.data!$B$3:$B$25,PL!$A8,PL.data!S$3:S$25)</f>
        <v/>
      </c>
      <c r="G8" s="32">
        <f>SUMIF(PL.data!$B$3:$B$25,PL!$A8,PL.data!T$3:T$25)</f>
        <v/>
      </c>
      <c r="H8" s="32">
        <f>SUMIF(PL.data!$B$3:$B$25,PL!$A8,PL.data!U$3:U$25)</f>
        <v/>
      </c>
      <c r="I8" s="32">
        <f>SUMIF(PL.data!$B$3:$B$25,PL!$A8,PL.data!V$3:V$25)</f>
        <v/>
      </c>
      <c r="J8" s="32">
        <f>SUMIF(PL.data!$B$3:$B$25,PL!$A8,PL.data!W$3:W$25)</f>
        <v/>
      </c>
      <c r="K8" s="32" t="n"/>
      <c r="L8" s="32" t="n"/>
      <c r="M8" s="32" t="n"/>
      <c r="N8" s="32" t="n"/>
      <c r="O8" s="94">
        <f>O27/$O$2</f>
        <v/>
      </c>
      <c r="P8" s="94">
        <f>P27/$O$2</f>
        <v/>
      </c>
      <c r="Q8" s="94">
        <f>Q27/$O$2</f>
        <v/>
      </c>
    </row>
    <row r="9" customFormat="1" s="135">
      <c r="A9" s="138" t="inlineStr">
        <is>
          <t>20</t>
        </is>
      </c>
      <c r="B9" s="139" t="inlineStr">
        <is>
          <t xml:space="preserve">5. Gross revenues from sales and services rendered </t>
        </is>
      </c>
      <c r="C9" s="140">
        <f>SUMIF(PL.data!$B$3:$B$25,PL!$A9,PL.data!P$3:P$25)</f>
        <v/>
      </c>
      <c r="D9" s="140">
        <f>SUMIF(PL.data!$B$3:$B$25,PL!$A9,PL.data!Q$3:Q$25)</f>
        <v/>
      </c>
      <c r="E9" s="140">
        <f>SUMIF(PL.data!$B$3:$B$25,PL!$A9,PL.data!R$3:R$25)</f>
        <v/>
      </c>
      <c r="F9" s="140">
        <f>SUMIF(PL.data!$B$3:$B$25,PL!$A9,PL.data!S$3:S$25)</f>
        <v/>
      </c>
      <c r="G9" s="140">
        <f>SUMIF(PL.data!$B$3:$B$25,PL!$A9,PL.data!T$3:T$25)</f>
        <v/>
      </c>
      <c r="H9" s="140">
        <f>SUMIF(PL.data!$B$3:$B$25,PL!$A9,PL.data!U$3:U$25)</f>
        <v/>
      </c>
      <c r="I9" s="140">
        <f>SUMIF(PL.data!$B$3:$B$25,PL!$A9,PL.data!V$3:V$25)</f>
        <v/>
      </c>
      <c r="J9" s="140">
        <f>SUMIF(PL.data!$B$3:$B$25,PL!$A9,PL.data!W$3:W$25)</f>
        <v/>
      </c>
      <c r="K9" s="140" t="n"/>
      <c r="L9" s="140" t="n"/>
      <c r="M9" s="140" t="n"/>
      <c r="N9" s="140" t="n"/>
      <c r="O9" s="134">
        <f>O28/$O$2</f>
        <v/>
      </c>
      <c r="P9" s="134">
        <f>P28/$O$2</f>
        <v/>
      </c>
      <c r="Q9" s="134">
        <f>Q28/$O$2</f>
        <v/>
      </c>
    </row>
    <row r="10">
      <c r="A10" s="100" t="inlineStr">
        <is>
          <t>21</t>
        </is>
      </c>
      <c r="B10" s="1" t="inlineStr">
        <is>
          <t>6. Financial Income</t>
        </is>
      </c>
      <c r="C10" s="32">
        <f>SUMIF(PL.data!$B$3:$B$25,PL!$A10,PL.data!P$3:P$25)</f>
        <v/>
      </c>
      <c r="D10" s="32">
        <f>SUMIF(PL.data!$B$3:$B$25,PL!$A10,PL.data!Q$3:Q$25)</f>
        <v/>
      </c>
      <c r="E10" s="32">
        <f>SUMIF(PL.data!$B$3:$B$25,PL!$A10,PL.data!R$3:R$25)</f>
        <v/>
      </c>
      <c r="F10" s="32">
        <f>SUMIF(PL.data!$B$3:$B$25,PL!$A10,PL.data!S$3:S$25)</f>
        <v/>
      </c>
      <c r="G10" s="32">
        <f>SUMIF(PL.data!$B$3:$B$25,PL!$A10,PL.data!T$3:T$25)</f>
        <v/>
      </c>
      <c r="H10" s="32">
        <f>SUMIF(PL.data!$B$3:$B$25,PL!$A10,PL.data!U$3:U$25)</f>
        <v/>
      </c>
      <c r="I10" s="32">
        <f>SUMIF(PL.data!$B$3:$B$25,PL!$A10,PL.data!V$3:V$25)</f>
        <v/>
      </c>
      <c r="J10" s="32">
        <f>SUMIF(PL.data!$B$3:$B$25,PL!$A10,PL.data!W$3:W$25)</f>
        <v/>
      </c>
      <c r="K10" s="32" t="n"/>
      <c r="L10" s="32" t="n"/>
      <c r="M10" s="32" t="n"/>
      <c r="N10" s="32" t="n"/>
      <c r="O10" s="94">
        <f>O29/$O$2</f>
        <v/>
      </c>
      <c r="P10" s="94">
        <f>P29/$O$2</f>
        <v/>
      </c>
      <c r="Q10" s="94">
        <f>Q29/$O$2</f>
        <v/>
      </c>
    </row>
    <row r="11">
      <c r="A11" s="100" t="inlineStr">
        <is>
          <t>22</t>
        </is>
      </c>
      <c r="B11" s="1" t="inlineStr">
        <is>
          <t>7. Financial Expenses</t>
        </is>
      </c>
      <c r="C11" s="32" t="n">
        <v>-68270</v>
      </c>
      <c r="D11" s="32" t="n">
        <v>-216333</v>
      </c>
      <c r="E11" s="32">
        <f>SUMIF(PL.data!$B$3:$B$25,PL!$A11,PL.data!R$3:R$25)</f>
        <v/>
      </c>
      <c r="F11" s="32">
        <f>SUMIF(PL.data!$B$3:$B$25,PL!$A11,PL.data!S$3:S$25)</f>
        <v/>
      </c>
      <c r="G11" s="32">
        <f>SUMIF(PL.data!$B$3:$B$25,PL!$A11,PL.data!T$3:T$25)</f>
        <v/>
      </c>
      <c r="H11" s="32">
        <f>SUMIF(PL.data!$B$3:$B$25,PL!$A11,PL.data!U$3:U$25)</f>
        <v/>
      </c>
      <c r="I11" s="32">
        <f>SUMIF(PL.data!$B$3:$B$25,PL!$A11,PL.data!V$3:V$25)</f>
        <v/>
      </c>
      <c r="J11" s="32">
        <f>SUMIF(PL.data!$B$3:$B$25,PL!$A11,PL.data!W$3:W$25)</f>
        <v/>
      </c>
      <c r="K11" s="32" t="n"/>
      <c r="L11" s="32" t="n"/>
      <c r="M11" s="32" t="n"/>
      <c r="N11" s="32" t="n"/>
      <c r="O11" s="94">
        <f>O30/$O$2</f>
        <v/>
      </c>
      <c r="P11" s="94">
        <f>P30/$O$2</f>
        <v/>
      </c>
      <c r="Q11" s="94">
        <f>Q30/$O$2</f>
        <v/>
      </c>
    </row>
    <row r="12">
      <c r="A12" s="100" t="inlineStr">
        <is>
          <t>23</t>
        </is>
      </c>
      <c r="B12" s="2" t="inlineStr">
        <is>
          <t>In Which: Interest expenses</t>
        </is>
      </c>
      <c r="C12" s="32" t="n">
        <v>-80245</v>
      </c>
      <c r="D12" s="32">
        <f>SUMIF(PL.data!$B$3:$B$25,PL!$A12,PL.data!Q$3:Q$25)</f>
        <v/>
      </c>
      <c r="E12" s="32">
        <f>SUMIF(PL.data!$B$3:$B$25,PL!$A12,PL.data!R$3:R$25)</f>
        <v/>
      </c>
      <c r="F12" s="32">
        <f>SUMIF(PL.data!$B$3:$B$25,PL!$A12,PL.data!S$3:S$25)</f>
        <v/>
      </c>
      <c r="G12" s="32">
        <f>SUMIF(PL.data!$B$3:$B$25,PL!$A12,PL.data!T$3:T$25)</f>
        <v/>
      </c>
      <c r="H12" s="32">
        <f>SUMIF(PL.data!$B$3:$B$25,PL!$A12,PL.data!U$3:U$25)</f>
        <v/>
      </c>
      <c r="I12" s="32">
        <f>SUMIF(PL.data!$B$3:$B$25,PL!$A12,PL.data!V$3:V$25)</f>
        <v/>
      </c>
      <c r="J12" s="32">
        <f>SUMIF(PL.data!$B$3:$B$25,PL!$A12,PL.data!W$3:W$25)</f>
        <v/>
      </c>
      <c r="K12" s="32" t="n"/>
      <c r="L12" s="32" t="n"/>
      <c r="M12" s="32" t="n"/>
      <c r="N12" s="32" t="n"/>
      <c r="O12" s="94">
        <f>O31/$O$2</f>
        <v/>
      </c>
      <c r="P12" s="94">
        <f>P31/$O$2</f>
        <v/>
      </c>
      <c r="Q12" s="94">
        <f>Q31/$O$2</f>
        <v/>
      </c>
    </row>
    <row r="13">
      <c r="A13" s="100" t="n">
        <v>24</v>
      </c>
      <c r="B13" s="2" t="inlineStr">
        <is>
          <t>Lãi lỗ trong cty liên doanh liên kết</t>
        </is>
      </c>
      <c r="C13" s="32" t="n">
        <v>59891</v>
      </c>
      <c r="D13" s="32">
        <f>SUMIF(PL.data!$B$3:$B$25,PL!$A13,PL.data!Q$3:Q$25)</f>
        <v/>
      </c>
      <c r="E13" s="32">
        <f>SUMIF(PL.data!$B$3:$B$25,PL!$A13,PL.data!R$3:R$25)</f>
        <v/>
      </c>
      <c r="F13" s="32">
        <f>SUMIF(PL.data!$B$3:$B$25,PL!$A13,PL.data!S$3:S$25)</f>
        <v/>
      </c>
      <c r="G13" s="32">
        <f>SUMIF(PL.data!$B$3:$B$25,PL!$A13,PL.data!T$3:T$25)</f>
        <v/>
      </c>
      <c r="H13" s="32">
        <f>SUMIF(PL.data!$B$3:$B$25,PL!$A13,PL.data!U$3:U$25)</f>
        <v/>
      </c>
      <c r="I13" s="32">
        <f>SUMIF(PL.data!$B$3:$B$25,PL!$A13,PL.data!V$3:V$25)</f>
        <v/>
      </c>
      <c r="J13" s="32">
        <f>SUMIF(PL.data!$B$3:$B$25,PL!$A13,PL.data!W$3:W$25)</f>
        <v/>
      </c>
      <c r="K13" s="32" t="n"/>
      <c r="L13" s="32" t="n"/>
      <c r="M13" s="32" t="n"/>
      <c r="N13" s="32" t="n"/>
      <c r="O13" s="94">
        <f>O32/$O$2</f>
        <v/>
      </c>
      <c r="P13" s="94">
        <f>P32/$O$2</f>
        <v/>
      </c>
      <c r="Q13" s="94">
        <f>Q32/$O$2</f>
        <v/>
      </c>
    </row>
    <row r="14">
      <c r="A14" s="100" t="inlineStr">
        <is>
          <t>25</t>
        </is>
      </c>
      <c r="B14" s="1" t="inlineStr">
        <is>
          <t>8. Selling Expenses</t>
        </is>
      </c>
      <c r="C14" s="32" t="n">
        <v>-68366</v>
      </c>
      <c r="D14" s="32">
        <f>SUMIF(PL.data!$B$3:$B$25,PL!$A14,PL.data!Q$3:Q$25)</f>
        <v/>
      </c>
      <c r="E14" s="32">
        <f>SUMIF(PL.data!$B$3:$B$25,PL!$A14,PL.data!R$3:R$25)</f>
        <v/>
      </c>
      <c r="F14" s="32">
        <f>SUMIF(PL.data!$B$3:$B$25,PL!$A14,PL.data!S$3:S$25)</f>
        <v/>
      </c>
      <c r="G14" s="32">
        <f>SUMIF(PL.data!$B$3:$B$25,PL!$A14,PL.data!T$3:T$25)</f>
        <v/>
      </c>
      <c r="H14" s="32">
        <f>SUMIF(PL.data!$B$3:$B$25,PL!$A14,PL.data!U$3:U$25)</f>
        <v/>
      </c>
      <c r="I14" s="32">
        <f>SUMIF(PL.data!$B$3:$B$25,PL!$A14,PL.data!V$3:V$25)</f>
        <v/>
      </c>
      <c r="J14" s="32">
        <f>SUMIF(PL.data!$B$3:$B$25,PL!$A14,PL.data!W$3:W$25)</f>
        <v/>
      </c>
      <c r="K14" s="32" t="n"/>
      <c r="L14" s="32" t="n"/>
      <c r="M14" s="32" t="n"/>
      <c r="N14" s="32" t="n"/>
      <c r="O14" s="94">
        <f>O33/$O$2</f>
        <v/>
      </c>
      <c r="P14" s="94">
        <f>P33/$O$2</f>
        <v/>
      </c>
      <c r="Q14" s="94">
        <f>Q33/$O$2</f>
        <v/>
      </c>
    </row>
    <row r="15">
      <c r="A15" s="100" t="inlineStr">
        <is>
          <t>26</t>
        </is>
      </c>
      <c r="B15" s="1" t="inlineStr">
        <is>
          <t>9. General administration expenses</t>
        </is>
      </c>
      <c r="C15" s="32" t="n">
        <v>-65543</v>
      </c>
      <c r="D15" s="32">
        <f>SUMIF(PL.data!$B$3:$B$25,PL!$A15,PL.data!Q$3:Q$25)</f>
        <v/>
      </c>
      <c r="E15" s="32">
        <f>SUMIF(PL.data!$B$3:$B$25,PL!$A15,PL.data!R$3:R$25)</f>
        <v/>
      </c>
      <c r="F15" s="32">
        <f>SUMIF(PL.data!$B$3:$B$25,PL!$A15,PL.data!S$3:S$25)</f>
        <v/>
      </c>
      <c r="G15" s="32">
        <f>SUMIF(PL.data!$B$3:$B$25,PL!$A15,PL.data!T$3:T$25)</f>
        <v/>
      </c>
      <c r="H15" s="32">
        <f>SUMIF(PL.data!$B$3:$B$25,PL!$A15,PL.data!U$3:U$25)</f>
        <v/>
      </c>
      <c r="I15" s="32">
        <f>SUMIF(PL.data!$B$3:$B$25,PL!$A15,PL.data!V$3:V$25)</f>
        <v/>
      </c>
      <c r="J15" s="32">
        <f>SUMIF(PL.data!$B$3:$B$25,PL!$A15,PL.data!W$3:W$25)</f>
        <v/>
      </c>
      <c r="K15" s="32" t="n"/>
      <c r="L15" s="32" t="n"/>
      <c r="M15" s="32" t="n"/>
      <c r="N15" s="32" t="n"/>
      <c r="O15" s="94">
        <f>O34/$O$2</f>
        <v/>
      </c>
      <c r="P15" s="94">
        <f>P34/$O$2</f>
        <v/>
      </c>
      <c r="Q15" s="94">
        <f>Q34/$O$2</f>
        <v/>
      </c>
    </row>
    <row r="16" customFormat="1" s="135">
      <c r="A16" s="138" t="inlineStr">
        <is>
          <t>30</t>
        </is>
      </c>
      <c r="B16" s="139" t="inlineStr">
        <is>
          <t>10. Net profits from operating activities</t>
        </is>
      </c>
      <c r="C16" s="140" t="n">
        <v>200165</v>
      </c>
      <c r="D16" s="140" t="n">
        <v>303829</v>
      </c>
      <c r="E16" s="140">
        <f>SUMIF(PL.data!$B$3:$B$25,PL!$A16,PL.data!R$3:R$25)</f>
        <v/>
      </c>
      <c r="F16" s="140">
        <f>SUMIF(PL.data!$B$3:$B$25,PL!$A16,PL.data!S$3:S$25)</f>
        <v/>
      </c>
      <c r="G16" s="140">
        <f>SUMIF(PL.data!$B$3:$B$25,PL!$A16,PL.data!T$3:T$25)</f>
        <v/>
      </c>
      <c r="H16" s="140">
        <f>SUMIF(PL.data!$B$3:$B$25,PL!$A16,PL.data!U$3:U$25)</f>
        <v/>
      </c>
      <c r="I16" s="140">
        <f>SUMIF(PL.data!$B$3:$B$25,PL!$A16,PL.data!V$3:V$25)</f>
        <v/>
      </c>
      <c r="J16" s="140">
        <f>SUMIF(PL.data!$B$3:$B$25,PL!$A16,PL.data!W$3:W$25)</f>
        <v/>
      </c>
      <c r="K16" s="140" t="n"/>
      <c r="L16" s="140" t="n"/>
      <c r="M16" s="140" t="n"/>
      <c r="N16" s="140" t="n"/>
      <c r="O16" s="134">
        <f>O35/$O$2</f>
        <v/>
      </c>
      <c r="P16" s="134">
        <f>P35/$O$2</f>
        <v/>
      </c>
      <c r="Q16" s="134">
        <f>Q35/$O$2</f>
        <v/>
      </c>
    </row>
    <row r="17">
      <c r="A17" s="100" t="inlineStr">
        <is>
          <t>31</t>
        </is>
      </c>
      <c r="B17" s="1" t="inlineStr">
        <is>
          <t>11. Other Income</t>
        </is>
      </c>
      <c r="C17" s="32" t="n">
        <v>10601</v>
      </c>
      <c r="D17" s="32">
        <f>SUMIF(PL.data!$B$3:$B$25,PL!$A17,PL.data!Q$3:Q$25)</f>
        <v/>
      </c>
      <c r="E17" s="32">
        <f>SUMIF(PL.data!$B$3:$B$25,PL!$A17,PL.data!R$3:R$25)</f>
        <v/>
      </c>
      <c r="F17" s="32">
        <f>SUMIF(PL.data!$B$3:$B$25,PL!$A17,PL.data!S$3:S$25)</f>
        <v/>
      </c>
      <c r="G17" s="32">
        <f>SUMIF(PL.data!$B$3:$B$25,PL!$A17,PL.data!T$3:T$25)</f>
        <v/>
      </c>
      <c r="H17" s="32">
        <f>SUMIF(PL.data!$B$3:$B$25,PL!$A17,PL.data!U$3:U$25)</f>
        <v/>
      </c>
      <c r="I17" s="32">
        <f>SUMIF(PL.data!$B$3:$B$25,PL!$A17,PL.data!V$3:V$25)</f>
        <v/>
      </c>
      <c r="J17" s="32">
        <f>SUMIF(PL.data!$B$3:$B$25,PL!$A17,PL.data!W$3:W$25)</f>
        <v/>
      </c>
      <c r="K17" s="32" t="n"/>
      <c r="L17" s="32" t="n"/>
      <c r="M17" s="32" t="n"/>
      <c r="N17" s="32" t="n"/>
      <c r="O17" s="94">
        <f>O36/$O$2</f>
        <v/>
      </c>
      <c r="P17" s="94">
        <f>P36/$O$2</f>
        <v/>
      </c>
      <c r="Q17" s="94">
        <f>Q36/$O$2</f>
        <v/>
      </c>
    </row>
    <row r="18">
      <c r="A18" s="100" t="inlineStr">
        <is>
          <t>32</t>
        </is>
      </c>
      <c r="B18" s="1" t="inlineStr">
        <is>
          <t>12. Other Expenses</t>
        </is>
      </c>
      <c r="C18" s="32" t="n">
        <v>-2461</v>
      </c>
      <c r="D18" s="32">
        <f>SUMIF(PL.data!$B$3:$B$25,PL!$A18,PL.data!Q$3:Q$25)</f>
        <v/>
      </c>
      <c r="E18" s="32">
        <f>SUMIF(PL.data!$B$3:$B$25,PL!$A18,PL.data!R$3:R$25)</f>
        <v/>
      </c>
      <c r="F18" s="32">
        <f>SUMIF(PL.data!$B$3:$B$25,PL!$A18,PL.data!S$3:S$25)</f>
        <v/>
      </c>
      <c r="G18" s="32">
        <f>SUMIF(PL.data!$B$3:$B$25,PL!$A18,PL.data!T$3:T$25)</f>
        <v/>
      </c>
      <c r="H18" s="32">
        <f>SUMIF(PL.data!$B$3:$B$25,PL!$A18,PL.data!U$3:U$25)</f>
        <v/>
      </c>
      <c r="I18" s="32">
        <f>SUMIF(PL.data!$B$3:$B$25,PL!$A18,PL.data!V$3:V$25)</f>
        <v/>
      </c>
      <c r="J18" s="32">
        <f>SUMIF(PL.data!$B$3:$B$25,PL!$A18,PL.data!W$3:W$25)</f>
        <v/>
      </c>
      <c r="K18" s="32" t="n"/>
      <c r="L18" s="32" t="n"/>
      <c r="M18" s="32" t="n"/>
      <c r="N18" s="32" t="n"/>
      <c r="O18" s="94">
        <f>O37/$O$2</f>
        <v/>
      </c>
      <c r="P18" s="94">
        <f>P37/$O$2</f>
        <v/>
      </c>
      <c r="Q18" s="94">
        <f>Q37/$O$2</f>
        <v/>
      </c>
    </row>
    <row r="19" customFormat="1" s="135">
      <c r="A19" s="138" t="inlineStr">
        <is>
          <t>40</t>
        </is>
      </c>
      <c r="B19" s="139" t="inlineStr">
        <is>
          <t>13. Other profits</t>
        </is>
      </c>
      <c r="C19" s="140" t="n">
        <v>8140</v>
      </c>
      <c r="D19" s="140">
        <f>SUMIF(PL.data!$B$3:$B$25,PL!$A19,PL.data!Q$3:Q$25)</f>
        <v/>
      </c>
      <c r="E19" s="140">
        <f>SUMIF(PL.data!$B$3:$B$25,PL!$A19,PL.data!R$3:R$25)</f>
        <v/>
      </c>
      <c r="F19" s="140">
        <f>SUMIF(PL.data!$B$3:$B$25,PL!$A19,PL.data!S$3:S$25)</f>
        <v/>
      </c>
      <c r="G19" s="140">
        <f>SUMIF(PL.data!$B$3:$B$25,PL!$A19,PL.data!T$3:T$25)</f>
        <v/>
      </c>
      <c r="H19" s="140">
        <f>SUMIF(PL.data!$B$3:$B$25,PL!$A19,PL.data!U$3:U$25)</f>
        <v/>
      </c>
      <c r="I19" s="140">
        <f>SUMIF(PL.data!$B$3:$B$25,PL!$A19,PL.data!V$3:V$25)</f>
        <v/>
      </c>
      <c r="J19" s="140">
        <f>SUMIF(PL.data!$B$3:$B$25,PL!$A19,PL.data!W$3:W$25)</f>
        <v/>
      </c>
      <c r="K19" s="140" t="n"/>
      <c r="L19" s="140" t="n"/>
      <c r="M19" s="140" t="n"/>
      <c r="N19" s="140" t="n"/>
      <c r="O19" s="134">
        <f>O38/$O$2</f>
        <v/>
      </c>
      <c r="P19" s="134">
        <f>P38/$O$2</f>
        <v/>
      </c>
      <c r="Q19" s="134">
        <f>Q38/$O$2</f>
        <v/>
      </c>
    </row>
    <row r="20" customFormat="1" s="135">
      <c r="A20" s="138" t="inlineStr">
        <is>
          <t>50</t>
        </is>
      </c>
      <c r="B20" s="139" t="inlineStr">
        <is>
          <t xml:space="preserve">14. Total net profit before tax </t>
        </is>
      </c>
      <c r="C20" s="140" t="n">
        <v>208306</v>
      </c>
      <c r="D20" s="140" t="n">
        <v>310076</v>
      </c>
      <c r="E20" s="140">
        <f>SUMIF(PL.data!$B$3:$B$25,PL!$A20,PL.data!R$3:R$25)</f>
        <v/>
      </c>
      <c r="F20" s="140">
        <f>SUMIF(PL.data!$B$3:$B$25,PL!$A20,PL.data!S$3:S$25)</f>
        <v/>
      </c>
      <c r="G20" s="140">
        <f>SUMIF(PL.data!$B$3:$B$25,PL!$A20,PL.data!T$3:T$25)</f>
        <v/>
      </c>
      <c r="H20" s="140">
        <f>SUMIF(PL.data!$B$3:$B$25,PL!$A20,PL.data!U$3:U$25)</f>
        <v/>
      </c>
      <c r="I20" s="140">
        <f>SUMIF(PL.data!$B$3:$B$25,PL!$A20,PL.data!V$3:V$25)</f>
        <v/>
      </c>
      <c r="J20" s="140">
        <f>SUMIF(PL.data!$B$3:$B$25,PL!$A20,PL.data!W$3:W$25)</f>
        <v/>
      </c>
      <c r="K20" s="140" t="n"/>
      <c r="L20" s="140" t="n"/>
      <c r="M20" s="140" t="n"/>
      <c r="N20" s="140" t="n"/>
      <c r="O20" s="134">
        <f>O39/$O$2</f>
        <v/>
      </c>
      <c r="P20" s="134">
        <f>P39/$O$2</f>
        <v/>
      </c>
      <c r="Q20" s="134">
        <f>Q39/$O$2</f>
        <v/>
      </c>
    </row>
    <row r="21">
      <c r="A21" s="100" t="inlineStr">
        <is>
          <t>51</t>
        </is>
      </c>
      <c r="B21" s="1" t="inlineStr">
        <is>
          <t>15. Current corporate income tax expenses</t>
        </is>
      </c>
      <c r="C21" s="32" t="n">
        <v>-18318</v>
      </c>
      <c r="D21" s="32">
        <f>SUMIF(PL.data!$B$3:$B$25,PL!$A21,PL.data!Q$3:Q$25)</f>
        <v/>
      </c>
      <c r="E21" s="32">
        <f>SUMIF(PL.data!$B$3:$B$25,PL!$A21,PL.data!R$3:R$25)</f>
        <v/>
      </c>
      <c r="F21" s="32">
        <f>SUMIF(PL.data!$B$3:$B$25,PL!$A21,PL.data!S$3:S$25)</f>
        <v/>
      </c>
      <c r="G21" s="32">
        <f>SUMIF(PL.data!$B$3:$B$25,PL!$A21,PL.data!T$3:T$25)</f>
        <v/>
      </c>
      <c r="H21" s="32">
        <f>SUMIF(PL.data!$B$3:$B$25,PL!$A21,PL.data!U$3:U$25)</f>
        <v/>
      </c>
      <c r="I21" s="32">
        <f>SUMIF(PL.data!$B$3:$B$25,PL!$A21,PL.data!V$3:V$25)</f>
        <v/>
      </c>
      <c r="J21" s="32">
        <f>SUMIF(PL.data!$B$3:$B$25,PL!$A21,PL.data!W$3:W$25)</f>
        <v/>
      </c>
      <c r="K21" s="32" t="n"/>
      <c r="L21" s="32" t="n"/>
      <c r="M21" s="32" t="n"/>
      <c r="N21" s="32" t="n"/>
      <c r="O21" s="94">
        <f>O40/$O$2</f>
        <v/>
      </c>
      <c r="P21" s="94">
        <f>P40/$O$2</f>
        <v/>
      </c>
      <c r="Q21" s="94">
        <f>Q40/$O$2</f>
        <v/>
      </c>
    </row>
    <row r="22">
      <c r="A22" s="100" t="inlineStr">
        <is>
          <t>52</t>
        </is>
      </c>
      <c r="B22" s="1" t="inlineStr">
        <is>
          <t>16. Deferred corporate income tax expenses</t>
        </is>
      </c>
      <c r="C22" s="32" t="n">
        <v>-1015</v>
      </c>
      <c r="D22" s="32">
        <f>SUMIF(PL.data!$B$3:$B$25,PL!$A22,PL.data!Q$3:Q$25)</f>
        <v/>
      </c>
      <c r="E22" s="32">
        <f>SUMIF(PL.data!$B$3:$B$25,PL!$A22,PL.data!R$3:R$25)</f>
        <v/>
      </c>
      <c r="F22" s="32">
        <f>SUMIF(PL.data!$B$3:$B$25,PL!$A22,PL.data!S$3:S$25)</f>
        <v/>
      </c>
      <c r="G22" s="32">
        <f>SUMIF(PL.data!$B$3:$B$25,PL!$A22,PL.data!T$3:T$25)</f>
        <v/>
      </c>
      <c r="H22" s="32">
        <f>SUMIF(PL.data!$B$3:$B$25,PL!$A22,PL.data!U$3:U$25)</f>
        <v/>
      </c>
      <c r="I22" s="32">
        <f>SUMIF(PL.data!$B$3:$B$25,PL!$A22,PL.data!V$3:V$25)</f>
        <v/>
      </c>
      <c r="J22" s="32">
        <f>SUMIF(PL.data!$B$3:$B$25,PL!$A22,PL.data!W$3:W$25)</f>
        <v/>
      </c>
      <c r="K22" s="32" t="n"/>
      <c r="L22" s="32" t="n"/>
      <c r="M22" s="32" t="n"/>
      <c r="N22" s="32" t="n"/>
      <c r="O22" s="32">
        <f>SUM(O23:O24)</f>
        <v/>
      </c>
      <c r="P22" s="32">
        <f>SUM(P23:P24)</f>
        <v/>
      </c>
      <c r="Q22" s="32">
        <f>SUM(Q23:Q24)</f>
        <v/>
      </c>
    </row>
    <row r="23">
      <c r="B23" s="2" t="inlineStr">
        <is>
          <t>=- Payable Deferred Income Tax</t>
        </is>
      </c>
      <c r="C23" s="32" t="n"/>
      <c r="D23" s="32">
        <f>SUMIF(PL.data!$B$3:$B$25,PL!$A23,PL.data!Q$3:Q$25)</f>
        <v/>
      </c>
      <c r="E23" s="32">
        <f>SUMIF(PL.data!$B$3:$B$25,PL!$A23,PL.data!R$3:R$25)</f>
        <v/>
      </c>
      <c r="F23" s="32">
        <f>SUMIF(PL.data!$B$3:$B$25,PL!$A23,PL.data!S$3:S$25)</f>
        <v/>
      </c>
      <c r="G23" s="32">
        <f>SUMIF(PL.data!$B$3:$B$25,PL!$A23,PL.data!T$3:T$25)</f>
        <v/>
      </c>
      <c r="H23" s="32">
        <f>SUMIF(PL.data!$B$3:$B$25,PL!$A23,PL.data!U$3:U$25)</f>
        <v/>
      </c>
      <c r="I23" s="32">
        <f>SUMIF(PL.data!$B$3:$B$25,PL!$A23,PL.data!V$3:V$25)</f>
        <v/>
      </c>
      <c r="J23" s="32">
        <f>SUMIF(PL.data!$B$3:$B$25,PL!$A23,PL.data!W$3:W$25)</f>
        <v/>
      </c>
      <c r="K23" s="32" t="n"/>
      <c r="L23" s="32" t="n"/>
      <c r="M23" s="32" t="n"/>
      <c r="N23" s="32" t="n"/>
    </row>
    <row r="24">
      <c r="B24" s="2" t="inlineStr">
        <is>
          <t>=- Receivable Deferred Income Tax</t>
        </is>
      </c>
      <c r="C24" s="32" t="n"/>
      <c r="D24" s="32">
        <f>SUMIF(PL.data!$B$3:$B$25,PL!$A24,PL.data!Q$3:Q$25)</f>
        <v/>
      </c>
      <c r="E24" s="32">
        <f>SUMIF(PL.data!$B$3:$B$25,PL!$A24,PL.data!R$3:R$25)</f>
        <v/>
      </c>
      <c r="F24" s="32">
        <f>SUMIF(PL.data!$B$3:$B$25,PL!$A24,PL.data!S$3:S$25)</f>
        <v/>
      </c>
      <c r="G24" s="32">
        <f>SUMIF(PL.data!$B$3:$B$25,PL!$A24,PL.data!T$3:T$25)</f>
        <v/>
      </c>
      <c r="H24" s="32">
        <f>SUMIF(PL.data!$B$3:$B$25,PL!$A24,PL.data!U$3:U$25)</f>
        <v/>
      </c>
      <c r="I24" s="32">
        <f>SUMIF(PL.data!$B$3:$B$25,PL!$A24,PL.data!V$3:V$25)</f>
        <v/>
      </c>
      <c r="J24" s="32">
        <f>SUMIF(PL.data!$B$3:$B$25,PL!$A24,PL.data!W$3:W$25)</f>
        <v/>
      </c>
      <c r="K24" s="32" t="n"/>
      <c r="L24" s="32" t="n"/>
      <c r="M24" s="32" t="n"/>
      <c r="N24" s="32" t="n"/>
      <c r="O24" s="486" t="n">
        <v>128938488531.8065</v>
      </c>
      <c r="P24" s="486" t="n">
        <v>303410325003.4171</v>
      </c>
      <c r="Q24" s="486" t="n">
        <v>560343389471.0995</v>
      </c>
    </row>
    <row r="25" customFormat="1" s="135">
      <c r="A25" s="138" t="inlineStr">
        <is>
          <t>60</t>
        </is>
      </c>
      <c r="B25" s="139" t="inlineStr">
        <is>
          <t>17. Profits after enterprise income tax</t>
        </is>
      </c>
      <c r="C25" s="32" t="n">
        <v>99048</v>
      </c>
      <c r="D25" s="140">
        <f>D21+D20</f>
        <v/>
      </c>
      <c r="E25" s="140">
        <f>SUMIF(PL.data!$B$3:$B$25,PL!$A25,PL.data!R$3:R$25)</f>
        <v/>
      </c>
      <c r="F25" s="140">
        <f>SUMIF(PL.data!$B$3:$B$25,PL!$A25,PL.data!S$3:S$25)</f>
        <v/>
      </c>
      <c r="G25" s="140">
        <f>SUMIF(PL.data!$B$3:$B$25,PL!$A25,PL.data!T$3:T$25)</f>
        <v/>
      </c>
      <c r="H25" s="140">
        <f>SUMIF(PL.data!$B$3:$B$25,PL!$A25,PL.data!U$3:U$25)</f>
        <v/>
      </c>
      <c r="I25" s="140">
        <f>SUMIF(PL.data!$B$3:$B$25,PL!$A25,PL.data!V$3:V$25)</f>
        <v/>
      </c>
      <c r="J25" s="140">
        <f>SUMIF(PL.data!$B$3:$B$25,PL!$A25,PL.data!W$3:W$25)</f>
        <v/>
      </c>
      <c r="K25" s="140" t="n"/>
      <c r="L25" s="140" t="n"/>
      <c r="M25" s="140" t="n"/>
      <c r="N25" s="140" t="n"/>
    </row>
    <row r="26">
      <c r="A26" s="100" t="n"/>
      <c r="B26" s="1" t="inlineStr">
        <is>
          <t>18. Basic earnings per share (*)</t>
        </is>
      </c>
      <c r="C26" s="32">
        <f>SUMIF(PL.data!$B$3:$B$25,PL!$A26,PL.data!P$3:P$25)</f>
        <v/>
      </c>
      <c r="D26" s="32">
        <f>SUMIF(PL.data!$B$3:$B$25,PL!$A26,PL.data!Q$3:Q$25)</f>
        <v/>
      </c>
      <c r="E26" s="32">
        <f>SUMIF(PL.data!$B$3:$B$25,PL!$A26,PL.data!R$3:R$25)</f>
        <v/>
      </c>
      <c r="F26" s="32">
        <f>SUMIF(PL.data!$B$3:$B$25,PL!$A26,PL.data!S$3:S$25)</f>
        <v/>
      </c>
      <c r="G26" s="32">
        <f>SUMIF(PL.data!$B$3:$B$25,PL!$A26,PL.data!T$3:T$25)</f>
        <v/>
      </c>
      <c r="H26" s="32">
        <f>SUMIF(PL.data!$B$3:$B$25,PL!$A26,PL.data!U$3:U$25)</f>
        <v/>
      </c>
      <c r="I26" s="32">
        <f>SUMIF(PL.data!$B$3:$B$25,PL!$A26,PL.data!V$3:V$25)</f>
        <v/>
      </c>
      <c r="J26" s="32">
        <f>SUMIF(PL.data!$B$3:$B$25,PL!$A26,PL.data!W$3:W$25)</f>
        <v/>
      </c>
      <c r="K26" s="32" t="n"/>
      <c r="L26" s="32" t="n"/>
      <c r="M26" s="32" t="n"/>
      <c r="N26" s="32" t="n"/>
    </row>
    <row r="27">
      <c r="A27" s="100" t="n"/>
      <c r="B27" s="1" t="inlineStr">
        <is>
          <t>19. Diluted earnings per share (*)</t>
        </is>
      </c>
      <c r="C27" s="32">
        <f>SUMIF(PL.data!$B$3:$B$25,PL!$A27,PL.data!P$3:P$25)</f>
        <v/>
      </c>
      <c r="D27" s="32">
        <f>SUMIF(PL.data!$B$3:$B$25,PL!$A27,PL.data!Q$3:Q$25)</f>
        <v/>
      </c>
      <c r="E27" s="32">
        <f>SUMIF(PL.data!$B$3:$B$25,PL!$A27,PL.data!R$3:R$25)</f>
        <v/>
      </c>
      <c r="F27" s="32">
        <f>SUMIF(PL.data!$B$3:$B$25,PL!$A27,PL.data!S$3:S$25)</f>
        <v/>
      </c>
      <c r="G27" s="32">
        <f>SUMIF(PL.data!$B$3:$B$25,PL!$A27,PL.data!T$3:T$25)</f>
        <v/>
      </c>
      <c r="H27" s="32">
        <f>SUMIF(PL.data!$B$3:$B$25,PL!$A27,PL.data!U$3:U$25)</f>
        <v/>
      </c>
      <c r="I27" s="32">
        <f>SUMIF(PL.data!$B$3:$B$25,PL!$A27,PL.data!V$3:V$25)</f>
        <v/>
      </c>
      <c r="J27" s="32">
        <f>SUMIF(PL.data!$B$3:$B$25,PL!$A27,PL.data!W$3:W$25)</f>
        <v/>
      </c>
      <c r="K27" s="32" t="n"/>
      <c r="L27" s="32" t="n"/>
      <c r="M27" s="32" t="n"/>
      <c r="N27" s="32" t="n"/>
      <c r="O27" s="487" t="n">
        <v>106357029117.6367</v>
      </c>
      <c r="P27" s="487" t="n">
        <v>208607010864.2285</v>
      </c>
      <c r="Q27" s="487" t="n">
        <v>329364260831.132</v>
      </c>
    </row>
    <row r="28">
      <c r="A28" s="100" t="n"/>
      <c r="G28" s="32" t="n"/>
      <c r="H28" s="32" t="n"/>
      <c r="I28" s="32" t="n"/>
      <c r="J28" s="32" t="n"/>
      <c r="K28" s="32" t="n"/>
      <c r="O28" s="16" t="n"/>
      <c r="P28" s="16" t="n"/>
      <c r="Q28" s="16" t="n"/>
    </row>
    <row r="29">
      <c r="A29" s="100" t="n"/>
      <c r="G29" s="32" t="n"/>
      <c r="H29" s="32" t="n"/>
      <c r="I29" s="32" t="n"/>
      <c r="J29" s="32" t="n"/>
      <c r="K29" s="32" t="n"/>
      <c r="O29" s="459" t="n">
        <v>520838164982.394</v>
      </c>
      <c r="P29" s="459" t="n">
        <v>540714338978.098</v>
      </c>
      <c r="Q29" s="459" t="n">
        <v>521747057074.647</v>
      </c>
    </row>
    <row r="30">
      <c r="G30" s="32" t="n"/>
      <c r="H30" s="32" t="n"/>
      <c r="I30" s="32" t="n"/>
      <c r="J30" s="32" t="n"/>
      <c r="K30" s="32" t="n"/>
      <c r="O30" s="459" t="n">
        <v>-271426920261.906</v>
      </c>
      <c r="P30" s="459" t="n">
        <v>-254475455344.632</v>
      </c>
      <c r="Q30" s="459" t="n">
        <v>-263381269885.553</v>
      </c>
    </row>
    <row r="31">
      <c r="G31" s="32" t="n"/>
      <c r="H31" s="32" t="n"/>
      <c r="I31" s="32" t="n"/>
      <c r="J31" s="32" t="n"/>
      <c r="K31" s="32" t="n"/>
      <c r="O31" s="442" t="n">
        <v>-221426920261.906</v>
      </c>
      <c r="P31" s="442" t="n">
        <v>-204475455344.632</v>
      </c>
      <c r="Q31" s="442" t="n">
        <v>-213381269885.553</v>
      </c>
    </row>
    <row r="33">
      <c r="O33" s="442" t="n">
        <v>-932021983.2</v>
      </c>
      <c r="P33" s="442" t="n">
        <v>-1043864621.184</v>
      </c>
      <c r="Q33" s="442" t="n">
        <v>-1200444314.3616</v>
      </c>
    </row>
    <row r="34">
      <c r="O34" s="442" t="n">
        <v>-251093594410.028</v>
      </c>
      <c r="P34" s="442" t="n">
        <v>-281224825739.231</v>
      </c>
      <c r="Q34" s="442" t="n">
        <v>-323408549600.116</v>
      </c>
    </row>
    <row r="35">
      <c r="O35" s="16" t="n"/>
      <c r="P35" s="16" t="n"/>
      <c r="Q35" s="16" t="n"/>
    </row>
    <row r="36">
      <c r="O36" s="442" t="n">
        <v>2804060278.8</v>
      </c>
      <c r="P36" s="442" t="n">
        <v>3084466306.68</v>
      </c>
      <c r="Q36" s="442" t="n">
        <v>3392912937.348001</v>
      </c>
    </row>
    <row r="37">
      <c r="O37" s="442" t="n">
        <v>-9483781208</v>
      </c>
      <c r="P37" s="442" t="n">
        <v>-10432159328.8</v>
      </c>
      <c r="Q37" s="442" t="n">
        <v>-11475375261.68</v>
      </c>
    </row>
    <row r="39">
      <c r="O39" s="16" t="n"/>
      <c r="P39" s="16" t="n"/>
      <c r="Q39" s="16" t="n"/>
    </row>
    <row r="40">
      <c r="O40" s="459" t="n">
        <v>-4485147789.60229</v>
      </c>
      <c r="P40" s="459" t="n">
        <v>-30860763845.7767</v>
      </c>
      <c r="Q40" s="459" t="n">
        <v>-52878341355.646</v>
      </c>
    </row>
    <row r="41">
      <c r="O41" s="459" t="n">
        <v>-10282029292</v>
      </c>
      <c r="P41" s="459" t="n">
        <v>-7234589210</v>
      </c>
      <c r="Q41" s="459" t="n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14">
    <outlinePr summaryBelow="1" summaryRight="1"/>
    <pageSetUpPr/>
  </sheetPr>
  <dimension ref="B2:W25"/>
  <sheetViews>
    <sheetView workbookViewId="0">
      <selection activeCell="B3" sqref="B3:C25"/>
    </sheetView>
  </sheetViews>
  <sheetFormatPr baseColWidth="8" defaultColWidth="8.88671875" defaultRowHeight="14.4" outlineLevelCol="0"/>
  <cols>
    <col width="64" bestFit="1" customWidth="1" style="337" min="3" max="3"/>
    <col width="31.33203125" customWidth="1" style="337" min="4" max="4"/>
    <col width="13.6640625" customWidth="1" style="337" min="5" max="5"/>
    <col width="9.109375" customWidth="1" style="337" min="6" max="15"/>
    <col width="10.6640625" customWidth="1" style="337" min="16" max="18"/>
    <col width="11.109375" bestFit="1" customWidth="1" style="337" min="19" max="19"/>
    <col width="11.44140625" bestFit="1" customWidth="1" style="337" min="20" max="20"/>
    <col width="11.6640625" bestFit="1" customWidth="1" style="337" min="21" max="23"/>
  </cols>
  <sheetData>
    <row r="1" ht="15" customHeight="1" s="337" thickBot="1"/>
    <row r="2" ht="26.4" customHeight="1" s="337" thickBot="1">
      <c r="B2" s="105" t="inlineStr">
        <is>
          <t>KẾT QUẢ HOẠT ĐỘNG KINH DOANH</t>
        </is>
      </c>
      <c r="C2" s="338" t="n"/>
      <c r="D2" s="339" t="n"/>
      <c r="E2" s="107" t="inlineStr">
        <is>
          <t>2018</t>
        </is>
      </c>
      <c r="F2" s="107" t="inlineStr">
        <is>
          <t>2019</t>
        </is>
      </c>
      <c r="G2" s="107" t="inlineStr">
        <is>
          <t>2020</t>
        </is>
      </c>
      <c r="H2" s="107" t="inlineStr">
        <is>
          <t>2021</t>
        </is>
      </c>
      <c r="I2" s="107" t="inlineStr">
        <is>
          <t>2022</t>
        </is>
      </c>
      <c r="J2" s="107" t="n"/>
      <c r="K2" s="107" t="n"/>
      <c r="L2" s="107" t="n"/>
      <c r="M2" s="107" t="n"/>
      <c r="N2" s="107" t="n"/>
      <c r="O2" s="107" t="n"/>
      <c r="P2" s="107" t="n"/>
      <c r="Q2" s="107" t="n"/>
      <c r="R2" s="107" t="n"/>
      <c r="S2" s="107" t="n"/>
      <c r="T2" s="107" t="n"/>
      <c r="U2" s="107" t="n"/>
      <c r="V2" s="107" t="n"/>
      <c r="W2" s="107" t="n"/>
    </row>
    <row r="3" ht="15" customHeight="1" s="337" thickTop="1">
      <c r="B3" s="100" t="inlineStr">
        <is>
          <t>01</t>
        </is>
      </c>
      <c r="C3" s="114" t="inlineStr">
        <is>
          <t>1. Doanh thu bán hàng và cung cấp dịch vụ</t>
        </is>
      </c>
      <c r="D3" s="340" t="n"/>
      <c r="E3" s="442" t="n">
        <v>689016</v>
      </c>
      <c r="F3" s="442" t="n">
        <v>1328717</v>
      </c>
      <c r="G3" s="442" t="n">
        <v>648799</v>
      </c>
      <c r="H3" s="442" t="n">
        <v>932333</v>
      </c>
      <c r="I3" s="442" t="n">
        <v>607829</v>
      </c>
      <c r="J3" s="442" t="n"/>
      <c r="K3" s="442" t="n"/>
      <c r="L3" s="442" t="n"/>
      <c r="M3" s="442" t="n"/>
      <c r="N3" s="442" t="n"/>
      <c r="O3" s="442" t="n"/>
      <c r="P3" s="442" t="n"/>
      <c r="Q3" s="442" t="n"/>
      <c r="R3" s="442" t="n"/>
      <c r="S3" s="442" t="n"/>
      <c r="T3" s="442" t="n"/>
      <c r="U3" s="442" t="n"/>
      <c r="V3" s="442" t="n"/>
      <c r="W3" s="442" t="n"/>
    </row>
    <row r="4">
      <c r="B4" s="100" t="inlineStr">
        <is>
          <t>02</t>
        </is>
      </c>
      <c r="C4" s="114" t="inlineStr">
        <is>
          <t>2. Các khoản giảm trừ doanh thu</t>
        </is>
      </c>
      <c r="D4" s="340" t="n"/>
      <c r="E4" s="442" t="n">
        <v>199988</v>
      </c>
      <c r="F4" s="442" t="n">
        <v>22158</v>
      </c>
      <c r="G4" s="442" t="n"/>
      <c r="H4" s="442" t="n"/>
      <c r="I4" s="442" t="n">
        <v>2153030</v>
      </c>
      <c r="J4" s="442" t="n"/>
      <c r="K4" s="442" t="n"/>
      <c r="L4" s="442" t="n"/>
      <c r="M4" s="442" t="n"/>
      <c r="N4" s="442" t="n"/>
      <c r="O4" s="442" t="n"/>
      <c r="P4" s="442" t="n"/>
      <c r="Q4" s="442" t="n"/>
      <c r="R4" s="442" t="n"/>
      <c r="S4" s="442" t="n"/>
      <c r="T4" s="442" t="n"/>
      <c r="U4" s="442" t="n"/>
      <c r="V4" s="442" t="n"/>
      <c r="W4" s="442" t="n"/>
    </row>
    <row r="5" customFormat="1" s="347">
      <c r="B5" s="101" t="inlineStr">
        <is>
          <t>10</t>
        </is>
      </c>
      <c r="C5" s="112" t="inlineStr">
        <is>
          <t>3. Doanh thu thuần về bán hàng và cung cấp dịch vụ (10=01-02)</t>
        </is>
      </c>
      <c r="D5" s="479" t="inlineStr">
        <is>
          <t>Sales</t>
        </is>
      </c>
      <c r="E5" s="480" t="n">
        <v>489028</v>
      </c>
      <c r="F5" s="480" t="n">
        <v>1306559</v>
      </c>
      <c r="G5" s="480" t="n">
        <v>648799</v>
      </c>
      <c r="H5" s="480" t="n">
        <v>932333</v>
      </c>
      <c r="I5" s="480" t="n">
        <v>-1545201</v>
      </c>
      <c r="J5" s="480" t="n"/>
      <c r="K5" s="480" t="n"/>
      <c r="L5" s="480" t="n"/>
      <c r="M5" s="480" t="n"/>
      <c r="N5" s="480" t="n"/>
      <c r="O5" s="480" t="n"/>
      <c r="P5" s="480" t="n"/>
      <c r="Q5" s="480" t="n"/>
      <c r="R5" s="480" t="n"/>
      <c r="S5" s="480" t="n"/>
      <c r="T5" s="480" t="n"/>
      <c r="U5" s="480" t="n"/>
      <c r="V5" s="480" t="n"/>
      <c r="W5" s="480" t="n"/>
    </row>
    <row r="6">
      <c r="B6" s="100" t="inlineStr">
        <is>
          <t>11</t>
        </is>
      </c>
      <c r="C6" s="114" t="inlineStr">
        <is>
          <t>4. Giá vốn hàng bán</t>
        </is>
      </c>
      <c r="D6" s="481" t="inlineStr">
        <is>
          <t>Cost of Goods Sold</t>
        </is>
      </c>
      <c r="E6" s="442" t="n">
        <v>258210</v>
      </c>
      <c r="F6" s="442" t="n">
        <v>886262</v>
      </c>
      <c r="G6" s="442" t="n">
        <v>384181</v>
      </c>
      <c r="H6" s="442" t="n">
        <v>522389</v>
      </c>
      <c r="I6" s="442" t="n">
        <v>-1375299</v>
      </c>
      <c r="J6" s="442" t="n"/>
      <c r="K6" s="442" t="n"/>
      <c r="L6" s="442" t="n"/>
      <c r="M6" s="442" t="n"/>
      <c r="N6" s="442" t="n"/>
      <c r="O6" s="442" t="n"/>
      <c r="P6" s="442" t="n"/>
      <c r="Q6" s="442" t="n"/>
      <c r="R6" s="442" t="n"/>
      <c r="S6" s="442" t="n"/>
      <c r="T6" s="442" t="n"/>
      <c r="U6" s="442" t="n"/>
      <c r="V6" s="442" t="n"/>
      <c r="W6" s="442" t="n"/>
    </row>
    <row r="7" customFormat="1" s="347">
      <c r="B7" s="101" t="inlineStr">
        <is>
          <t>20</t>
        </is>
      </c>
      <c r="C7" s="347" t="inlineStr">
        <is>
          <t>5. Lợi nhuận gộp về bán hàng và cung cấp dịch vụ (20 = 10 - 11)</t>
        </is>
      </c>
      <c r="D7" s="479" t="inlineStr">
        <is>
          <t>Gross profit</t>
        </is>
      </c>
      <c r="E7" s="480" t="n">
        <v>230818</v>
      </c>
      <c r="F7" s="480" t="n">
        <v>420296</v>
      </c>
      <c r="G7" s="480" t="n">
        <v>264618</v>
      </c>
      <c r="H7" s="480" t="n">
        <v>409944</v>
      </c>
      <c r="I7" s="480" t="n">
        <v>-169903</v>
      </c>
      <c r="J7" s="480" t="n"/>
      <c r="K7" s="480" t="n"/>
      <c r="L7" s="480" t="n"/>
      <c r="M7" s="480" t="n"/>
      <c r="N7" s="480" t="n"/>
      <c r="O7" s="480" t="n"/>
      <c r="P7" s="480" t="n"/>
      <c r="Q7" s="480" t="n"/>
      <c r="R7" s="480" t="n"/>
      <c r="S7" s="480" t="n"/>
      <c r="T7" s="480" t="n"/>
      <c r="U7" s="480" t="n"/>
      <c r="V7" s="480" t="n"/>
      <c r="W7" s="480" t="n"/>
    </row>
    <row r="8">
      <c r="B8" s="100" t="inlineStr">
        <is>
          <t>21</t>
        </is>
      </c>
      <c r="C8" s="114" t="inlineStr">
        <is>
          <t>6. Doanh thu hoạt động tài chính</t>
        </is>
      </c>
      <c r="D8" s="481" t="inlineStr">
        <is>
          <t>Interest income and other financial Income / expenses</t>
        </is>
      </c>
      <c r="E8" s="442" t="n">
        <v>26174</v>
      </c>
      <c r="F8" s="442" t="n">
        <v>7383</v>
      </c>
      <c r="G8" s="442" t="n">
        <v>4191</v>
      </c>
      <c r="H8" s="442" t="n">
        <v>19814</v>
      </c>
      <c r="I8" s="442" t="n">
        <v>17175</v>
      </c>
      <c r="J8" s="442" t="n"/>
      <c r="K8" s="442" t="n"/>
      <c r="L8" s="442" t="n"/>
      <c r="M8" s="442" t="n"/>
      <c r="N8" s="442" t="n"/>
      <c r="O8" s="442" t="n"/>
      <c r="P8" s="442" t="n"/>
      <c r="Q8" s="442" t="n"/>
      <c r="R8" s="442" t="n"/>
      <c r="S8" s="442" t="n"/>
      <c r="T8" s="442" t="n"/>
      <c r="U8" s="442" t="n"/>
      <c r="V8" s="442" t="n"/>
      <c r="W8" s="442" t="n"/>
    </row>
    <row r="9">
      <c r="B9" s="100" t="inlineStr">
        <is>
          <t>22</t>
        </is>
      </c>
      <c r="C9" s="114" t="inlineStr">
        <is>
          <t>7. Chi phí tài chính</t>
        </is>
      </c>
      <c r="D9" s="481" t="inlineStr">
        <is>
          <t>Interest income and other financial Income / expenses</t>
        </is>
      </c>
      <c r="E9" s="442" t="n">
        <v>72810</v>
      </c>
      <c r="F9" s="442" t="n">
        <v>137415</v>
      </c>
      <c r="G9" s="442" t="n">
        <v>-71888</v>
      </c>
      <c r="H9" s="442" t="n">
        <v>17191</v>
      </c>
      <c r="I9" s="442" t="n">
        <v>-31272</v>
      </c>
      <c r="J9" s="442" t="n"/>
      <c r="K9" s="442" t="n"/>
      <c r="L9" s="442" t="n"/>
      <c r="M9" s="442" t="n"/>
      <c r="N9" s="442" t="n"/>
      <c r="O9" s="442" t="n"/>
      <c r="P9" s="442" t="n"/>
      <c r="Q9" s="442" t="n"/>
      <c r="R9" s="442" t="n"/>
      <c r="S9" s="442" t="n"/>
      <c r="T9" s="442" t="n"/>
      <c r="U9" s="442" t="n"/>
      <c r="V9" s="442" t="n"/>
      <c r="W9" s="442" t="n"/>
    </row>
    <row r="10">
      <c r="B10" s="100" t="inlineStr">
        <is>
          <t>23</t>
        </is>
      </c>
      <c r="C10" t="inlineStr">
        <is>
          <t xml:space="preserve">  - Trong đó: Chi phí lãi vay </t>
        </is>
      </c>
      <c r="D10" s="481" t="inlineStr">
        <is>
          <t>Total Interest Expense</t>
        </is>
      </c>
      <c r="E10" s="442" t="n">
        <v>56795</v>
      </c>
      <c r="F10" s="442" t="n">
        <v>57156</v>
      </c>
      <c r="G10" s="442" t="n">
        <v>28718</v>
      </c>
      <c r="H10" s="442" t="n">
        <v>13642</v>
      </c>
      <c r="I10" s="442" t="n">
        <v>1119</v>
      </c>
      <c r="J10" s="442" t="n"/>
      <c r="K10" s="442" t="n"/>
      <c r="L10" s="442" t="n"/>
      <c r="M10" s="442" t="n"/>
      <c r="N10" s="442" t="n"/>
      <c r="O10" s="442" t="n"/>
      <c r="P10" s="442" t="n"/>
      <c r="Q10" s="442" t="n"/>
      <c r="R10" s="442" t="n"/>
      <c r="S10" s="442" t="n"/>
      <c r="T10" s="442" t="n"/>
      <c r="U10" s="442" t="n"/>
      <c r="V10" s="442" t="n"/>
      <c r="W10" s="442" t="n"/>
    </row>
    <row r="11">
      <c r="B11" s="229" t="n">
        <v>24</v>
      </c>
      <c r="C11" s="104" t="inlineStr">
        <is>
          <t>Lãi trong công ty liên kết</t>
        </is>
      </c>
      <c r="D11" s="479" t="inlineStr">
        <is>
          <t>Non-operating Items</t>
        </is>
      </c>
      <c r="E11" s="442" t="n">
        <v>-2329</v>
      </c>
      <c r="F11" s="442" t="n">
        <v>-3303</v>
      </c>
      <c r="G11" s="442" t="n">
        <v>-10390</v>
      </c>
      <c r="H11" s="442" t="n">
        <v>-2984</v>
      </c>
      <c r="I11" s="442" t="n"/>
      <c r="J11" s="442" t="n"/>
      <c r="K11" s="442" t="n"/>
      <c r="L11" s="442" t="n"/>
      <c r="M11" s="442" t="n"/>
      <c r="N11" s="442" t="n"/>
      <c r="O11" s="442" t="n"/>
      <c r="P11" s="442" t="n"/>
      <c r="Q11" s="442" t="n"/>
      <c r="R11" s="442" t="n"/>
      <c r="S11" s="442" t="n"/>
      <c r="T11" s="442" t="n"/>
      <c r="U11" s="442" t="n"/>
      <c r="V11" s="442" t="n"/>
      <c r="W11" s="442" t="n"/>
    </row>
    <row r="12">
      <c r="B12" s="229" t="inlineStr">
        <is>
          <t>25</t>
        </is>
      </c>
      <c r="C12" s="114" t="inlineStr">
        <is>
          <t>8. Chi phí bán hàng</t>
        </is>
      </c>
      <c r="D12" s="481" t="inlineStr">
        <is>
          <t>SG and A Expenses</t>
        </is>
      </c>
      <c r="E12" s="442" t="n">
        <v>876</v>
      </c>
      <c r="F12" s="442" t="n">
        <v>10093</v>
      </c>
      <c r="G12" s="442" t="n">
        <v>1184</v>
      </c>
      <c r="H12" s="442" t="n">
        <v>1575</v>
      </c>
      <c r="I12" s="442" t="n">
        <v>326</v>
      </c>
      <c r="J12" s="442" t="n"/>
      <c r="K12" s="442" t="n"/>
      <c r="L12" s="442" t="n"/>
      <c r="M12" s="442" t="n"/>
      <c r="N12" s="442" t="n"/>
      <c r="O12" s="442" t="n"/>
      <c r="P12" s="442" t="n"/>
      <c r="Q12" s="442" t="n"/>
      <c r="R12" s="442" t="n"/>
      <c r="S12" s="442" t="n"/>
      <c r="T12" s="442" t="n"/>
      <c r="U12" s="442" t="n"/>
      <c r="V12" s="442" t="n"/>
      <c r="W12" s="442" t="n"/>
    </row>
    <row r="13">
      <c r="B13" s="229" t="inlineStr">
        <is>
          <t>26</t>
        </is>
      </c>
      <c r="C13" s="114" t="inlineStr">
        <is>
          <t xml:space="preserve">9. Chi phí quản lý doanh nghiệp      </t>
        </is>
      </c>
      <c r="D13" s="481" t="inlineStr">
        <is>
          <t>SG and A Expenses</t>
        </is>
      </c>
      <c r="E13" s="442" t="n">
        <v>96148</v>
      </c>
      <c r="F13" s="442" t="n">
        <v>49766</v>
      </c>
      <c r="G13" s="442" t="n">
        <v>93145</v>
      </c>
      <c r="H13" s="442" t="n">
        <v>77329</v>
      </c>
      <c r="I13" s="442" t="n">
        <v>95265</v>
      </c>
      <c r="J13" s="442" t="n"/>
      <c r="K13" s="442" t="n"/>
      <c r="L13" s="442" t="n"/>
      <c r="M13" s="442" t="n"/>
      <c r="N13" s="442" t="n"/>
      <c r="O13" s="442" t="n"/>
      <c r="P13" s="442" t="n"/>
      <c r="Q13" s="442" t="n"/>
      <c r="R13" s="442" t="n"/>
      <c r="S13" s="442" t="n"/>
      <c r="T13" s="442" t="n"/>
      <c r="U13" s="442" t="n"/>
      <c r="V13" s="442" t="n"/>
      <c r="W13" s="442" t="n"/>
    </row>
    <row r="14" customFormat="1" s="347">
      <c r="B14" s="230" t="inlineStr">
        <is>
          <t>30</t>
        </is>
      </c>
      <c r="C14" s="347" t="inlineStr">
        <is>
          <t>10 Lợi nhuận thuần từ hoạt động kinh doanh {30 = 20 + (21 - 22) - (24 + 25)}</t>
        </is>
      </c>
      <c r="D14" s="345" t="n"/>
      <c r="E14" s="480" t="n">
        <v>84829</v>
      </c>
      <c r="F14" s="480" t="n">
        <v>227103</v>
      </c>
      <c r="G14" s="480" t="n">
        <v>235979</v>
      </c>
      <c r="H14" s="480" t="n">
        <v>330679</v>
      </c>
      <c r="I14" s="480" t="n">
        <v>-217046</v>
      </c>
      <c r="J14" s="480" t="n"/>
      <c r="K14" s="480" t="n"/>
      <c r="L14" s="480" t="n"/>
      <c r="M14" s="480" t="n"/>
      <c r="N14" s="480" t="n"/>
      <c r="O14" s="480" t="n"/>
      <c r="P14" s="480" t="n"/>
      <c r="Q14" s="480" t="n"/>
      <c r="R14" s="480" t="n"/>
      <c r="S14" s="480" t="n"/>
      <c r="T14" s="480" t="n"/>
      <c r="U14" s="480" t="n"/>
      <c r="V14" s="480" t="n"/>
      <c r="W14" s="480" t="n"/>
    </row>
    <row r="15">
      <c r="B15" s="229" t="inlineStr">
        <is>
          <t>31</t>
        </is>
      </c>
      <c r="C15" s="114" t="inlineStr">
        <is>
          <t>11. Thu nhập khác</t>
        </is>
      </c>
      <c r="D15" s="340" t="n"/>
      <c r="E15" s="442" t="n">
        <v>7240</v>
      </c>
      <c r="F15" s="442" t="n">
        <v>13091</v>
      </c>
      <c r="G15" s="442" t="n">
        <v>17372</v>
      </c>
      <c r="H15" s="442" t="n">
        <v>5031</v>
      </c>
      <c r="I15" s="442" t="n">
        <v>15559</v>
      </c>
      <c r="J15" s="442" t="n"/>
      <c r="K15" s="442" t="n"/>
      <c r="L15" s="442" t="n"/>
      <c r="M15" s="442" t="n"/>
      <c r="N15" s="442" t="n"/>
      <c r="O15" s="442" t="n"/>
      <c r="P15" s="442" t="n"/>
      <c r="Q15" s="442" t="n"/>
      <c r="R15" s="442" t="n"/>
      <c r="S15" s="442" t="n"/>
      <c r="T15" s="442" t="n"/>
      <c r="U15" s="442" t="n"/>
      <c r="V15" s="442" t="n"/>
      <c r="W15" s="442" t="n"/>
    </row>
    <row r="16">
      <c r="B16" s="229" t="inlineStr">
        <is>
          <t>32</t>
        </is>
      </c>
      <c r="C16" s="114" t="inlineStr">
        <is>
          <t>12. Chi phí khác</t>
        </is>
      </c>
      <c r="D16" s="340" t="n"/>
      <c r="E16" s="442" t="n">
        <v>6890</v>
      </c>
      <c r="F16" s="442" t="n">
        <v>5115</v>
      </c>
      <c r="G16" s="442" t="n">
        <v>9266</v>
      </c>
      <c r="H16" s="442" t="n">
        <v>6897</v>
      </c>
      <c r="I16" s="442" t="n">
        <v>13423</v>
      </c>
      <c r="J16" s="442" t="n"/>
      <c r="K16" s="442" t="n"/>
      <c r="L16" s="442" t="n"/>
      <c r="M16" s="442" t="n"/>
      <c r="N16" s="442" t="n"/>
      <c r="O16" s="442" t="n"/>
      <c r="P16" s="442" t="n"/>
      <c r="Q16" s="442" t="n"/>
      <c r="R16" s="442" t="n"/>
      <c r="S16" s="442" t="n"/>
      <c r="T16" s="442" t="n"/>
      <c r="U16" s="442" t="n"/>
      <c r="V16" s="442" t="n"/>
      <c r="W16" s="442" t="n"/>
    </row>
    <row r="17" customFormat="1" s="347">
      <c r="B17" s="230" t="inlineStr">
        <is>
          <t>40</t>
        </is>
      </c>
      <c r="C17" s="112" t="inlineStr">
        <is>
          <t>13. Lợi nhuận khác (40 = 31 - 32)</t>
        </is>
      </c>
      <c r="D17" s="479" t="inlineStr">
        <is>
          <t>Non-operating Items</t>
        </is>
      </c>
      <c r="E17" s="480" t="n">
        <v>350</v>
      </c>
      <c r="F17" s="480" t="n">
        <v>7976</v>
      </c>
      <c r="G17" s="480" t="n">
        <v>8106</v>
      </c>
      <c r="H17" s="480" t="n">
        <v>-1866</v>
      </c>
      <c r="I17" s="480" t="n">
        <v>2136</v>
      </c>
      <c r="J17" s="480" t="n"/>
      <c r="K17" s="480" t="n"/>
      <c r="L17" s="480" t="n"/>
      <c r="M17" s="480" t="n"/>
      <c r="N17" s="480" t="n"/>
      <c r="O17" s="480" t="n"/>
      <c r="P17" s="480" t="n"/>
      <c r="Q17" s="480" t="n"/>
      <c r="R17" s="480" t="n"/>
      <c r="S17" s="480" t="n"/>
      <c r="T17" s="480" t="n"/>
      <c r="U17" s="480" t="n"/>
      <c r="V17" s="480" t="n"/>
      <c r="W17" s="480" t="n"/>
    </row>
    <row r="18" customFormat="1" s="347">
      <c r="B18" s="230" t="inlineStr">
        <is>
          <t>50</t>
        </is>
      </c>
      <c r="C18" s="112" t="inlineStr">
        <is>
          <t>14. Tổng lợi nhuận kế toán trước thuế (50 = 30 + 40)</t>
        </is>
      </c>
      <c r="D18" s="345" t="n"/>
      <c r="E18" s="480" t="n">
        <v>85179</v>
      </c>
      <c r="F18" s="480" t="n">
        <v>235079</v>
      </c>
      <c r="G18" s="480" t="n">
        <v>244085</v>
      </c>
      <c r="H18" s="480" t="n">
        <v>328813</v>
      </c>
      <c r="I18" s="480" t="n">
        <v>-214910</v>
      </c>
      <c r="J18" s="480" t="n"/>
      <c r="K18" s="480" t="n"/>
      <c r="L18" s="480" t="n"/>
      <c r="M18" s="480" t="n"/>
      <c r="N18" s="480" t="n"/>
      <c r="O18" s="480" t="n"/>
      <c r="P18" s="480" t="n"/>
      <c r="Q18" s="480" t="n"/>
      <c r="R18" s="480" t="n"/>
      <c r="S18" s="480" t="n"/>
      <c r="T18" s="480" t="n"/>
      <c r="U18" s="480" t="n"/>
      <c r="V18" s="480" t="n"/>
      <c r="W18" s="480" t="n"/>
    </row>
    <row r="19">
      <c r="B19" s="229" t="inlineStr">
        <is>
          <t>51</t>
        </is>
      </c>
      <c r="C19" s="114" t="inlineStr">
        <is>
          <t>15. Chi phí thuế TNDN hiện hành</t>
        </is>
      </c>
      <c r="D19" s="482" t="inlineStr">
        <is>
          <t>Taxation</t>
        </is>
      </c>
      <c r="E19" s="442" t="n">
        <v>25587</v>
      </c>
      <c r="F19" s="442" t="n">
        <v>21979</v>
      </c>
      <c r="G19" s="442" t="n">
        <v>39019</v>
      </c>
      <c r="H19" s="442" t="n">
        <v>62779</v>
      </c>
      <c r="I19" s="442" t="n">
        <v>40842</v>
      </c>
      <c r="J19" s="442" t="n"/>
      <c r="K19" s="442" t="n"/>
      <c r="L19" s="442" t="n"/>
      <c r="M19" s="442" t="n"/>
      <c r="N19" s="442" t="n"/>
      <c r="O19" s="442" t="n"/>
      <c r="P19" s="442" t="n"/>
      <c r="Q19" s="442" t="n"/>
      <c r="R19" s="442" t="n"/>
      <c r="S19" s="442" t="n"/>
      <c r="T19" s="442" t="n"/>
      <c r="U19" s="442" t="n"/>
      <c r="V19" s="442" t="n"/>
      <c r="W19" s="442" t="n"/>
    </row>
    <row r="20">
      <c r="B20" s="229" t="inlineStr">
        <is>
          <t>52</t>
        </is>
      </c>
      <c r="C20" s="114" t="inlineStr">
        <is>
          <t>16. Chi phí thuế TNDN hoãn lại</t>
        </is>
      </c>
      <c r="D20" s="482" t="inlineStr">
        <is>
          <t>Taxation</t>
        </is>
      </c>
      <c r="E20" s="442" t="n">
        <v>-23201</v>
      </c>
      <c r="F20" s="442" t="n">
        <v>6782</v>
      </c>
      <c r="G20" s="442" t="n">
        <v>25911</v>
      </c>
      <c r="H20" s="442" t="n">
        <v>1036</v>
      </c>
      <c r="I20" s="442" t="n">
        <v>2135</v>
      </c>
      <c r="J20" s="442" t="n"/>
      <c r="K20" s="442" t="n"/>
      <c r="L20" s="442" t="n"/>
      <c r="M20" s="442" t="n"/>
      <c r="N20" s="442" t="n"/>
      <c r="O20" s="442" t="n"/>
      <c r="P20" s="442" t="n"/>
      <c r="Q20" s="442" t="n"/>
      <c r="R20" s="442" t="n"/>
      <c r="S20" s="442" t="n"/>
      <c r="T20" s="442" t="n"/>
      <c r="U20" s="442" t="n"/>
      <c r="V20" s="442" t="n"/>
      <c r="W20" s="442" t="n"/>
    </row>
    <row r="21" customFormat="1" s="347">
      <c r="B21" s="230" t="inlineStr">
        <is>
          <t>60</t>
        </is>
      </c>
      <c r="C21" s="112" t="inlineStr">
        <is>
          <t>17. Lợi nhuận sau thuế thu nhập doanh nghiệp (60 = 50 – 51 - 52)</t>
        </is>
      </c>
      <c r="D21" s="345" t="n"/>
      <c r="E21" s="480" t="n">
        <v>82793</v>
      </c>
      <c r="F21" s="480" t="n">
        <v>206318</v>
      </c>
      <c r="G21" s="480" t="n">
        <v>179155</v>
      </c>
      <c r="H21" s="480" t="n">
        <v>264998</v>
      </c>
      <c r="I21" s="480" t="n">
        <v>-257886</v>
      </c>
      <c r="J21" s="480" t="n"/>
      <c r="K21" s="480" t="n"/>
      <c r="L21" s="480" t="n"/>
      <c r="M21" s="480" t="n"/>
      <c r="N21" s="480" t="n"/>
      <c r="O21" s="480" t="n"/>
      <c r="P21" s="480" t="n"/>
      <c r="Q21" s="480" t="n"/>
      <c r="R21" s="480" t="n"/>
      <c r="S21" s="480" t="n"/>
      <c r="T21" s="480" t="n"/>
      <c r="U21" s="480" t="n"/>
      <c r="V21" s="480" t="n"/>
      <c r="W21" s="480" t="n"/>
    </row>
    <row r="22">
      <c r="B22" s="229" t="n">
        <v>61</v>
      </c>
      <c r="C22" s="114" t="inlineStr">
        <is>
          <t>lợi nhuận cty mẹ</t>
        </is>
      </c>
      <c r="D22" s="340" t="n"/>
      <c r="E22" s="442" t="n">
        <v>81191</v>
      </c>
      <c r="F22" s="442" t="n">
        <v>202907</v>
      </c>
      <c r="G22" s="442" t="n">
        <v>176194</v>
      </c>
      <c r="H22" s="442" t="n">
        <v>261689</v>
      </c>
      <c r="I22" s="442" t="n">
        <v>-260369</v>
      </c>
      <c r="J22" s="442" t="n"/>
      <c r="K22" s="442" t="n"/>
      <c r="L22" s="442" t="n"/>
      <c r="M22" s="442" t="n"/>
      <c r="N22" s="442" t="n"/>
      <c r="O22" s="442" t="n"/>
      <c r="P22" s="442" t="n"/>
      <c r="Q22" s="442" t="n"/>
      <c r="R22" s="442" t="n"/>
      <c r="S22" s="442" t="n"/>
      <c r="T22" s="442" t="n"/>
      <c r="U22" s="442" t="n"/>
      <c r="V22" s="442" t="n"/>
      <c r="W22" s="442" t="n"/>
    </row>
    <row r="23">
      <c r="B23" s="229" t="n">
        <v>62</v>
      </c>
      <c r="C23" s="114" t="inlineStr">
        <is>
          <t>lợi ích cổ đông không kiểm soát</t>
        </is>
      </c>
      <c r="D23" s="340" t="n"/>
      <c r="E23" s="442" t="n">
        <v>1602</v>
      </c>
      <c r="F23" s="442" t="n">
        <v>3411</v>
      </c>
      <c r="G23" s="442" t="n">
        <v>2961</v>
      </c>
      <c r="H23" s="442" t="n">
        <v>3309</v>
      </c>
      <c r="I23" s="442" t="n">
        <v>2483</v>
      </c>
      <c r="J23" s="442" t="n"/>
      <c r="K23" s="442" t="n"/>
      <c r="L23" s="442" t="n"/>
      <c r="M23" s="442" t="n"/>
      <c r="N23" s="442" t="n"/>
      <c r="O23" s="442" t="n"/>
      <c r="P23" s="442" t="n"/>
      <c r="Q23" s="442" t="n"/>
      <c r="R23" s="442" t="n"/>
      <c r="S23" s="442" t="n"/>
      <c r="T23" s="442" t="n"/>
      <c r="U23" s="442" t="n"/>
      <c r="V23" s="442" t="n"/>
      <c r="W23" s="442" t="n"/>
    </row>
    <row r="24">
      <c r="B24" s="100" t="inlineStr">
        <is>
          <t>70</t>
        </is>
      </c>
      <c r="C24" s="114" t="inlineStr">
        <is>
          <t>18. Lãi cơ bản trên cổ phiếu (*)</t>
        </is>
      </c>
      <c r="D24" s="340" t="n"/>
      <c r="E24" s="442" t="n">
        <v>87</v>
      </c>
      <c r="F24" s="442" t="n">
        <v>216</v>
      </c>
      <c r="G24" s="442" t="n">
        <v>188</v>
      </c>
      <c r="H24" s="442" t="n">
        <v>279</v>
      </c>
      <c r="I24" s="442" t="n">
        <v>-277</v>
      </c>
      <c r="J24" s="442" t="n"/>
      <c r="K24" s="442" t="n"/>
      <c r="L24" s="442" t="n"/>
      <c r="M24" s="442" t="n"/>
      <c r="N24" s="442" t="n"/>
      <c r="O24" s="442" t="n"/>
      <c r="P24" s="442" t="n"/>
      <c r="Q24" s="442" t="n"/>
      <c r="R24" s="442" t="n"/>
      <c r="S24" s="442" t="n"/>
      <c r="T24" s="442" t="n"/>
      <c r="U24" s="442" t="n"/>
      <c r="V24" s="442" t="n"/>
      <c r="W24" s="442" t="n"/>
    </row>
    <row r="25">
      <c r="B25" s="100" t="inlineStr">
        <is>
          <t>71</t>
        </is>
      </c>
      <c r="C25" s="114" t="inlineStr">
        <is>
          <t>19. Lãi suy giảm trên cổ phiếu</t>
        </is>
      </c>
      <c r="D25" s="340" t="n"/>
      <c r="E25" s="442" t="n">
        <v>87</v>
      </c>
      <c r="F25" s="442" t="n">
        <v>216</v>
      </c>
      <c r="G25" s="442" t="n">
        <v>188</v>
      </c>
      <c r="H25" s="442" t="n">
        <v>279</v>
      </c>
      <c r="I25" s="442" t="n">
        <v>-277</v>
      </c>
      <c r="J25" s="442" t="n"/>
      <c r="K25" s="442" t="n"/>
      <c r="L25" s="442" t="n"/>
      <c r="M25" s="442" t="n"/>
      <c r="N25" s="442" t="n"/>
      <c r="O25" s="442" t="n"/>
      <c r="P25" s="442" t="n"/>
      <c r="Q25" s="442" t="n"/>
      <c r="R25" s="442" t="n"/>
      <c r="S25" s="442" t="n"/>
      <c r="T25" s="442" t="n"/>
      <c r="U25" s="442" t="n"/>
      <c r="V25" s="442" t="n"/>
      <c r="W25" s="44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Duc Vo Tan</dc:creator>
  <dcterms:created xmlns:dcterms="http://purl.org/dc/terms/" xmlns:xsi="http://www.w3.org/2001/XMLSchema-instance" xsi:type="dcterms:W3CDTF">2022-06-20T09:31:01Z</dcterms:created>
  <dcterms:modified xmlns:dcterms="http://purl.org/dc/terms/" xmlns:xsi="http://www.w3.org/2001/XMLSchema-instance" xsi:type="dcterms:W3CDTF">2023-04-24T10:04:23Z</dcterms:modified>
  <cp:lastModifiedBy>HOANG DIGAN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0x010100C817845553B40E4EAE96971B94F2188B</vt:lpwstr>
  </property>
</Properties>
</file>