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C43" i="10" s="1"/>
  <c r="Q37" i="10"/>
  <c r="P37" i="10"/>
  <c r="O37" i="10"/>
  <c r="J37" i="10"/>
  <c r="I37" i="10"/>
  <c r="H37" i="10"/>
  <c r="G37" i="10"/>
  <c r="F37" i="10"/>
  <c r="E37" i="10"/>
  <c r="D37" i="10"/>
  <c r="C37" i="10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D21" i="10" s="1"/>
  <c r="C6" i="10"/>
  <c r="C21" i="10" s="1"/>
  <c r="C32" i="10" s="1"/>
  <c r="Q5" i="10"/>
  <c r="P5" i="10"/>
  <c r="O5" i="10"/>
  <c r="J5" i="10"/>
  <c r="I5" i="10"/>
  <c r="H5" i="10"/>
  <c r="G5" i="10"/>
  <c r="F5" i="10"/>
  <c r="E5" i="10"/>
  <c r="D3" i="10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D25" i="8" s="1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I14" i="8"/>
  <c r="H14" i="8"/>
  <c r="G14" i="8"/>
  <c r="F14" i="8"/>
  <c r="E14" i="8"/>
  <c r="D14" i="8"/>
  <c r="Q13" i="8"/>
  <c r="P13" i="8"/>
  <c r="O13" i="8"/>
  <c r="J13" i="8"/>
  <c r="I13" i="8"/>
  <c r="H13" i="8"/>
  <c r="G13" i="8"/>
  <c r="F13" i="8"/>
  <c r="E13" i="8"/>
  <c r="D13" i="8"/>
  <c r="Q12" i="8"/>
  <c r="P12" i="8"/>
  <c r="O12" i="8"/>
  <c r="J12" i="8"/>
  <c r="I12" i="8"/>
  <c r="H12" i="8"/>
  <c r="G12" i="8"/>
  <c r="F12" i="8"/>
  <c r="E12" i="8"/>
  <c r="D12" i="8"/>
  <c r="Q11" i="8"/>
  <c r="P11" i="8"/>
  <c r="O11" i="8"/>
  <c r="J11" i="8"/>
  <c r="I11" i="8"/>
  <c r="H11" i="8"/>
  <c r="G11" i="8"/>
  <c r="F11" i="8"/>
  <c r="E11" i="8"/>
  <c r="Q10" i="8"/>
  <c r="P10" i="8"/>
  <c r="O10" i="8"/>
  <c r="J10" i="8"/>
  <c r="I10" i="8"/>
  <c r="H10" i="8"/>
  <c r="G10" i="8"/>
  <c r="F10" i="8"/>
  <c r="E10" i="8"/>
  <c r="D10" i="8"/>
  <c r="C10" i="8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F8" i="8"/>
  <c r="E8" i="8"/>
  <c r="D8" i="8"/>
  <c r="C8" i="8"/>
  <c r="Q7" i="8"/>
  <c r="P7" i="8"/>
  <c r="O7" i="8"/>
  <c r="J7" i="8"/>
  <c r="I7" i="8"/>
  <c r="H7" i="8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J4" i="8" s="1"/>
  <c r="I5" i="8"/>
  <c r="H5" i="8"/>
  <c r="G5" i="8"/>
  <c r="G4" i="8" s="1"/>
  <c r="F5" i="8"/>
  <c r="E5" i="8"/>
  <c r="E4" i="8" s="1"/>
  <c r="D5" i="8"/>
  <c r="D4" i="8" s="1"/>
  <c r="C5" i="8"/>
  <c r="C4" i="8" s="1"/>
  <c r="I4" i="8"/>
  <c r="H4" i="8"/>
  <c r="F4" i="8"/>
  <c r="D3" i="8"/>
  <c r="E3" i="8" s="1"/>
  <c r="F3" i="8" s="1"/>
  <c r="G3" i="8" s="1"/>
  <c r="H3" i="8" s="1"/>
  <c r="I3" i="8" s="1"/>
  <c r="J3" i="8" s="1"/>
  <c r="K3" i="8" s="1"/>
  <c r="L3" i="8" s="1"/>
  <c r="M3" i="8" s="1"/>
  <c r="N3" i="8" s="1"/>
  <c r="N74" i="6"/>
  <c r="M74" i="6"/>
  <c r="M69" i="6" s="1"/>
  <c r="M68" i="6" s="1"/>
  <c r="M78" i="6" s="1"/>
  <c r="L74" i="6"/>
  <c r="L69" i="6" s="1"/>
  <c r="L68" i="6" s="1"/>
  <c r="K74" i="6"/>
  <c r="J74" i="6"/>
  <c r="J69" i="6" s="1"/>
  <c r="J68" i="6" s="1"/>
  <c r="J78" i="6" s="1"/>
  <c r="I74" i="6"/>
  <c r="H74" i="6"/>
  <c r="G74" i="6"/>
  <c r="F74" i="6"/>
  <c r="F69" i="6" s="1"/>
  <c r="F68" i="6" s="1"/>
  <c r="F78" i="6" s="1"/>
  <c r="E74" i="6"/>
  <c r="E69" i="6" s="1"/>
  <c r="E68" i="6" s="1"/>
  <c r="E78" i="6" s="1"/>
  <c r="D74" i="6"/>
  <c r="D69" i="6" s="1"/>
  <c r="D68" i="6" s="1"/>
  <c r="D78" i="6" s="1"/>
  <c r="C74" i="6"/>
  <c r="C69" i="6" s="1"/>
  <c r="C68" i="6" s="1"/>
  <c r="N69" i="6"/>
  <c r="N68" i="6" s="1"/>
  <c r="N78" i="6" s="1"/>
  <c r="K69" i="6"/>
  <c r="I69" i="6"/>
  <c r="H69" i="6"/>
  <c r="G69" i="6"/>
  <c r="K68" i="6"/>
  <c r="I68" i="6"/>
  <c r="H68" i="6"/>
  <c r="G68" i="6"/>
  <c r="G78" i="6" s="1"/>
  <c r="W63" i="6"/>
  <c r="W70" i="6" s="1"/>
  <c r="W72" i="6" s="1"/>
  <c r="W73" i="6" s="1"/>
  <c r="Y73" i="6" s="1"/>
  <c r="N62" i="6"/>
  <c r="M62" i="6"/>
  <c r="L62" i="6"/>
  <c r="L50" i="6" s="1"/>
  <c r="K62" i="6"/>
  <c r="K50" i="6" s="1"/>
  <c r="J62" i="6"/>
  <c r="I62" i="6"/>
  <c r="I50" i="6" s="1"/>
  <c r="H62" i="6"/>
  <c r="G62" i="6"/>
  <c r="F62" i="6"/>
  <c r="E62" i="6"/>
  <c r="D62" i="6"/>
  <c r="C62" i="6"/>
  <c r="C50" i="6" s="1"/>
  <c r="W55" i="6"/>
  <c r="W57" i="6" s="1"/>
  <c r="W59" i="6" s="1"/>
  <c r="W61" i="6" s="1"/>
  <c r="W54" i="6"/>
  <c r="N51" i="6"/>
  <c r="M51" i="6"/>
  <c r="L51" i="6"/>
  <c r="K51" i="6"/>
  <c r="J51" i="6"/>
  <c r="I51" i="6"/>
  <c r="H51" i="6"/>
  <c r="G51" i="6"/>
  <c r="F51" i="6"/>
  <c r="E51" i="6"/>
  <c r="D51" i="6"/>
  <c r="C51" i="6"/>
  <c r="N50" i="6"/>
  <c r="M50" i="6"/>
  <c r="J50" i="6"/>
  <c r="H50" i="6"/>
  <c r="G50" i="6"/>
  <c r="F50" i="6"/>
  <c r="E50" i="6"/>
  <c r="D50" i="6"/>
  <c r="N44" i="6"/>
  <c r="M44" i="6"/>
  <c r="L44" i="6"/>
  <c r="K44" i="6"/>
  <c r="K24" i="6" s="1"/>
  <c r="J44" i="6"/>
  <c r="I44" i="6"/>
  <c r="H44" i="6"/>
  <c r="G44" i="6"/>
  <c r="F44" i="6"/>
  <c r="E44" i="6"/>
  <c r="D44" i="6"/>
  <c r="C44" i="6"/>
  <c r="N40" i="6"/>
  <c r="M40" i="6"/>
  <c r="L40" i="6"/>
  <c r="K40" i="6"/>
  <c r="J40" i="6"/>
  <c r="I40" i="6"/>
  <c r="H40" i="6"/>
  <c r="G40" i="6"/>
  <c r="F40" i="6"/>
  <c r="E40" i="6"/>
  <c r="D40" i="6"/>
  <c r="C40" i="6"/>
  <c r="W39" i="6"/>
  <c r="W40" i="6" s="1"/>
  <c r="W42" i="6" s="1"/>
  <c r="W43" i="6" s="1"/>
  <c r="W44" i="6" s="1"/>
  <c r="W45" i="6" s="1"/>
  <c r="W46" i="6" s="1"/>
  <c r="N38" i="6"/>
  <c r="M38" i="6"/>
  <c r="M24" i="6" s="1"/>
  <c r="L38" i="6"/>
  <c r="K38" i="6"/>
  <c r="J38" i="6"/>
  <c r="I38" i="6"/>
  <c r="H38" i="6"/>
  <c r="G38" i="6"/>
  <c r="F38" i="6"/>
  <c r="E38" i="6"/>
  <c r="D38" i="6"/>
  <c r="D24" i="6" s="1"/>
  <c r="C38" i="6"/>
  <c r="K35" i="6"/>
  <c r="J35" i="6"/>
  <c r="I35" i="6"/>
  <c r="I31" i="6" s="1"/>
  <c r="H35" i="6"/>
  <c r="G35" i="6"/>
  <c r="W32" i="6"/>
  <c r="W33" i="6" s="1"/>
  <c r="W34" i="6" s="1"/>
  <c r="W35" i="6" s="1"/>
  <c r="W36" i="6" s="1"/>
  <c r="W37" i="6" s="1"/>
  <c r="W38" i="6" s="1"/>
  <c r="N32" i="6"/>
  <c r="M32" i="6"/>
  <c r="L32" i="6"/>
  <c r="K32" i="6"/>
  <c r="K31" i="6" s="1"/>
  <c r="J32" i="6"/>
  <c r="J31" i="6" s="1"/>
  <c r="I32" i="6"/>
  <c r="H32" i="6"/>
  <c r="G32" i="6"/>
  <c r="G31" i="6" s="1"/>
  <c r="G24" i="6" s="1"/>
  <c r="G48" i="6" s="1"/>
  <c r="G79" i="6" s="1"/>
  <c r="N31" i="6"/>
  <c r="M31" i="6"/>
  <c r="L31" i="6"/>
  <c r="L24" i="6" s="1"/>
  <c r="H31" i="6"/>
  <c r="H24" i="6" s="1"/>
  <c r="H48" i="6" s="1"/>
  <c r="F31" i="6"/>
  <c r="F24" i="6" s="1"/>
  <c r="E31" i="6"/>
  <c r="E24" i="6" s="1"/>
  <c r="D31" i="6"/>
  <c r="C31" i="6"/>
  <c r="W30" i="6"/>
  <c r="W31" i="6" s="1"/>
  <c r="W29" i="6"/>
  <c r="N25" i="6"/>
  <c r="M25" i="6"/>
  <c r="L25" i="6"/>
  <c r="K25" i="6"/>
  <c r="J25" i="6"/>
  <c r="I25" i="6"/>
  <c r="H25" i="6"/>
  <c r="G25" i="6"/>
  <c r="C24" i="6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M3" i="6"/>
  <c r="M23" i="6" s="1"/>
  <c r="L3" i="6"/>
  <c r="L23" i="6" s="1"/>
  <c r="K3" i="6"/>
  <c r="K23" i="6" s="1"/>
  <c r="J3" i="6"/>
  <c r="J23" i="6" s="1"/>
  <c r="I3" i="6"/>
  <c r="I23" i="6" s="1"/>
  <c r="H3" i="6"/>
  <c r="H23" i="6" s="1"/>
  <c r="G3" i="6"/>
  <c r="G23" i="6" s="1"/>
  <c r="F3" i="6"/>
  <c r="F23" i="6" s="1"/>
  <c r="E3" i="6"/>
  <c r="E23" i="6" s="1"/>
  <c r="D3" i="6"/>
  <c r="D23" i="6" s="1"/>
  <c r="C3" i="6"/>
  <c r="C23" i="6" s="1"/>
  <c r="K2" i="6"/>
  <c r="L2" i="6" s="1"/>
  <c r="M2" i="6" s="1"/>
  <c r="N2" i="6" s="1"/>
  <c r="D2" i="6"/>
  <c r="E2" i="6" s="1"/>
  <c r="F2" i="6" s="1"/>
  <c r="G2" i="6" s="1"/>
  <c r="H2" i="6" s="1"/>
  <c r="I2" i="6" s="1"/>
  <c r="J2" i="6" s="1"/>
  <c r="H18" i="4"/>
  <c r="H19" i="4" s="1"/>
  <c r="G13" i="4"/>
  <c r="G12" i="4"/>
  <c r="H12" i="4" s="1"/>
  <c r="G9" i="4"/>
  <c r="H9" i="4" s="1"/>
  <c r="I9" i="4" s="1"/>
  <c r="I18" i="4" s="1"/>
  <c r="I19" i="4" s="1"/>
  <c r="H6" i="4"/>
  <c r="I6" i="4" s="1"/>
  <c r="G6" i="4"/>
  <c r="J67" i="2"/>
  <c r="I67" i="2"/>
  <c r="H67" i="2"/>
  <c r="G67" i="2"/>
  <c r="F67" i="2"/>
  <c r="E67" i="2"/>
  <c r="D67" i="2"/>
  <c r="C67" i="2"/>
  <c r="J66" i="2"/>
  <c r="I66" i="2"/>
  <c r="H66" i="2"/>
  <c r="G66" i="2"/>
  <c r="F66" i="2"/>
  <c r="E66" i="2"/>
  <c r="D66" i="2"/>
  <c r="C66" i="2"/>
  <c r="J65" i="2"/>
  <c r="I65" i="2"/>
  <c r="H65" i="2"/>
  <c r="G65" i="2"/>
  <c r="F65" i="2"/>
  <c r="E65" i="2"/>
  <c r="D65" i="2"/>
  <c r="C65" i="2"/>
  <c r="I63" i="2"/>
  <c r="J61" i="2"/>
  <c r="I61" i="2"/>
  <c r="H61" i="2"/>
  <c r="G61" i="2"/>
  <c r="F61" i="2"/>
  <c r="E61" i="2"/>
  <c r="D61" i="2"/>
  <c r="C61" i="2"/>
  <c r="M60" i="2"/>
  <c r="L60" i="2"/>
  <c r="K60" i="2"/>
  <c r="J60" i="2"/>
  <c r="I60" i="2"/>
  <c r="H60" i="2"/>
  <c r="G60" i="2"/>
  <c r="F60" i="2"/>
  <c r="E60" i="2"/>
  <c r="D60" i="2"/>
  <c r="D63" i="2" s="1"/>
  <c r="C60" i="2"/>
  <c r="K59" i="2"/>
  <c r="J58" i="2"/>
  <c r="I58" i="2"/>
  <c r="H58" i="2"/>
  <c r="G58" i="2"/>
  <c r="F58" i="2"/>
  <c r="E58" i="2"/>
  <c r="D58" i="2"/>
  <c r="C58" i="2"/>
  <c r="J57" i="2"/>
  <c r="I57" i="2"/>
  <c r="H57" i="2"/>
  <c r="G57" i="2"/>
  <c r="F57" i="2"/>
  <c r="E57" i="2"/>
  <c r="D57" i="2"/>
  <c r="C57" i="2"/>
  <c r="J56" i="2"/>
  <c r="I56" i="2"/>
  <c r="H56" i="2"/>
  <c r="G56" i="2"/>
  <c r="F56" i="2"/>
  <c r="E56" i="2"/>
  <c r="D56" i="2"/>
  <c r="C56" i="2"/>
  <c r="J55" i="2"/>
  <c r="I55" i="2"/>
  <c r="H55" i="2"/>
  <c r="G55" i="2"/>
  <c r="F55" i="2"/>
  <c r="E55" i="2"/>
  <c r="T50" i="2" s="1"/>
  <c r="D55" i="2"/>
  <c r="C55" i="2"/>
  <c r="AB54" i="2"/>
  <c r="AA54" i="2"/>
  <c r="Z54" i="2"/>
  <c r="J54" i="2"/>
  <c r="I54" i="2"/>
  <c r="H54" i="2"/>
  <c r="G54" i="2"/>
  <c r="F54" i="2"/>
  <c r="E54" i="2"/>
  <c r="D54" i="2"/>
  <c r="C54" i="2"/>
  <c r="J53" i="2"/>
  <c r="I53" i="2"/>
  <c r="H53" i="2"/>
  <c r="H64" i="2" s="1"/>
  <c r="H68" i="2" s="1"/>
  <c r="G53" i="2"/>
  <c r="F53" i="2"/>
  <c r="F64" i="2" s="1"/>
  <c r="F68" i="2" s="1"/>
  <c r="E53" i="2"/>
  <c r="D53" i="2"/>
  <c r="C53" i="2"/>
  <c r="V52" i="2"/>
  <c r="S52" i="2"/>
  <c r="S50" i="2"/>
  <c r="J50" i="2"/>
  <c r="I50" i="2"/>
  <c r="H50" i="2"/>
  <c r="G50" i="2"/>
  <c r="F50" i="2"/>
  <c r="E50" i="2"/>
  <c r="D50" i="2"/>
  <c r="C50" i="2"/>
  <c r="W49" i="2"/>
  <c r="J49" i="2"/>
  <c r="I49" i="2"/>
  <c r="H49" i="2"/>
  <c r="G49" i="2"/>
  <c r="F49" i="2"/>
  <c r="E49" i="2"/>
  <c r="D49" i="2"/>
  <c r="S53" i="2" s="1"/>
  <c r="C49" i="2"/>
  <c r="V48" i="2"/>
  <c r="J48" i="2"/>
  <c r="I48" i="2"/>
  <c r="H48" i="2"/>
  <c r="G48" i="2"/>
  <c r="F48" i="2"/>
  <c r="F51" i="2" s="1"/>
  <c r="E48" i="2"/>
  <c r="D48" i="2"/>
  <c r="C48" i="2"/>
  <c r="C51" i="2" s="1"/>
  <c r="M47" i="2"/>
  <c r="L47" i="2"/>
  <c r="K47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E46" i="2"/>
  <c r="D46" i="2"/>
  <c r="C46" i="2"/>
  <c r="J45" i="2"/>
  <c r="I45" i="2"/>
  <c r="H45" i="2"/>
  <c r="W51" i="2" s="1"/>
  <c r="G45" i="2"/>
  <c r="F45" i="2"/>
  <c r="U51" i="2" s="1"/>
  <c r="E45" i="2"/>
  <c r="T51" i="2" s="1"/>
  <c r="D45" i="2"/>
  <c r="C45" i="2"/>
  <c r="R51" i="2" s="1"/>
  <c r="J44" i="2"/>
  <c r="I44" i="2"/>
  <c r="X48" i="2" s="1"/>
  <c r="H44" i="2"/>
  <c r="W48" i="2" s="1"/>
  <c r="G44" i="2"/>
  <c r="F44" i="2"/>
  <c r="U48" i="2" s="1"/>
  <c r="E44" i="2"/>
  <c r="T48" i="2" s="1"/>
  <c r="D44" i="2"/>
  <c r="C44" i="2"/>
  <c r="R48" i="2" s="1"/>
  <c r="AB43" i="2"/>
  <c r="Y43" i="2"/>
  <c r="V43" i="2"/>
  <c r="J43" i="2"/>
  <c r="Y47" i="2" s="1"/>
  <c r="I43" i="2"/>
  <c r="X52" i="2" s="1"/>
  <c r="H43" i="2"/>
  <c r="W52" i="2" s="1"/>
  <c r="G43" i="2"/>
  <c r="F43" i="2"/>
  <c r="U52" i="2" s="1"/>
  <c r="E43" i="2"/>
  <c r="T47" i="2" s="1"/>
  <c r="D43" i="2"/>
  <c r="S47" i="2" s="1"/>
  <c r="C43" i="2"/>
  <c r="J42" i="2"/>
  <c r="J51" i="2" s="1"/>
  <c r="I42" i="2"/>
  <c r="I51" i="2" s="1"/>
  <c r="H42" i="2"/>
  <c r="G42" i="2"/>
  <c r="G51" i="2" s="1"/>
  <c r="F42" i="2"/>
  <c r="E42" i="2"/>
  <c r="E51" i="2" s="1"/>
  <c r="D42" i="2"/>
  <c r="D51" i="2" s="1"/>
  <c r="C42" i="2"/>
  <c r="AA40" i="2"/>
  <c r="M40" i="2"/>
  <c r="L40" i="2"/>
  <c r="K40" i="2"/>
  <c r="Z18" i="2" s="1"/>
  <c r="Z40" i="2" s="1"/>
  <c r="J40" i="2"/>
  <c r="I40" i="2"/>
  <c r="H40" i="2"/>
  <c r="W18" i="2" s="1"/>
  <c r="W40" i="2" s="1"/>
  <c r="G40" i="2"/>
  <c r="F40" i="2"/>
  <c r="E40" i="2"/>
  <c r="T18" i="2" s="1"/>
  <c r="T40" i="2" s="1"/>
  <c r="Y34" i="2"/>
  <c r="X34" i="2"/>
  <c r="W34" i="2"/>
  <c r="V34" i="2"/>
  <c r="U34" i="2"/>
  <c r="T34" i="2"/>
  <c r="S34" i="2"/>
  <c r="R34" i="2"/>
  <c r="J34" i="2"/>
  <c r="I34" i="2"/>
  <c r="H34" i="2"/>
  <c r="G34" i="2"/>
  <c r="F34" i="2"/>
  <c r="E34" i="2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H28" i="2"/>
  <c r="G28" i="2"/>
  <c r="F28" i="2"/>
  <c r="E28" i="2"/>
  <c r="D28" i="2"/>
  <c r="C28" i="2"/>
  <c r="Y27" i="2"/>
  <c r="X27" i="2"/>
  <c r="W27" i="2"/>
  <c r="W54" i="2" s="1"/>
  <c r="V27" i="2"/>
  <c r="U27" i="2"/>
  <c r="T27" i="2"/>
  <c r="T55" i="2" s="1"/>
  <c r="S27" i="2"/>
  <c r="S54" i="2" s="1"/>
  <c r="R27" i="2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G25" i="2"/>
  <c r="G29" i="2" s="1"/>
  <c r="G31" i="2" s="1"/>
  <c r="Y24" i="2"/>
  <c r="X24" i="2"/>
  <c r="W24" i="2"/>
  <c r="V24" i="2"/>
  <c r="U24" i="2"/>
  <c r="T24" i="2"/>
  <c r="S24" i="2"/>
  <c r="R24" i="2"/>
  <c r="J23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G22" i="2"/>
  <c r="V44" i="2" s="1"/>
  <c r="F22" i="2"/>
  <c r="AB21" i="2"/>
  <c r="AA21" i="2"/>
  <c r="Z21" i="2"/>
  <c r="Y21" i="2"/>
  <c r="X21" i="2"/>
  <c r="W21" i="2"/>
  <c r="V21" i="2"/>
  <c r="U21" i="2"/>
  <c r="T21" i="2"/>
  <c r="S21" i="2"/>
  <c r="R21" i="2"/>
  <c r="L21" i="2"/>
  <c r="L22" i="2" s="1"/>
  <c r="I21" i="2"/>
  <c r="H21" i="2"/>
  <c r="G21" i="2"/>
  <c r="V51" i="2" s="1"/>
  <c r="F21" i="2"/>
  <c r="E21" i="2"/>
  <c r="D21" i="2"/>
  <c r="S48" i="2" s="1"/>
  <c r="C21" i="2"/>
  <c r="R49" i="2" s="1"/>
  <c r="M20" i="2"/>
  <c r="M21" i="2" s="1"/>
  <c r="L20" i="2"/>
  <c r="AA55" i="2" s="1"/>
  <c r="K20" i="2"/>
  <c r="K21" i="2" s="1"/>
  <c r="J20" i="2"/>
  <c r="J21" i="2" s="1"/>
  <c r="I20" i="2"/>
  <c r="H20" i="2"/>
  <c r="G20" i="2"/>
  <c r="V53" i="2" s="1"/>
  <c r="F20" i="2"/>
  <c r="U50" i="2" s="1"/>
  <c r="E20" i="2"/>
  <c r="E22" i="2" s="1"/>
  <c r="D20" i="2"/>
  <c r="C20" i="2"/>
  <c r="AB18" i="2"/>
  <c r="AB40" i="2" s="1"/>
  <c r="AA18" i="2"/>
  <c r="Y18" i="2"/>
  <c r="Y40" i="2" s="1"/>
  <c r="X18" i="2"/>
  <c r="X40" i="2" s="1"/>
  <c r="V18" i="2"/>
  <c r="V40" i="2" s="1"/>
  <c r="U18" i="2"/>
  <c r="U40" i="2" s="1"/>
  <c r="D18" i="2"/>
  <c r="D40" i="2" s="1"/>
  <c r="S18" i="2" s="1"/>
  <c r="S40" i="2" s="1"/>
  <c r="C18" i="2"/>
  <c r="C40" i="2" s="1"/>
  <c r="R18" i="2" s="1"/>
  <c r="R40" i="2" s="1"/>
  <c r="C14" i="2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G49" i="1"/>
  <c r="H48" i="1"/>
  <c r="E48" i="1"/>
  <c r="J47" i="1"/>
  <c r="I47" i="1"/>
  <c r="H47" i="1"/>
  <c r="G47" i="1"/>
  <c r="F47" i="1"/>
  <c r="E47" i="1"/>
  <c r="D47" i="1"/>
  <c r="C47" i="1"/>
  <c r="C48" i="1" s="1"/>
  <c r="J46" i="1"/>
  <c r="J48" i="1" s="1"/>
  <c r="I46" i="1"/>
  <c r="I48" i="1" s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R41" i="1"/>
  <c r="J41" i="1"/>
  <c r="I41" i="1"/>
  <c r="H41" i="1"/>
  <c r="G41" i="1"/>
  <c r="F41" i="1"/>
  <c r="E41" i="1"/>
  <c r="D41" i="1"/>
  <c r="C41" i="1"/>
  <c r="O40" i="1"/>
  <c r="J40" i="1"/>
  <c r="I40" i="1"/>
  <c r="I49" i="1" s="1"/>
  <c r="H40" i="1"/>
  <c r="G40" i="1"/>
  <c r="F40" i="1"/>
  <c r="E40" i="1"/>
  <c r="E49" i="1" s="1"/>
  <c r="D40" i="1"/>
  <c r="C40" i="1"/>
  <c r="C49" i="1" s="1"/>
  <c r="P38" i="1"/>
  <c r="J38" i="1"/>
  <c r="J37" i="1"/>
  <c r="I37" i="1"/>
  <c r="H37" i="1"/>
  <c r="G37" i="1"/>
  <c r="F37" i="1"/>
  <c r="E37" i="1"/>
  <c r="D37" i="1"/>
  <c r="C37" i="1"/>
  <c r="T36" i="1"/>
  <c r="J36" i="1"/>
  <c r="I36" i="1"/>
  <c r="H36" i="1"/>
  <c r="G36" i="1"/>
  <c r="F36" i="1"/>
  <c r="E36" i="1"/>
  <c r="D36" i="1"/>
  <c r="C36" i="1"/>
  <c r="T35" i="1"/>
  <c r="R35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P31" i="1"/>
  <c r="J31" i="1"/>
  <c r="I31" i="1"/>
  <c r="H31" i="1"/>
  <c r="G31" i="1"/>
  <c r="F31" i="1"/>
  <c r="E31" i="1"/>
  <c r="D31" i="1"/>
  <c r="C31" i="1"/>
  <c r="S30" i="1"/>
  <c r="Q30" i="1"/>
  <c r="J30" i="1"/>
  <c r="I30" i="1"/>
  <c r="T38" i="1" s="1"/>
  <c r="H30" i="1"/>
  <c r="G30" i="1"/>
  <c r="F30" i="1"/>
  <c r="E30" i="1"/>
  <c r="D30" i="1"/>
  <c r="C30" i="1"/>
  <c r="J29" i="1"/>
  <c r="I29" i="1"/>
  <c r="H29" i="1"/>
  <c r="G29" i="1"/>
  <c r="F29" i="1"/>
  <c r="E29" i="1"/>
  <c r="D29" i="1"/>
  <c r="C29" i="1"/>
  <c r="G27" i="1"/>
  <c r="G27" i="3" s="1"/>
  <c r="D27" i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I22" i="1"/>
  <c r="H22" i="1"/>
  <c r="G22" i="1"/>
  <c r="F22" i="1"/>
  <c r="E22" i="1"/>
  <c r="D22" i="1"/>
  <c r="C22" i="1"/>
  <c r="J21" i="1"/>
  <c r="I21" i="1"/>
  <c r="H21" i="1"/>
  <c r="G21" i="1"/>
  <c r="F21" i="1"/>
  <c r="E21" i="1"/>
  <c r="D21" i="1"/>
  <c r="C21" i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E18" i="1"/>
  <c r="E18" i="3" s="1"/>
  <c r="D18" i="1"/>
  <c r="D18" i="3" s="1"/>
  <c r="C18" i="1"/>
  <c r="U17" i="1"/>
  <c r="T17" i="1"/>
  <c r="S17" i="1"/>
  <c r="R17" i="1"/>
  <c r="Q17" i="1"/>
  <c r="P17" i="1"/>
  <c r="O17" i="1"/>
  <c r="N17" i="1"/>
  <c r="J17" i="1"/>
  <c r="I17" i="1"/>
  <c r="I17" i="3" s="1"/>
  <c r="H17" i="1"/>
  <c r="H17" i="3" s="1"/>
  <c r="G17" i="1"/>
  <c r="F17" i="1"/>
  <c r="E17" i="1"/>
  <c r="D17" i="1"/>
  <c r="C17" i="1"/>
  <c r="U16" i="1"/>
  <c r="T16" i="1"/>
  <c r="S16" i="1"/>
  <c r="R16" i="1"/>
  <c r="Q16" i="1"/>
  <c r="P16" i="1"/>
  <c r="O16" i="1"/>
  <c r="N16" i="1"/>
  <c r="J16" i="1"/>
  <c r="I16" i="1"/>
  <c r="H16" i="1"/>
  <c r="G16" i="1"/>
  <c r="F16" i="1"/>
  <c r="E16" i="1"/>
  <c r="D16" i="1"/>
  <c r="C16" i="1"/>
  <c r="U14" i="1"/>
  <c r="T14" i="1"/>
  <c r="S14" i="1"/>
  <c r="S41" i="1" s="1"/>
  <c r="R14" i="1"/>
  <c r="Q14" i="1"/>
  <c r="P14" i="1"/>
  <c r="O14" i="1"/>
  <c r="N14" i="1"/>
  <c r="J14" i="1"/>
  <c r="I14" i="1"/>
  <c r="H14" i="1"/>
  <c r="G14" i="1"/>
  <c r="G14" i="3" s="1"/>
  <c r="F14" i="1"/>
  <c r="F14" i="3" s="1"/>
  <c r="E14" i="1"/>
  <c r="E14" i="3" s="1"/>
  <c r="D14" i="1"/>
  <c r="D14" i="3" s="1"/>
  <c r="C14" i="1"/>
  <c r="J13" i="1"/>
  <c r="J13" i="3" s="1"/>
  <c r="I13" i="1"/>
  <c r="H13" i="1"/>
  <c r="H13" i="3" s="1"/>
  <c r="G13" i="1"/>
  <c r="F13" i="1"/>
  <c r="F13" i="3" s="1"/>
  <c r="E13" i="1"/>
  <c r="E13" i="3" s="1"/>
  <c r="D13" i="1"/>
  <c r="C13" i="1"/>
  <c r="U12" i="1"/>
  <c r="T12" i="1"/>
  <c r="S12" i="1"/>
  <c r="R12" i="1"/>
  <c r="Q12" i="1"/>
  <c r="P12" i="1"/>
  <c r="O12" i="1"/>
  <c r="N12" i="1"/>
  <c r="U10" i="1"/>
  <c r="T10" i="1"/>
  <c r="S10" i="1"/>
  <c r="R10" i="1"/>
  <c r="Q10" i="1"/>
  <c r="P10" i="1"/>
  <c r="O10" i="1"/>
  <c r="N10" i="1"/>
  <c r="J10" i="1"/>
  <c r="I10" i="1"/>
  <c r="H10" i="1"/>
  <c r="G10" i="1"/>
  <c r="F10" i="1"/>
  <c r="E10" i="1"/>
  <c r="D10" i="1"/>
  <c r="C10" i="1"/>
  <c r="U9" i="1"/>
  <c r="T9" i="1"/>
  <c r="S9" i="1"/>
  <c r="R9" i="1"/>
  <c r="Q9" i="1"/>
  <c r="P9" i="1"/>
  <c r="O9" i="1"/>
  <c r="N9" i="1"/>
  <c r="G9" i="1"/>
  <c r="F9" i="1"/>
  <c r="F12" i="1" s="1"/>
  <c r="E9" i="1"/>
  <c r="E12" i="1" s="1"/>
  <c r="D9" i="1"/>
  <c r="D12" i="1" s="1"/>
  <c r="J8" i="1"/>
  <c r="I8" i="1"/>
  <c r="I8" i="3" s="1"/>
  <c r="H8" i="1"/>
  <c r="G8" i="1"/>
  <c r="F8" i="1"/>
  <c r="F8" i="3" s="1"/>
  <c r="E8" i="1"/>
  <c r="D8" i="1"/>
  <c r="C8" i="1"/>
  <c r="U7" i="1"/>
  <c r="T7" i="1"/>
  <c r="S7" i="1"/>
  <c r="R7" i="1"/>
  <c r="Q7" i="1"/>
  <c r="P7" i="1"/>
  <c r="O7" i="1"/>
  <c r="N7" i="1"/>
  <c r="J7" i="1"/>
  <c r="J9" i="1" s="1"/>
  <c r="I7" i="1"/>
  <c r="I9" i="1" s="1"/>
  <c r="H7" i="1"/>
  <c r="H9" i="1" s="1"/>
  <c r="G7" i="1"/>
  <c r="R40" i="1" s="1"/>
  <c r="F7" i="1"/>
  <c r="E7" i="1"/>
  <c r="D7" i="1"/>
  <c r="C7" i="1"/>
  <c r="R5" i="1"/>
  <c r="Q5" i="1"/>
  <c r="P5" i="1"/>
  <c r="O5" i="1"/>
  <c r="J5" i="1"/>
  <c r="J5" i="3" s="1"/>
  <c r="I5" i="1"/>
  <c r="I5" i="3" s="1"/>
  <c r="H5" i="1"/>
  <c r="H5" i="3" s="1"/>
  <c r="G5" i="1"/>
  <c r="G5" i="3" s="1"/>
  <c r="F5" i="1"/>
  <c r="E5" i="1"/>
  <c r="D5" i="1"/>
  <c r="D5" i="3" s="1"/>
  <c r="C5" i="1"/>
  <c r="C5" i="3" s="1"/>
  <c r="I9" i="3" l="1"/>
  <c r="T74" i="1"/>
  <c r="I12" i="1"/>
  <c r="T31" i="1"/>
  <c r="D12" i="3"/>
  <c r="O64" i="1"/>
  <c r="D25" i="1"/>
  <c r="E12" i="3"/>
  <c r="P64" i="1"/>
  <c r="E25" i="1"/>
  <c r="D15" i="1"/>
  <c r="D15" i="3" s="1"/>
  <c r="F12" i="3"/>
  <c r="Q64" i="1"/>
  <c r="F25" i="1"/>
  <c r="E15" i="1"/>
  <c r="E15" i="3" s="1"/>
  <c r="F15" i="1"/>
  <c r="F15" i="3" s="1"/>
  <c r="H9" i="3"/>
  <c r="S31" i="1"/>
  <c r="H12" i="1"/>
  <c r="S74" i="1"/>
  <c r="J15" i="1"/>
  <c r="J15" i="3" s="1"/>
  <c r="N55" i="1"/>
  <c r="N53" i="1"/>
  <c r="J9" i="3"/>
  <c r="U74" i="1"/>
  <c r="J12" i="1"/>
  <c r="U31" i="1"/>
  <c r="F82" i="2"/>
  <c r="F69" i="2"/>
  <c r="S5" i="1"/>
  <c r="D10" i="3"/>
  <c r="H14" i="3"/>
  <c r="J17" i="3"/>
  <c r="F18" i="1"/>
  <c r="F18" i="3" s="1"/>
  <c r="H27" i="1"/>
  <c r="I29" i="3"/>
  <c r="I38" i="1"/>
  <c r="T30" i="1"/>
  <c r="D37" i="3"/>
  <c r="D49" i="1"/>
  <c r="R53" i="2"/>
  <c r="S43" i="2"/>
  <c r="C22" i="2"/>
  <c r="R50" i="2"/>
  <c r="R47" i="2"/>
  <c r="Y51" i="2"/>
  <c r="D23" i="3"/>
  <c r="D24" i="3"/>
  <c r="D7" i="3"/>
  <c r="O30" i="1"/>
  <c r="D11" i="3"/>
  <c r="O35" i="1"/>
  <c r="E5" i="3"/>
  <c r="E27" i="1"/>
  <c r="T5" i="1"/>
  <c r="E23" i="3"/>
  <c r="E24" i="3"/>
  <c r="E7" i="3"/>
  <c r="E11" i="3"/>
  <c r="P35" i="1"/>
  <c r="P40" i="1"/>
  <c r="P30" i="1"/>
  <c r="E10" i="3"/>
  <c r="I14" i="3"/>
  <c r="I18" i="1"/>
  <c r="I18" i="3" s="1"/>
  <c r="I27" i="1"/>
  <c r="D22" i="2"/>
  <c r="G9" i="3"/>
  <c r="R74" i="1"/>
  <c r="R75" i="1" s="1"/>
  <c r="R31" i="1"/>
  <c r="F5" i="3"/>
  <c r="F27" i="1"/>
  <c r="U5" i="1"/>
  <c r="F23" i="3"/>
  <c r="F24" i="3"/>
  <c r="F7" i="3"/>
  <c r="F11" i="3"/>
  <c r="Q40" i="1"/>
  <c r="F10" i="3"/>
  <c r="J14" i="3"/>
  <c r="D16" i="3"/>
  <c r="J18" i="1"/>
  <c r="J18" i="3" s="1"/>
  <c r="C21" i="3"/>
  <c r="C22" i="3"/>
  <c r="J27" i="1"/>
  <c r="N38" i="1"/>
  <c r="D35" i="3"/>
  <c r="T44" i="2"/>
  <c r="G24" i="3"/>
  <c r="G7" i="3"/>
  <c r="G11" i="3"/>
  <c r="G23" i="3"/>
  <c r="R76" i="1"/>
  <c r="R30" i="1"/>
  <c r="G10" i="3"/>
  <c r="G12" i="1"/>
  <c r="E16" i="3"/>
  <c r="D21" i="3"/>
  <c r="D22" i="3"/>
  <c r="O38" i="1"/>
  <c r="P39" i="1" s="1"/>
  <c r="E31" i="3"/>
  <c r="G37" i="3"/>
  <c r="G48" i="1"/>
  <c r="D82" i="2"/>
  <c r="X60" i="2"/>
  <c r="K48" i="6"/>
  <c r="D27" i="3"/>
  <c r="O27" i="1"/>
  <c r="J33" i="3"/>
  <c r="AB49" i="2"/>
  <c r="M22" i="2"/>
  <c r="AB48" i="2"/>
  <c r="AB51" i="2"/>
  <c r="C8" i="3"/>
  <c r="C13" i="3"/>
  <c r="H24" i="3"/>
  <c r="H7" i="3"/>
  <c r="H11" i="3"/>
  <c r="S35" i="1"/>
  <c r="S40" i="1"/>
  <c r="H23" i="3"/>
  <c r="O37" i="1"/>
  <c r="D8" i="3"/>
  <c r="H10" i="3"/>
  <c r="D13" i="3"/>
  <c r="O42" i="1"/>
  <c r="O41" i="1"/>
  <c r="F16" i="3"/>
  <c r="E22" i="3"/>
  <c r="R27" i="1"/>
  <c r="R55" i="2"/>
  <c r="R54" i="2"/>
  <c r="E82" i="2"/>
  <c r="I24" i="3"/>
  <c r="I7" i="3"/>
  <c r="I11" i="3"/>
  <c r="I23" i="3"/>
  <c r="T40" i="1"/>
  <c r="E8" i="3"/>
  <c r="P36" i="1"/>
  <c r="P37" i="1"/>
  <c r="I10" i="3"/>
  <c r="P42" i="1"/>
  <c r="P41" i="1"/>
  <c r="G16" i="3"/>
  <c r="G18" i="1"/>
  <c r="G18" i="3" s="1"/>
  <c r="G15" i="1"/>
  <c r="G15" i="3" s="1"/>
  <c r="C17" i="3"/>
  <c r="F21" i="3"/>
  <c r="F22" i="3"/>
  <c r="Q38" i="1"/>
  <c r="Q39" i="1" s="1"/>
  <c r="G31" i="3"/>
  <c r="F32" i="3"/>
  <c r="G35" i="3"/>
  <c r="H36" i="3"/>
  <c r="F9" i="3"/>
  <c r="Q74" i="1"/>
  <c r="Q31" i="1"/>
  <c r="J38" i="3"/>
  <c r="Q42" i="1"/>
  <c r="Q41" i="1"/>
  <c r="H16" i="3"/>
  <c r="H18" i="1"/>
  <c r="H18" i="3" s="1"/>
  <c r="D17" i="3"/>
  <c r="G21" i="3"/>
  <c r="C38" i="1"/>
  <c r="C36" i="3" s="1"/>
  <c r="G30" i="3"/>
  <c r="G38" i="1"/>
  <c r="G34" i="3" s="1"/>
  <c r="R38" i="1"/>
  <c r="R39" i="1" s="1"/>
  <c r="J37" i="3"/>
  <c r="F49" i="1"/>
  <c r="U55" i="1"/>
  <c r="L25" i="2"/>
  <c r="AA44" i="2"/>
  <c r="U44" i="2"/>
  <c r="F25" i="2"/>
  <c r="G82" i="2"/>
  <c r="S51" i="2"/>
  <c r="S59" i="2"/>
  <c r="S67" i="2"/>
  <c r="C23" i="3"/>
  <c r="C24" i="3"/>
  <c r="C7" i="3"/>
  <c r="C11" i="3"/>
  <c r="C10" i="3"/>
  <c r="J24" i="3"/>
  <c r="J7" i="3"/>
  <c r="J11" i="3"/>
  <c r="J23" i="3"/>
  <c r="U35" i="1"/>
  <c r="U40" i="1"/>
  <c r="U30" i="1"/>
  <c r="J10" i="3"/>
  <c r="N5" i="1"/>
  <c r="G8" i="3"/>
  <c r="R36" i="1"/>
  <c r="R37" i="1"/>
  <c r="C9" i="1"/>
  <c r="G13" i="3"/>
  <c r="C14" i="3"/>
  <c r="R42" i="1"/>
  <c r="H21" i="3"/>
  <c r="D38" i="1"/>
  <c r="D33" i="3" s="1"/>
  <c r="D29" i="3"/>
  <c r="S38" i="1"/>
  <c r="S39" i="1" s="1"/>
  <c r="J36" i="3"/>
  <c r="Q37" i="1"/>
  <c r="N42" i="1"/>
  <c r="Y49" i="2"/>
  <c r="Y48" i="2"/>
  <c r="J8" i="3"/>
  <c r="U37" i="1"/>
  <c r="U36" i="1"/>
  <c r="U41" i="1"/>
  <c r="U42" i="1"/>
  <c r="H8" i="3"/>
  <c r="S37" i="1"/>
  <c r="S36" i="1"/>
  <c r="D9" i="3"/>
  <c r="O74" i="1"/>
  <c r="J16" i="3"/>
  <c r="F17" i="3"/>
  <c r="I21" i="3"/>
  <c r="I22" i="3"/>
  <c r="I30" i="3"/>
  <c r="J31" i="3"/>
  <c r="I32" i="3"/>
  <c r="H33" i="3"/>
  <c r="J35" i="3"/>
  <c r="O36" i="1"/>
  <c r="T37" i="1"/>
  <c r="S42" i="1"/>
  <c r="Z51" i="2"/>
  <c r="Z49" i="2"/>
  <c r="I82" i="2"/>
  <c r="C82" i="2"/>
  <c r="C81" i="2"/>
  <c r="E9" i="3"/>
  <c r="P74" i="1"/>
  <c r="P75" i="1" s="1"/>
  <c r="P76" i="1" s="1"/>
  <c r="I13" i="3"/>
  <c r="T41" i="1"/>
  <c r="T42" i="1"/>
  <c r="G17" i="3"/>
  <c r="C18" i="3"/>
  <c r="J21" i="3"/>
  <c r="C27" i="1"/>
  <c r="F38" i="1"/>
  <c r="F34" i="3" s="1"/>
  <c r="J30" i="3"/>
  <c r="U38" i="1"/>
  <c r="U39" i="1" s="1"/>
  <c r="O31" i="1"/>
  <c r="I33" i="3"/>
  <c r="J34" i="3"/>
  <c r="Q35" i="1"/>
  <c r="Q36" i="1"/>
  <c r="E38" i="1"/>
  <c r="E34" i="3" s="1"/>
  <c r="N41" i="1"/>
  <c r="E25" i="2"/>
  <c r="H22" i="3"/>
  <c r="H29" i="3"/>
  <c r="I31" i="3"/>
  <c r="I34" i="3"/>
  <c r="F35" i="3"/>
  <c r="C54" i="1"/>
  <c r="N45" i="1" s="1"/>
  <c r="J22" i="2"/>
  <c r="V55" i="2"/>
  <c r="U43" i="2"/>
  <c r="U49" i="2"/>
  <c r="V49" i="2"/>
  <c r="G64" i="2"/>
  <c r="J81" i="2"/>
  <c r="H13" i="4"/>
  <c r="I12" i="4"/>
  <c r="I13" i="4" s="1"/>
  <c r="L78" i="6"/>
  <c r="D54" i="1"/>
  <c r="W53" i="2"/>
  <c r="K22" i="2"/>
  <c r="J22" i="3"/>
  <c r="J29" i="3"/>
  <c r="G32" i="3"/>
  <c r="C33" i="3"/>
  <c r="H35" i="3"/>
  <c r="E54" i="1"/>
  <c r="Q34" i="1" s="1"/>
  <c r="X54" i="2"/>
  <c r="R52" i="2"/>
  <c r="W43" i="2"/>
  <c r="X49" i="2"/>
  <c r="T52" i="2"/>
  <c r="I64" i="2"/>
  <c r="I68" i="2" s="1"/>
  <c r="I69" i="2" s="1"/>
  <c r="M48" i="6"/>
  <c r="I35" i="3"/>
  <c r="C37" i="3"/>
  <c r="F54" i="1"/>
  <c r="Y55" i="2"/>
  <c r="Y54" i="2"/>
  <c r="X43" i="2"/>
  <c r="Z48" i="2"/>
  <c r="J64" i="2"/>
  <c r="R60" i="2"/>
  <c r="N24" i="6"/>
  <c r="N48" i="6" s="1"/>
  <c r="C78" i="6"/>
  <c r="G54" i="1"/>
  <c r="S34" i="1" s="1"/>
  <c r="Z55" i="2"/>
  <c r="AA51" i="2"/>
  <c r="AA48" i="2"/>
  <c r="W47" i="2"/>
  <c r="W60" i="2"/>
  <c r="I16" i="3"/>
  <c r="E17" i="3"/>
  <c r="E21" i="3"/>
  <c r="E30" i="3"/>
  <c r="J32" i="3"/>
  <c r="E37" i="3"/>
  <c r="H49" i="1"/>
  <c r="H54" i="1"/>
  <c r="AA50" i="2"/>
  <c r="AA52" i="2"/>
  <c r="U47" i="2"/>
  <c r="Z43" i="2"/>
  <c r="X47" i="2"/>
  <c r="AA49" i="2"/>
  <c r="V50" i="2"/>
  <c r="C80" i="2"/>
  <c r="D48" i="6"/>
  <c r="G33" i="3"/>
  <c r="C34" i="3"/>
  <c r="I36" i="3"/>
  <c r="P45" i="1"/>
  <c r="P48" i="1"/>
  <c r="P53" i="1"/>
  <c r="I54" i="1"/>
  <c r="U34" i="1" s="1"/>
  <c r="P55" i="1"/>
  <c r="AB52" i="2"/>
  <c r="AB55" i="2"/>
  <c r="AB53" i="2"/>
  <c r="V47" i="2"/>
  <c r="AA43" i="2"/>
  <c r="X53" i="2"/>
  <c r="D80" i="2"/>
  <c r="D81" i="2"/>
  <c r="X67" i="2"/>
  <c r="U60" i="2"/>
  <c r="C48" i="6"/>
  <c r="H78" i="6"/>
  <c r="H79" i="6" s="1"/>
  <c r="J49" i="1"/>
  <c r="J54" i="1"/>
  <c r="U53" i="1" s="1"/>
  <c r="M65" i="2"/>
  <c r="L65" i="2"/>
  <c r="K65" i="2"/>
  <c r="Z34" i="2"/>
  <c r="Z47" i="2"/>
  <c r="W50" i="2"/>
  <c r="Z52" i="2"/>
  <c r="Y53" i="2"/>
  <c r="X50" i="2"/>
  <c r="E80" i="2"/>
  <c r="I78" i="6"/>
  <c r="H51" i="2"/>
  <c r="X51" i="2"/>
  <c r="AA47" i="2"/>
  <c r="Z50" i="2"/>
  <c r="C64" i="2"/>
  <c r="C68" i="2" s="1"/>
  <c r="C69" i="2" s="1"/>
  <c r="Z53" i="2"/>
  <c r="T54" i="2"/>
  <c r="Y50" i="2"/>
  <c r="F80" i="2"/>
  <c r="E48" i="6"/>
  <c r="K78" i="6"/>
  <c r="I37" i="3"/>
  <c r="S45" i="1"/>
  <c r="D48" i="1"/>
  <c r="P34" i="1" s="1"/>
  <c r="S53" i="1"/>
  <c r="S55" i="1"/>
  <c r="V83" i="2"/>
  <c r="V84" i="2" s="1"/>
  <c r="V85" i="2" s="1"/>
  <c r="S55" i="2"/>
  <c r="Y52" i="2"/>
  <c r="AB47" i="2"/>
  <c r="AB50" i="2"/>
  <c r="D64" i="2"/>
  <c r="D68" i="2" s="1"/>
  <c r="D69" i="2" s="1"/>
  <c r="AA53" i="2"/>
  <c r="V54" i="2"/>
  <c r="G80" i="2"/>
  <c r="F48" i="6"/>
  <c r="P56" i="1"/>
  <c r="T53" i="2"/>
  <c r="H22" i="2"/>
  <c r="V74" i="2"/>
  <c r="J80" i="2"/>
  <c r="J82" i="2"/>
  <c r="T49" i="2"/>
  <c r="E64" i="2"/>
  <c r="W55" i="2"/>
  <c r="H80" i="2"/>
  <c r="H81" i="2"/>
  <c r="H63" i="2"/>
  <c r="I24" i="6"/>
  <c r="I48" i="6" s="1"/>
  <c r="I79" i="6" s="1"/>
  <c r="C16" i="3"/>
  <c r="G22" i="3"/>
  <c r="G29" i="3"/>
  <c r="H31" i="3"/>
  <c r="H34" i="3"/>
  <c r="E35" i="3"/>
  <c r="H38" i="1"/>
  <c r="H30" i="3" s="1"/>
  <c r="F48" i="1"/>
  <c r="U53" i="2"/>
  <c r="I22" i="2"/>
  <c r="U55" i="2"/>
  <c r="U54" i="2"/>
  <c r="G38" i="2"/>
  <c r="T43" i="2"/>
  <c r="X55" i="2"/>
  <c r="I80" i="2"/>
  <c r="J24" i="6"/>
  <c r="J48" i="6" s="1"/>
  <c r="J79" i="6" s="1"/>
  <c r="L48" i="6"/>
  <c r="C63" i="2"/>
  <c r="G18" i="4"/>
  <c r="G19" i="4" s="1"/>
  <c r="E63" i="2"/>
  <c r="X59" i="2"/>
  <c r="F63" i="2"/>
  <c r="E81" i="2"/>
  <c r="S49" i="2"/>
  <c r="G63" i="2"/>
  <c r="F81" i="2"/>
  <c r="G81" i="2"/>
  <c r="K57" i="2"/>
  <c r="K64" i="2" s="1"/>
  <c r="L59" i="2"/>
  <c r="J63" i="2"/>
  <c r="I81" i="2"/>
  <c r="K63" i="2"/>
  <c r="S60" i="2" l="1"/>
  <c r="T74" i="2"/>
  <c r="E38" i="2"/>
  <c r="E29" i="2"/>
  <c r="C9" i="3"/>
  <c r="N74" i="1"/>
  <c r="N75" i="1" s="1"/>
  <c r="N76" i="1" s="1"/>
  <c r="N31" i="1"/>
  <c r="C12" i="1"/>
  <c r="I27" i="3"/>
  <c r="T27" i="1"/>
  <c r="I38" i="3"/>
  <c r="U75" i="1"/>
  <c r="U76" i="1" s="1"/>
  <c r="H12" i="3"/>
  <c r="S64" i="1"/>
  <c r="H25" i="1"/>
  <c r="H15" i="1"/>
  <c r="H15" i="3" s="1"/>
  <c r="F38" i="3"/>
  <c r="T53" i="1"/>
  <c r="H37" i="3"/>
  <c r="E27" i="3"/>
  <c r="P27" i="1"/>
  <c r="C25" i="2"/>
  <c r="R44" i="2"/>
  <c r="O65" i="1"/>
  <c r="D25" i="3"/>
  <c r="O32" i="1"/>
  <c r="D26" i="1"/>
  <c r="D26" i="3" s="1"/>
  <c r="O6" i="1"/>
  <c r="Q56" i="1"/>
  <c r="Q57" i="1"/>
  <c r="Q55" i="1"/>
  <c r="Q53" i="1"/>
  <c r="Q48" i="1"/>
  <c r="Q45" i="1"/>
  <c r="Q47" i="1"/>
  <c r="H25" i="2"/>
  <c r="W44" i="2"/>
  <c r="F33" i="3"/>
  <c r="G54" i="3"/>
  <c r="G55" i="1"/>
  <c r="R46" i="1"/>
  <c r="F55" i="1"/>
  <c r="F56" i="1" s="1"/>
  <c r="Q46" i="1"/>
  <c r="Z44" i="2"/>
  <c r="K25" i="2"/>
  <c r="V60" i="2"/>
  <c r="G68" i="2"/>
  <c r="G69" i="2" s="1"/>
  <c r="F29" i="3"/>
  <c r="T55" i="1"/>
  <c r="G36" i="3"/>
  <c r="M25" i="2"/>
  <c r="AB44" i="2"/>
  <c r="R55" i="1"/>
  <c r="R45" i="1"/>
  <c r="R53" i="1"/>
  <c r="F27" i="3"/>
  <c r="Q27" i="1"/>
  <c r="H27" i="3"/>
  <c r="S27" i="1"/>
  <c r="V75" i="2"/>
  <c r="G39" i="2"/>
  <c r="V69" i="2" s="1"/>
  <c r="V45" i="2"/>
  <c r="V19" i="2"/>
  <c r="V23" i="2" s="1"/>
  <c r="C31" i="3"/>
  <c r="H55" i="1"/>
  <c r="H49" i="3" s="1"/>
  <c r="S46" i="1"/>
  <c r="T34" i="1"/>
  <c r="C27" i="3"/>
  <c r="N27" i="1"/>
  <c r="H32" i="3"/>
  <c r="U45" i="1"/>
  <c r="R34" i="1"/>
  <c r="O34" i="1"/>
  <c r="T39" i="1"/>
  <c r="V67" i="2"/>
  <c r="V61" i="2"/>
  <c r="V68" i="2"/>
  <c r="V59" i="2"/>
  <c r="W67" i="2"/>
  <c r="W59" i="2"/>
  <c r="F30" i="3"/>
  <c r="G12" i="3"/>
  <c r="R64" i="1"/>
  <c r="G25" i="1"/>
  <c r="O56" i="1"/>
  <c r="O57" i="1"/>
  <c r="O55" i="1"/>
  <c r="O53" i="1"/>
  <c r="O48" i="1"/>
  <c r="O45" i="1"/>
  <c r="E38" i="3"/>
  <c r="E29" i="3"/>
  <c r="U74" i="2"/>
  <c r="F38" i="2"/>
  <c r="F29" i="2"/>
  <c r="G38" i="3"/>
  <c r="G56" i="1"/>
  <c r="F31" i="3"/>
  <c r="D55" i="1"/>
  <c r="D49" i="3" s="1"/>
  <c r="O46" i="1"/>
  <c r="F25" i="3"/>
  <c r="Q65" i="1"/>
  <c r="F26" i="1"/>
  <c r="F26" i="3" s="1"/>
  <c r="Q6" i="1"/>
  <c r="Q32" i="1"/>
  <c r="Y44" i="2"/>
  <c r="J25" i="2"/>
  <c r="D38" i="3"/>
  <c r="C38" i="3"/>
  <c r="Q75" i="1"/>
  <c r="Q76" i="1" s="1"/>
  <c r="K79" i="6"/>
  <c r="D34" i="3"/>
  <c r="C32" i="3"/>
  <c r="D25" i="2"/>
  <c r="S44" i="2"/>
  <c r="I12" i="3"/>
  <c r="T64" i="1"/>
  <c r="I15" i="1"/>
  <c r="I15" i="3" s="1"/>
  <c r="I25" i="1"/>
  <c r="Y67" i="2"/>
  <c r="Y59" i="2"/>
  <c r="T59" i="2"/>
  <c r="T67" i="2"/>
  <c r="T68" i="2"/>
  <c r="H38" i="3"/>
  <c r="E68" i="2"/>
  <c r="E69" i="2" s="1"/>
  <c r="T60" i="2"/>
  <c r="J68" i="2"/>
  <c r="J69" i="2" s="1"/>
  <c r="Y60" i="2"/>
  <c r="E36" i="3"/>
  <c r="N46" i="1"/>
  <c r="C55" i="1"/>
  <c r="E32" i="3"/>
  <c r="C29" i="3"/>
  <c r="E33" i="3"/>
  <c r="Q24" i="6"/>
  <c r="D32" i="3"/>
  <c r="D31" i="3"/>
  <c r="T75" i="1"/>
  <c r="T76" i="1" s="1"/>
  <c r="AA74" i="2"/>
  <c r="L38" i="2"/>
  <c r="L29" i="2"/>
  <c r="O75" i="1"/>
  <c r="O76" i="1" s="1"/>
  <c r="O39" i="1"/>
  <c r="C30" i="3"/>
  <c r="E25" i="3"/>
  <c r="P65" i="1"/>
  <c r="E26" i="1"/>
  <c r="P6" i="1"/>
  <c r="P32" i="1"/>
  <c r="U67" i="2"/>
  <c r="U68" i="2"/>
  <c r="U59" i="2"/>
  <c r="M59" i="2"/>
  <c r="L57" i="2"/>
  <c r="L64" i="2" s="1"/>
  <c r="L63" i="2"/>
  <c r="X44" i="2"/>
  <c r="I25" i="2"/>
  <c r="R67" i="2"/>
  <c r="R59" i="2"/>
  <c r="C35" i="3"/>
  <c r="H82" i="2"/>
  <c r="H69" i="2"/>
  <c r="J55" i="1"/>
  <c r="J49" i="3" s="1"/>
  <c r="U46" i="1"/>
  <c r="I55" i="1"/>
  <c r="I54" i="3" s="1"/>
  <c r="T46" i="1"/>
  <c r="F37" i="3"/>
  <c r="F36" i="3"/>
  <c r="E54" i="3"/>
  <c r="E55" i="1"/>
  <c r="P46" i="1"/>
  <c r="T45" i="1"/>
  <c r="D30" i="3"/>
  <c r="J27" i="3"/>
  <c r="U27" i="1"/>
  <c r="D36" i="3"/>
  <c r="J12" i="3"/>
  <c r="U64" i="1"/>
  <c r="J25" i="1"/>
  <c r="S75" i="1"/>
  <c r="S76" i="1" s="1"/>
  <c r="D48" i="3" l="1"/>
  <c r="G58" i="3"/>
  <c r="G50" i="3"/>
  <c r="G55" i="3"/>
  <c r="G51" i="3"/>
  <c r="G43" i="3"/>
  <c r="G49" i="3"/>
  <c r="G47" i="3"/>
  <c r="G42" i="3"/>
  <c r="G53" i="3"/>
  <c r="G46" i="3"/>
  <c r="G41" i="3"/>
  <c r="G44" i="3"/>
  <c r="G40" i="3"/>
  <c r="G52" i="3"/>
  <c r="G45" i="3"/>
  <c r="E55" i="3"/>
  <c r="E58" i="3"/>
  <c r="E50" i="3"/>
  <c r="E53" i="3"/>
  <c r="E43" i="3"/>
  <c r="E40" i="3"/>
  <c r="E48" i="3"/>
  <c r="E42" i="3"/>
  <c r="E49" i="3"/>
  <c r="E44" i="3"/>
  <c r="E47" i="3"/>
  <c r="E52" i="3"/>
  <c r="E46" i="3"/>
  <c r="E51" i="3"/>
  <c r="E45" i="3"/>
  <c r="E41" i="3"/>
  <c r="C55" i="3"/>
  <c r="C58" i="3"/>
  <c r="C50" i="3"/>
  <c r="C53" i="3"/>
  <c r="C46" i="3"/>
  <c r="C51" i="3"/>
  <c r="C41" i="3"/>
  <c r="C48" i="3"/>
  <c r="C45" i="3"/>
  <c r="C47" i="3"/>
  <c r="C49" i="3"/>
  <c r="C52" i="3"/>
  <c r="C43" i="3"/>
  <c r="C42" i="3"/>
  <c r="C44" i="3"/>
  <c r="C40" i="3"/>
  <c r="H54" i="3"/>
  <c r="F48" i="3"/>
  <c r="G25" i="3"/>
  <c r="G26" i="1"/>
  <c r="R6" i="1"/>
  <c r="R65" i="1"/>
  <c r="R32" i="1"/>
  <c r="Y74" i="2"/>
  <c r="J29" i="2"/>
  <c r="J38" i="2"/>
  <c r="F49" i="3"/>
  <c r="M57" i="2"/>
  <c r="M64" i="2" s="1"/>
  <c r="M63" i="2"/>
  <c r="D55" i="3"/>
  <c r="D58" i="3"/>
  <c r="D50" i="3"/>
  <c r="D44" i="3"/>
  <c r="D40" i="3"/>
  <c r="D42" i="3"/>
  <c r="D47" i="3"/>
  <c r="D41" i="3"/>
  <c r="D46" i="3"/>
  <c r="D45" i="3"/>
  <c r="D52" i="3"/>
  <c r="D53" i="3"/>
  <c r="D43" i="3"/>
  <c r="D51" i="3"/>
  <c r="L31" i="2"/>
  <c r="F9" i="2" s="1"/>
  <c r="L66" i="2" s="1"/>
  <c r="AA60" i="2" s="1"/>
  <c r="L30" i="2"/>
  <c r="AA22" i="2" s="1"/>
  <c r="AA83" i="2"/>
  <c r="AA84" i="2" s="1"/>
  <c r="AA85" i="2" s="1"/>
  <c r="C54" i="3"/>
  <c r="O8" i="1"/>
  <c r="O11" i="1" s="1"/>
  <c r="C12" i="3"/>
  <c r="C25" i="1"/>
  <c r="N64" i="1"/>
  <c r="C15" i="1"/>
  <c r="C15" i="3" s="1"/>
  <c r="AA75" i="2"/>
  <c r="AA45" i="2"/>
  <c r="AA19" i="2"/>
  <c r="AA23" i="2" s="1"/>
  <c r="L39" i="2"/>
  <c r="S74" i="2"/>
  <c r="D38" i="2"/>
  <c r="D29" i="2"/>
  <c r="F31" i="2"/>
  <c r="U83" i="2"/>
  <c r="U84" i="2" s="1"/>
  <c r="U85" i="2" s="1"/>
  <c r="V62" i="2"/>
  <c r="V25" i="2"/>
  <c r="V46" i="2"/>
  <c r="V70" i="2"/>
  <c r="Z74" i="2"/>
  <c r="K29" i="2"/>
  <c r="K38" i="2"/>
  <c r="W74" i="2"/>
  <c r="H29" i="2"/>
  <c r="H38" i="2"/>
  <c r="U75" i="2"/>
  <c r="F39" i="2"/>
  <c r="U45" i="2"/>
  <c r="U19" i="2"/>
  <c r="U23" i="2" s="1"/>
  <c r="R48" i="1"/>
  <c r="R56" i="1"/>
  <c r="H25" i="3"/>
  <c r="S32" i="1"/>
  <c r="S65" i="1"/>
  <c r="H26" i="1"/>
  <c r="S6" i="1"/>
  <c r="S56" i="1"/>
  <c r="S48" i="1"/>
  <c r="Q11" i="1"/>
  <c r="Q8" i="1"/>
  <c r="X74" i="2"/>
  <c r="I29" i="2"/>
  <c r="I38" i="2"/>
  <c r="G48" i="3"/>
  <c r="E31" i="2"/>
  <c r="T83" i="2"/>
  <c r="T84" i="2" s="1"/>
  <c r="T85" i="2" s="1"/>
  <c r="E56" i="1"/>
  <c r="F55" i="3"/>
  <c r="F58" i="3"/>
  <c r="F50" i="3"/>
  <c r="F41" i="3"/>
  <c r="F42" i="3"/>
  <c r="F44" i="3"/>
  <c r="F43" i="3"/>
  <c r="F46" i="3"/>
  <c r="F51" i="3"/>
  <c r="F45" i="3"/>
  <c r="F47" i="3"/>
  <c r="F40" i="3"/>
  <c r="F52" i="3"/>
  <c r="F53" i="3"/>
  <c r="T75" i="2"/>
  <c r="T19" i="2"/>
  <c r="T23" i="2" s="1"/>
  <c r="E39" i="2"/>
  <c r="T45" i="2"/>
  <c r="D56" i="1"/>
  <c r="H58" i="3"/>
  <c r="H50" i="3"/>
  <c r="H55" i="3"/>
  <c r="H52" i="3"/>
  <c r="H41" i="3"/>
  <c r="H42" i="3"/>
  <c r="H40" i="3"/>
  <c r="H48" i="3"/>
  <c r="H53" i="3"/>
  <c r="H43" i="3"/>
  <c r="H51" i="3"/>
  <c r="H44" i="3"/>
  <c r="H47" i="3"/>
  <c r="H45" i="3"/>
  <c r="H46" i="3"/>
  <c r="I58" i="3"/>
  <c r="I50" i="3"/>
  <c r="I55" i="3"/>
  <c r="I43" i="3"/>
  <c r="I42" i="3"/>
  <c r="I47" i="3"/>
  <c r="I41" i="3"/>
  <c r="I44" i="3"/>
  <c r="I52" i="3"/>
  <c r="I40" i="3"/>
  <c r="I46" i="3"/>
  <c r="I48" i="3"/>
  <c r="I49" i="3"/>
  <c r="I45" i="3"/>
  <c r="I51" i="3"/>
  <c r="I53" i="3"/>
  <c r="J58" i="3"/>
  <c r="J50" i="3"/>
  <c r="J55" i="3"/>
  <c r="J41" i="3"/>
  <c r="J48" i="3"/>
  <c r="J42" i="3"/>
  <c r="J44" i="3"/>
  <c r="J43" i="3"/>
  <c r="J56" i="1"/>
  <c r="J40" i="3"/>
  <c r="J46" i="3"/>
  <c r="J47" i="3"/>
  <c r="J52" i="3"/>
  <c r="J53" i="3"/>
  <c r="J51" i="3"/>
  <c r="J45" i="3"/>
  <c r="E26" i="3"/>
  <c r="P47" i="1"/>
  <c r="P57" i="1"/>
  <c r="F54" i="3"/>
  <c r="R74" i="2"/>
  <c r="C29" i="2"/>
  <c r="C38" i="2"/>
  <c r="J25" i="3"/>
  <c r="U65" i="1"/>
  <c r="J26" i="1"/>
  <c r="U6" i="1"/>
  <c r="U32" i="1"/>
  <c r="U48" i="1"/>
  <c r="U56" i="1"/>
  <c r="P8" i="1"/>
  <c r="P11" i="1" s="1"/>
  <c r="AB74" i="2"/>
  <c r="M29" i="2"/>
  <c r="M38" i="2"/>
  <c r="J54" i="3"/>
  <c r="AA61" i="2"/>
  <c r="H56" i="1"/>
  <c r="I25" i="3"/>
  <c r="T65" i="1"/>
  <c r="T32" i="1"/>
  <c r="T6" i="1"/>
  <c r="I26" i="1"/>
  <c r="T56" i="1"/>
  <c r="T48" i="1"/>
  <c r="C56" i="1"/>
  <c r="D54" i="3"/>
  <c r="O47" i="1"/>
  <c r="I56" i="1"/>
  <c r="O33" i="1" l="1"/>
  <c r="O49" i="1"/>
  <c r="O66" i="1"/>
  <c r="O58" i="1"/>
  <c r="O13" i="1"/>
  <c r="P49" i="1"/>
  <c r="P66" i="1"/>
  <c r="P58" i="1"/>
  <c r="P33" i="1"/>
  <c r="P13" i="1"/>
  <c r="J26" i="3"/>
  <c r="U57" i="1"/>
  <c r="U47" i="1"/>
  <c r="Q49" i="1"/>
  <c r="Q66" i="1"/>
  <c r="Q58" i="1"/>
  <c r="Q13" i="1"/>
  <c r="Q33" i="1"/>
  <c r="Y75" i="2"/>
  <c r="Y45" i="2"/>
  <c r="Y19" i="2"/>
  <c r="Y23" i="2" s="1"/>
  <c r="J39" i="2"/>
  <c r="Y68" i="2"/>
  <c r="W75" i="2"/>
  <c r="H39" i="2"/>
  <c r="W45" i="2"/>
  <c r="W19" i="2"/>
  <c r="W23" i="2" s="1"/>
  <c r="W68" i="2"/>
  <c r="D31" i="2"/>
  <c r="S83" i="2"/>
  <c r="S84" i="2" s="1"/>
  <c r="S85" i="2" s="1"/>
  <c r="J31" i="2"/>
  <c r="D9" i="2" s="1"/>
  <c r="Y83" i="2"/>
  <c r="Y84" i="2" s="1"/>
  <c r="Y85" i="2" s="1"/>
  <c r="AA59" i="2"/>
  <c r="I26" i="3"/>
  <c r="T47" i="1"/>
  <c r="T57" i="1"/>
  <c r="AB75" i="2"/>
  <c r="AB45" i="2"/>
  <c r="AB19" i="2"/>
  <c r="AB23" i="2" s="1"/>
  <c r="M39" i="2"/>
  <c r="AB61" i="2" s="1"/>
  <c r="R75" i="2"/>
  <c r="R45" i="2"/>
  <c r="R19" i="2"/>
  <c r="R23" i="2" s="1"/>
  <c r="C39" i="2"/>
  <c r="R68" i="2"/>
  <c r="S11" i="1"/>
  <c r="S8" i="1"/>
  <c r="H31" i="2"/>
  <c r="W83" i="2"/>
  <c r="W84" i="2" s="1"/>
  <c r="W85" i="2" s="1"/>
  <c r="S75" i="2"/>
  <c r="S45" i="2"/>
  <c r="S19" i="2"/>
  <c r="S23" i="2" s="1"/>
  <c r="D39" i="2"/>
  <c r="S68" i="2"/>
  <c r="T70" i="2"/>
  <c r="T62" i="2"/>
  <c r="T25" i="2"/>
  <c r="T46" i="2"/>
  <c r="T8" i="1"/>
  <c r="T11" i="1" s="1"/>
  <c r="M31" i="2"/>
  <c r="G9" i="2" s="1"/>
  <c r="M66" i="2" s="1"/>
  <c r="AB60" i="2" s="1"/>
  <c r="M30" i="2"/>
  <c r="AB22" i="2" s="1"/>
  <c r="AB83" i="2"/>
  <c r="AB84" i="2" s="1"/>
  <c r="AB85" i="2" s="1"/>
  <c r="C31" i="2"/>
  <c r="R83" i="2"/>
  <c r="R84" i="2" s="1"/>
  <c r="R85" i="2" s="1"/>
  <c r="H26" i="3"/>
  <c r="S47" i="1"/>
  <c r="S57" i="1"/>
  <c r="AA62" i="2"/>
  <c r="AA25" i="2"/>
  <c r="AA46" i="2"/>
  <c r="U61" i="2"/>
  <c r="U69" i="2"/>
  <c r="Z45" i="2"/>
  <c r="Z75" i="2"/>
  <c r="Z19" i="2"/>
  <c r="Z23" i="2" s="1"/>
  <c r="K39" i="2"/>
  <c r="Z61" i="2" s="1"/>
  <c r="K31" i="2"/>
  <c r="E9" i="2" s="1"/>
  <c r="K66" i="2" s="1"/>
  <c r="K30" i="2"/>
  <c r="Z22" i="2" s="1"/>
  <c r="Z83" i="2"/>
  <c r="Z84" i="2" s="1"/>
  <c r="Z85" i="2" s="1"/>
  <c r="G26" i="3"/>
  <c r="R57" i="1"/>
  <c r="R47" i="1"/>
  <c r="X75" i="2"/>
  <c r="X45" i="2"/>
  <c r="X19" i="2"/>
  <c r="X23" i="2" s="1"/>
  <c r="I39" i="2"/>
  <c r="X68" i="2"/>
  <c r="R11" i="1"/>
  <c r="R8" i="1"/>
  <c r="I31" i="2"/>
  <c r="X83" i="2"/>
  <c r="X84" i="2" s="1"/>
  <c r="X85" i="2" s="1"/>
  <c r="U62" i="2"/>
  <c r="U70" i="2"/>
  <c r="U46" i="2"/>
  <c r="U25" i="2"/>
  <c r="V72" i="2"/>
  <c r="V76" i="2"/>
  <c r="V63" i="2"/>
  <c r="V71" i="2"/>
  <c r="V64" i="2"/>
  <c r="V31" i="2"/>
  <c r="V35" i="2" s="1"/>
  <c r="U8" i="1"/>
  <c r="U11" i="1" s="1"/>
  <c r="T61" i="2"/>
  <c r="T69" i="2"/>
  <c r="C25" i="3"/>
  <c r="N32" i="1"/>
  <c r="N65" i="1"/>
  <c r="N6" i="1"/>
  <c r="C26" i="1"/>
  <c r="N48" i="1"/>
  <c r="N56" i="1"/>
  <c r="M68" i="2"/>
  <c r="L68" i="2"/>
  <c r="T66" i="1" l="1"/>
  <c r="T58" i="1"/>
  <c r="T49" i="1"/>
  <c r="T13" i="1"/>
  <c r="T33" i="1"/>
  <c r="U66" i="1"/>
  <c r="U58" i="1"/>
  <c r="U33" i="1"/>
  <c r="U49" i="1"/>
  <c r="U13" i="1"/>
  <c r="Z60" i="2"/>
  <c r="Z59" i="2"/>
  <c r="K68" i="2"/>
  <c r="R70" i="2"/>
  <c r="R25" i="2"/>
  <c r="R46" i="2"/>
  <c r="R62" i="2"/>
  <c r="Z46" i="2"/>
  <c r="Z62" i="2"/>
  <c r="Z25" i="2"/>
  <c r="S61" i="2"/>
  <c r="S69" i="2"/>
  <c r="Y69" i="2"/>
  <c r="Y61" i="2"/>
  <c r="P59" i="1"/>
  <c r="P67" i="1"/>
  <c r="P50" i="1"/>
  <c r="P15" i="1"/>
  <c r="X69" i="2"/>
  <c r="X61" i="2"/>
  <c r="S70" i="2"/>
  <c r="S46" i="2"/>
  <c r="S62" i="2"/>
  <c r="S25" i="2"/>
  <c r="Y62" i="2"/>
  <c r="Y70" i="2"/>
  <c r="Y46" i="2"/>
  <c r="Y25" i="2"/>
  <c r="C26" i="3"/>
  <c r="N57" i="1"/>
  <c r="N47" i="1"/>
  <c r="AB62" i="2"/>
  <c r="AB25" i="2"/>
  <c r="AB46" i="2"/>
  <c r="W62" i="2"/>
  <c r="W70" i="2"/>
  <c r="W25" i="2"/>
  <c r="W46" i="2"/>
  <c r="N8" i="1"/>
  <c r="N11" i="1" s="1"/>
  <c r="X62" i="2"/>
  <c r="X70" i="2"/>
  <c r="X25" i="2"/>
  <c r="X46" i="2"/>
  <c r="R66" i="1"/>
  <c r="R58" i="1"/>
  <c r="R33" i="1"/>
  <c r="R49" i="1"/>
  <c r="R13" i="1"/>
  <c r="W61" i="2"/>
  <c r="W69" i="2"/>
  <c r="U71" i="2"/>
  <c r="U72" i="2"/>
  <c r="U76" i="2"/>
  <c r="U63" i="2"/>
  <c r="U64" i="2"/>
  <c r="U31" i="2"/>
  <c r="U35" i="2" s="1"/>
  <c r="Q59" i="1"/>
  <c r="Q67" i="1"/>
  <c r="Q50" i="1"/>
  <c r="Q15" i="1"/>
  <c r="O59" i="1"/>
  <c r="O50" i="1"/>
  <c r="O15" i="1"/>
  <c r="O67" i="1"/>
  <c r="AA63" i="2"/>
  <c r="AA64" i="2"/>
  <c r="AA76" i="2"/>
  <c r="AA31" i="2"/>
  <c r="AA35" i="2" s="1"/>
  <c r="S66" i="1"/>
  <c r="S58" i="1"/>
  <c r="S33" i="1"/>
  <c r="S49" i="1"/>
  <c r="S13" i="1"/>
  <c r="T64" i="2"/>
  <c r="T71" i="2"/>
  <c r="T72" i="2"/>
  <c r="T76" i="2"/>
  <c r="T63" i="2"/>
  <c r="T31" i="2"/>
  <c r="T35" i="2" s="1"/>
  <c r="AB59" i="2"/>
  <c r="R69" i="2"/>
  <c r="R61" i="2"/>
  <c r="N66" i="1" l="1"/>
  <c r="N58" i="1"/>
  <c r="N49" i="1"/>
  <c r="N33" i="1"/>
  <c r="N13" i="1"/>
  <c r="S64" i="2"/>
  <c r="S71" i="2"/>
  <c r="S72" i="2"/>
  <c r="S76" i="2"/>
  <c r="S63" i="2"/>
  <c r="S31" i="2"/>
  <c r="S35" i="2" s="1"/>
  <c r="U50" i="1"/>
  <c r="U59" i="1"/>
  <c r="U67" i="1"/>
  <c r="U15" i="1"/>
  <c r="AB63" i="2"/>
  <c r="AB64" i="2"/>
  <c r="AB31" i="2"/>
  <c r="AB35" i="2" s="1"/>
  <c r="AB76" i="2"/>
  <c r="Z76" i="2"/>
  <c r="Z63" i="2"/>
  <c r="Z64" i="2"/>
  <c r="Z31" i="2"/>
  <c r="Z35" i="2" s="1"/>
  <c r="K42" i="2" s="1"/>
  <c r="R67" i="1"/>
  <c r="R59" i="1"/>
  <c r="R15" i="1"/>
  <c r="R50" i="1"/>
  <c r="X76" i="2"/>
  <c r="X63" i="2"/>
  <c r="X64" i="2"/>
  <c r="X71" i="2"/>
  <c r="X31" i="2"/>
  <c r="X35" i="2" s="1"/>
  <c r="X72" i="2"/>
  <c r="P51" i="1"/>
  <c r="P60" i="1"/>
  <c r="P18" i="1"/>
  <c r="O51" i="1"/>
  <c r="O60" i="1"/>
  <c r="O18" i="1"/>
  <c r="T50" i="1"/>
  <c r="T59" i="1"/>
  <c r="T67" i="1"/>
  <c r="T15" i="1"/>
  <c r="Q51" i="1"/>
  <c r="Q60" i="1"/>
  <c r="Q18" i="1"/>
  <c r="S50" i="1"/>
  <c r="S59" i="1"/>
  <c r="S67" i="1"/>
  <c r="S15" i="1"/>
  <c r="Y76" i="2"/>
  <c r="Y63" i="2"/>
  <c r="Y64" i="2"/>
  <c r="Y71" i="2"/>
  <c r="Y72" i="2"/>
  <c r="Y31" i="2"/>
  <c r="Y35" i="2" s="1"/>
  <c r="R63" i="2"/>
  <c r="R64" i="2"/>
  <c r="R71" i="2"/>
  <c r="R72" i="2"/>
  <c r="R31" i="2"/>
  <c r="R35" i="2" s="1"/>
  <c r="W76" i="2"/>
  <c r="W63" i="2"/>
  <c r="W64" i="2"/>
  <c r="W72" i="2"/>
  <c r="W31" i="2"/>
  <c r="W35" i="2" s="1"/>
  <c r="W71" i="2"/>
  <c r="T60" i="1" l="1"/>
  <c r="T51" i="1"/>
  <c r="T18" i="1"/>
  <c r="O61" i="1"/>
  <c r="O52" i="1"/>
  <c r="O21" i="1"/>
  <c r="O24" i="1" s="1"/>
  <c r="O25" i="1" s="1"/>
  <c r="S60" i="1"/>
  <c r="S51" i="1"/>
  <c r="S18" i="1"/>
  <c r="R51" i="1"/>
  <c r="R60" i="1"/>
  <c r="R18" i="1"/>
  <c r="N59" i="1"/>
  <c r="N15" i="1"/>
  <c r="N50" i="1"/>
  <c r="P61" i="1"/>
  <c r="P52" i="1"/>
  <c r="P21" i="1"/>
  <c r="P24" i="1" s="1"/>
  <c r="P25" i="1" s="1"/>
  <c r="K51" i="2"/>
  <c r="L42" i="2"/>
  <c r="Z67" i="2"/>
  <c r="Z68" i="2"/>
  <c r="Z69" i="2"/>
  <c r="Z70" i="2"/>
  <c r="U60" i="1"/>
  <c r="U51" i="1"/>
  <c r="U18" i="1"/>
  <c r="Q61" i="1"/>
  <c r="Q52" i="1"/>
  <c r="Q21" i="1"/>
  <c r="Q24" i="1" s="1"/>
  <c r="Q25" i="1" s="1"/>
  <c r="Z72" i="2"/>
  <c r="Z71" i="2"/>
  <c r="R61" i="1" l="1"/>
  <c r="R52" i="1"/>
  <c r="R21" i="1"/>
  <c r="R24" i="1" s="1"/>
  <c r="R25" i="1" s="1"/>
  <c r="S61" i="1"/>
  <c r="S52" i="1"/>
  <c r="S21" i="1"/>
  <c r="S24" i="1" s="1"/>
  <c r="S25" i="1" s="1"/>
  <c r="L51" i="2"/>
  <c r="M42" i="2"/>
  <c r="AA68" i="2"/>
  <c r="AA69" i="2"/>
  <c r="AA67" i="2"/>
  <c r="AA70" i="2"/>
  <c r="AA71" i="2"/>
  <c r="AA72" i="2"/>
  <c r="K80" i="2"/>
  <c r="K82" i="2"/>
  <c r="K69" i="2"/>
  <c r="K81" i="2"/>
  <c r="U61" i="1"/>
  <c r="U52" i="1"/>
  <c r="U21" i="1"/>
  <c r="U24" i="1" s="1"/>
  <c r="U25" i="1" s="1"/>
  <c r="T61" i="1"/>
  <c r="T52" i="1"/>
  <c r="T21" i="1"/>
  <c r="T24" i="1" s="1"/>
  <c r="T25" i="1" s="1"/>
  <c r="N60" i="1"/>
  <c r="N51" i="1"/>
  <c r="N18" i="1"/>
  <c r="M51" i="2" l="1"/>
  <c r="AB69" i="2"/>
  <c r="AB67" i="2"/>
  <c r="AB68" i="2"/>
  <c r="AB70" i="2"/>
  <c r="AB71" i="2"/>
  <c r="AB72" i="2"/>
  <c r="L82" i="2"/>
  <c r="L69" i="2"/>
  <c r="L80" i="2"/>
  <c r="L81" i="2"/>
  <c r="N21" i="1"/>
  <c r="N24" i="1" s="1"/>
  <c r="N25" i="1" s="1"/>
  <c r="N61" i="1"/>
  <c r="N52" i="1"/>
  <c r="M82" i="2" l="1"/>
  <c r="M69" i="2"/>
  <c r="M80" i="2"/>
  <c r="M81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<sst xmlns="http://schemas.openxmlformats.org/spreadsheetml/2006/main" count="963" uniqueCount="624">
  <si>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</si>
  <si>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SZB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</si>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</sst>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topLeftCell="A21" zoomScale="85" zoomScaleNormal="85" workbookViewId="0">
      <selection activeCell="N65" sqref="N65:U65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>
      <c r="A1" s="176" t="s">
        <v>0</v>
      </c>
      <c r="B1" s="176" t="s">
        <v>1</v>
      </c>
    </row>
    <row r="2" spans="1:2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2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130968</v>
      </c>
      <c r="O6" s="187">
        <f t="shared" si="1"/>
        <v>138533</v>
      </c>
      <c r="P6" s="187">
        <f t="shared" si="1"/>
        <v>154113</v>
      </c>
      <c r="Q6" s="187">
        <f t="shared" si="1"/>
        <v>150460</v>
      </c>
      <c r="R6" s="187">
        <f t="shared" si="1"/>
        <v>157427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>
      <c r="A7" s="177" t="s">
        <v>9</v>
      </c>
      <c r="B7" s="177"/>
      <c r="C7" s="123">
        <f>SUMIF(PL.data!$D$3:$D$25, FSA!$A7, PL.data!E$3:E$25)</f>
        <v>331101</v>
      </c>
      <c r="D7" s="123">
        <f>SUMIF(PL.data!$D$3:$D$25, FSA!$A7, PL.data!F$3:F$25)</f>
        <v>340547</v>
      </c>
      <c r="E7" s="123">
        <f>SUMIF(PL.data!$D$3:$D$25, FSA!$A7, PL.data!G$3:G$25)</f>
        <v>350875</v>
      </c>
      <c r="F7" s="123">
        <f>SUMIF(PL.data!$D$3:$D$25, FSA!$A7, PL.data!H$3:H$25)</f>
        <v>341118</v>
      </c>
      <c r="G7" s="123">
        <f>SUMIF(PL.data!$D$3:$D$25, FSA!$A7, PL.data!I$3:I$25)</f>
        <v>361157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>
      <c r="A8" s="177" t="s">
        <v>11</v>
      </c>
      <c r="B8" s="191"/>
      <c r="C8" s="123">
        <f>-SUMIF(PL.data!$D$3:$D$25, FSA!$A8, PL.data!E$3:E$25)</f>
        <v>-203262</v>
      </c>
      <c r="D8" s="123">
        <f>-SUMIF(PL.data!$D$3:$D$25, FSA!$A8, PL.data!F$3:F$25)</f>
        <v>-204071</v>
      </c>
      <c r="E8" s="123">
        <f>-SUMIF(PL.data!$D$3:$D$25, FSA!$A8, PL.data!G$3:G$25)</f>
        <v>-200740</v>
      </c>
      <c r="F8" s="123">
        <f>-SUMIF(PL.data!$D$3:$D$25, FSA!$A8, PL.data!H$3:H$25)</f>
        <v>-199651</v>
      </c>
      <c r="G8" s="123">
        <f>-SUMIF(PL.data!$D$3:$D$25, FSA!$A8, PL.data!I$3:I$25)</f>
        <v>-212331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1313</v>
      </c>
      <c r="O8" s="190">
        <f>CF.data!F12-FSA!O7-FSA!O6</f>
        <v>1584</v>
      </c>
      <c r="P8" s="190">
        <f>CF.data!G12-FSA!P7-FSA!P6</f>
        <v>1765</v>
      </c>
      <c r="Q8" s="190">
        <f>CF.data!H12-FSA!Q7-FSA!Q6</f>
        <v>1287</v>
      </c>
      <c r="R8" s="190">
        <f>CF.data!I12-FSA!R7-FSA!R6</f>
        <v>1195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>
      <c r="A9" s="176" t="s">
        <v>13</v>
      </c>
      <c r="B9" s="176"/>
      <c r="C9" s="187">
        <f t="shared" ref="C9:J9" si="3">C7+C8</f>
        <v>127839</v>
      </c>
      <c r="D9" s="187">
        <f t="shared" si="3"/>
        <v>136476</v>
      </c>
      <c r="E9" s="187">
        <f t="shared" si="3"/>
        <v>150135</v>
      </c>
      <c r="F9" s="187">
        <f t="shared" si="3"/>
        <v>141467</v>
      </c>
      <c r="G9" s="187">
        <f t="shared" si="3"/>
        <v>148826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0</v>
      </c>
      <c r="O9" s="190">
        <f>SUMIF(CF.data!$D$4:$D$43, $L9, CF.data!F$4:F$43)</f>
        <v>0</v>
      </c>
      <c r="P9" s="190">
        <f>SUMIF(CF.data!$D$4:$D$43, $L9, CF.data!G$4:G$43)</f>
        <v>-721</v>
      </c>
      <c r="Q9" s="190">
        <f>SUMIF(CF.data!$D$4:$D$43, $L9, CF.data!H$4:H$43)</f>
        <v>-613</v>
      </c>
      <c r="R9" s="190">
        <f>SUMIF(CF.data!$D$4:$D$43, $L9, CF.data!I$4:I$43)</f>
        <v>-628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>
      <c r="A10" s="177" t="s">
        <v>15</v>
      </c>
      <c r="B10" s="191"/>
      <c r="C10" s="123">
        <f>-SUMIF(PL.data!$D$3:$D$25, FSA!$A10, PL.data!E$3:E$25)</f>
        <v>-19998</v>
      </c>
      <c r="D10" s="123">
        <f>-SUMIF(PL.data!$D$3:$D$25, FSA!$A10, PL.data!F$3:F$25)</f>
        <v>-23964</v>
      </c>
      <c r="E10" s="123">
        <f>-SUMIF(PL.data!$D$3:$D$25, FSA!$A10, PL.data!G$3:G$25)</f>
        <v>-24497</v>
      </c>
      <c r="F10" s="123">
        <f>-SUMIF(PL.data!$D$3:$D$25, FSA!$A10, PL.data!H$3:H$25)</f>
        <v>-22377</v>
      </c>
      <c r="G10" s="123">
        <f>-SUMIF(PL.data!$D$3:$D$25, FSA!$A10, PL.data!I$3:I$25)</f>
        <v>-25222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-26608</v>
      </c>
      <c r="O10" s="190">
        <f>SUMIF(CF.data!$D$4:$D$43, $L10, CF.data!F$4:F$43)</f>
        <v>-17806</v>
      </c>
      <c r="P10" s="190">
        <f>SUMIF(CF.data!$D$4:$D$43, $L10, CF.data!G$4:G$43)</f>
        <v>-24903</v>
      </c>
      <c r="Q10" s="190">
        <f>SUMIF(CF.data!$D$4:$D$43, $L10, CF.data!H$4:H$43)</f>
        <v>-25450</v>
      </c>
      <c r="R10" s="190">
        <f>SUMIF(CF.data!$D$4:$D$43, $L10, CF.data!I$4:I$43)</f>
        <v>-24819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105673</v>
      </c>
      <c r="O11" s="187">
        <f t="shared" si="4"/>
        <v>122311</v>
      </c>
      <c r="P11" s="187">
        <f t="shared" si="4"/>
        <v>130254</v>
      </c>
      <c r="Q11" s="187">
        <f t="shared" si="4"/>
        <v>125684</v>
      </c>
      <c r="R11" s="187">
        <f t="shared" si="4"/>
        <v>133175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>
      <c r="A12" s="176" t="s">
        <v>19</v>
      </c>
      <c r="B12" s="176"/>
      <c r="C12" s="187">
        <f t="shared" ref="C12:J12" si="5">SUM(C9:C11)</f>
        <v>107841</v>
      </c>
      <c r="D12" s="187">
        <f t="shared" si="5"/>
        <v>112512</v>
      </c>
      <c r="E12" s="187">
        <f t="shared" si="5"/>
        <v>125638</v>
      </c>
      <c r="F12" s="187">
        <f t="shared" si="5"/>
        <v>119090</v>
      </c>
      <c r="G12" s="187">
        <f t="shared" si="5"/>
        <v>123604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60793</v>
      </c>
      <c r="O12" s="190">
        <f>SUMIF(CF.data!$D$4:$D$43, $L12, CF.data!F$4:F$43)</f>
        <v>52227</v>
      </c>
      <c r="P12" s="190">
        <f>SUMIF(CF.data!$D$4:$D$43, $L12, CF.data!G$4:G$43)</f>
        <v>125746</v>
      </c>
      <c r="Q12" s="190">
        <f>SUMIF(CF.data!$D$4:$D$43, $L12, CF.data!H$4:H$43)</f>
        <v>-46397</v>
      </c>
      <c r="R12" s="190">
        <f>SUMIF(CF.data!$D$4:$D$43, $L12, CF.data!I$4:I$43)</f>
        <v>14004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>
      <c r="A13" s="177" t="s">
        <v>21</v>
      </c>
      <c r="B13" s="176"/>
      <c r="C13" s="123">
        <f>SUMIF(PL.data!$D$3:$D$25, FSA!$A13, PL.data!E$3:E$25)</f>
        <v>1312</v>
      </c>
      <c r="D13" s="123">
        <f>SUMIF(PL.data!$D$3:$D$25, FSA!$A13, PL.data!F$3:F$25)</f>
        <v>1097</v>
      </c>
      <c r="E13" s="123">
        <f>SUMIF(PL.data!$D$3:$D$25, FSA!$A13, PL.data!G$3:G$25)</f>
        <v>1300</v>
      </c>
      <c r="F13" s="123">
        <f>SUMIF(PL.data!$D$3:$D$25, FSA!$A13, PL.data!H$3:H$25)</f>
        <v>1212</v>
      </c>
      <c r="G13" s="123">
        <f>SUMIF(PL.data!$D$3:$D$25, FSA!$A13, PL.data!I$3:I$25)</f>
        <v>1158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166466</v>
      </c>
      <c r="O13" s="187">
        <f t="shared" si="6"/>
        <v>174538</v>
      </c>
      <c r="P13" s="187">
        <f t="shared" si="6"/>
        <v>256000</v>
      </c>
      <c r="Q13" s="187">
        <f t="shared" si="6"/>
        <v>79287</v>
      </c>
      <c r="R13" s="187">
        <f t="shared" si="6"/>
        <v>147179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>
      <c r="A14" s="189" t="s">
        <v>23</v>
      </c>
      <c r="B14" s="191"/>
      <c r="C14" s="123">
        <f>-SUMIF(PL.data!$D$3:$D$25, FSA!$A14, PL.data!E$3:E$25)</f>
        <v>0</v>
      </c>
      <c r="D14" s="123">
        <f>-SUMIF(PL.data!$D$3:$D$25, FSA!$A14, PL.data!F$3:F$25)</f>
        <v>-23</v>
      </c>
      <c r="E14" s="123">
        <f>-SUMIF(PL.data!$D$3:$D$25, FSA!$A14, PL.data!G$3:G$25)</f>
        <v>-717</v>
      </c>
      <c r="F14" s="123">
        <f>-SUMIF(PL.data!$D$3:$D$25, FSA!$A14, PL.data!H$3:H$25)</f>
        <v>-609</v>
      </c>
      <c r="G14" s="123">
        <f>-SUMIF(PL.data!$D$3:$D$25, FSA!$A14, PL.data!I$3:I$25)</f>
        <v>-579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-99503</v>
      </c>
      <c r="O14" s="190">
        <f>SUMIF(CF.data!$D$4:$D$43, $L14, CF.data!F$4:F$43)</f>
        <v>-59386</v>
      </c>
      <c r="P14" s="190">
        <f>SUMIF(CF.data!$D$4:$D$43, $L14, CF.data!G$4:G$43)</f>
        <v>-72148</v>
      </c>
      <c r="Q14" s="190">
        <f>SUMIF(CF.data!$D$4:$D$43, $L14, CF.data!H$4:H$43)</f>
        <v>-50316</v>
      </c>
      <c r="R14" s="190">
        <f>SUMIF(CF.data!$D$4:$D$43, $L14, CF.data!I$4:I$43)</f>
        <v>-56640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>
      <c r="A15" s="177" t="s">
        <v>25</v>
      </c>
      <c r="B15" s="189"/>
      <c r="C15" s="123">
        <f t="shared" ref="C15:J15" si="7">C16-C12-C13-C14</f>
        <v>4901</v>
      </c>
      <c r="D15" s="123">
        <f t="shared" si="7"/>
        <v>5872</v>
      </c>
      <c r="E15" s="123">
        <f t="shared" si="7"/>
        <v>13099</v>
      </c>
      <c r="F15" s="123">
        <f t="shared" si="7"/>
        <v>8978</v>
      </c>
      <c r="G15" s="123">
        <f t="shared" si="7"/>
        <v>6830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66963</v>
      </c>
      <c r="O15" s="187">
        <f t="shared" si="8"/>
        <v>115152</v>
      </c>
      <c r="P15" s="187">
        <f t="shared" si="8"/>
        <v>183852</v>
      </c>
      <c r="Q15" s="187">
        <f t="shared" si="8"/>
        <v>28971</v>
      </c>
      <c r="R15" s="187">
        <f t="shared" si="8"/>
        <v>90539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>
      <c r="A16" s="176" t="s">
        <v>27</v>
      </c>
      <c r="B16" s="176"/>
      <c r="C16" s="175">
        <f>SUMIF(PL.data!$D$3:$D$25, FSA!$A16, PL.data!E$3:E$25)</f>
        <v>114054</v>
      </c>
      <c r="D16" s="175">
        <f>SUMIF(PL.data!$D$3:$D$25, FSA!$A16, PL.data!F$3:F$25)</f>
        <v>119458</v>
      </c>
      <c r="E16" s="175">
        <f>SUMIF(PL.data!$D$3:$D$25, FSA!$A16, PL.data!G$3:G$25)</f>
        <v>139320</v>
      </c>
      <c r="F16" s="175">
        <f>SUMIF(PL.data!$D$3:$D$25, FSA!$A16, PL.data!H$3:H$25)</f>
        <v>128671</v>
      </c>
      <c r="G16" s="175">
        <f>SUMIF(PL.data!$D$3:$D$25, FSA!$A16, PL.data!I$3:I$25)</f>
        <v>131013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7576</v>
      </c>
      <c r="O16" s="190">
        <f>SUMIF(CF.data!$D$4:$D$43, $L16, CF.data!F$4:F$43)</f>
        <v>4871</v>
      </c>
      <c r="P16" s="190">
        <f>SUMIF(CF.data!$D$4:$D$43, $L16, CF.data!G$4:G$43)</f>
        <v>8519</v>
      </c>
      <c r="Q16" s="190">
        <f>SUMIF(CF.data!$D$4:$D$43, $L16, CF.data!H$4:H$43)</f>
        <v>14105</v>
      </c>
      <c r="R16" s="190">
        <f>SUMIF(CF.data!$D$4:$D$43, $L16, CF.data!I$4:I$43)</f>
        <v>7344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>
      <c r="A17" s="189" t="s">
        <v>29</v>
      </c>
      <c r="B17" s="191"/>
      <c r="C17" s="123">
        <f>-SUMIF(PL.data!$D$3:$D$25, FSA!$A17, PL.data!E$3:E$25)</f>
        <v>-21836</v>
      </c>
      <c r="D17" s="123">
        <f>-SUMIF(PL.data!$D$3:$D$25, FSA!$A17, PL.data!F$3:F$25)</f>
        <v>-22875</v>
      </c>
      <c r="E17" s="123">
        <f>-SUMIF(PL.data!$D$3:$D$25, FSA!$A17, PL.data!G$3:G$25)</f>
        <v>-26394</v>
      </c>
      <c r="F17" s="123">
        <f>-SUMIF(PL.data!$D$3:$D$25, FSA!$A17, PL.data!H$3:H$25)</f>
        <v>-23911</v>
      </c>
      <c r="G17" s="123">
        <f>-SUMIF(PL.data!$D$3:$D$25, FSA!$A17, PL.data!I$3:I$25)</f>
        <v>-24282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-111000</v>
      </c>
      <c r="O17" s="190">
        <f>SUMIF(CF.data!$D$4:$D$43, $L17, CF.data!F$4:F$43)</f>
        <v>-39000</v>
      </c>
      <c r="P17" s="190">
        <f>SUMIF(CF.data!$D$4:$D$43, $L17, CF.data!G$4:G$43)</f>
        <v>-75000</v>
      </c>
      <c r="Q17" s="190">
        <f>SUMIF(CF.data!$D$4:$D$43, $L17, CF.data!H$4:H$43)</f>
        <v>-75000</v>
      </c>
      <c r="R17" s="190">
        <f>SUMIF(CF.data!$D$4:$D$43, $L17, CF.data!I$4:I$43)</f>
        <v>-111000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>
      <c r="A18" s="176" t="s">
        <v>31</v>
      </c>
      <c r="B18" s="176"/>
      <c r="C18" s="187">
        <f t="shared" ref="C18:J18" si="9">C16+C17</f>
        <v>92218</v>
      </c>
      <c r="D18" s="187">
        <f t="shared" si="9"/>
        <v>96583</v>
      </c>
      <c r="E18" s="187">
        <f t="shared" si="9"/>
        <v>112926</v>
      </c>
      <c r="F18" s="187">
        <f t="shared" si="9"/>
        <v>104760</v>
      </c>
      <c r="G18" s="187">
        <f t="shared" si="9"/>
        <v>106731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-36461</v>
      </c>
      <c r="O18" s="194">
        <f t="shared" si="10"/>
        <v>81023</v>
      </c>
      <c r="P18" s="194">
        <f t="shared" si="10"/>
        <v>117371</v>
      </c>
      <c r="Q18" s="194">
        <f t="shared" si="10"/>
        <v>-31924</v>
      </c>
      <c r="R18" s="194">
        <f t="shared" si="10"/>
        <v>-13117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80800</v>
      </c>
      <c r="O20" s="190">
        <f>SUMIF(CF.data!$D$4:$D$43, $L20, CF.data!F$4:F$43)</f>
        <v>-106000</v>
      </c>
      <c r="P20" s="190">
        <f>SUMIF(CF.data!$D$4:$D$43, $L20, CF.data!G$4:G$43)</f>
        <v>-71000</v>
      </c>
      <c r="Q20" s="190">
        <f>SUMIF(CF.data!$D$4:$D$43, $L20, CF.data!H$4:H$43)</f>
        <v>38400</v>
      </c>
      <c r="R20" s="190">
        <f>SUMIF(CF.data!$D$4:$D$43, $L20, CF.data!I$4:I$43)</f>
        <v>-24100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>
      <c r="A21" s="191" t="s">
        <v>36</v>
      </c>
      <c r="B21" s="191"/>
      <c r="C21" s="196">
        <f>SUMIF(CF.data!$D$4:$D$43, FSA!$A21, CF.data!E$4:E$43)</f>
        <v>23127</v>
      </c>
      <c r="D21" s="196">
        <f>SUMIF(CF.data!$D$4:$D$43, FSA!$A21, CF.data!F$4:F$43)</f>
        <v>26021</v>
      </c>
      <c r="E21" s="196">
        <f>SUMIF(CF.data!$D$4:$D$43, FSA!$A21, CF.data!G$4:G$43)</f>
        <v>28475</v>
      </c>
      <c r="F21" s="196">
        <f>SUMIF(CF.data!$D$4:$D$43, FSA!$A21, CF.data!H$4:H$43)</f>
        <v>31370</v>
      </c>
      <c r="G21" s="196">
        <f>SUMIF(CF.data!$D$4:$D$43, FSA!$A21, CF.data!I$4:I$43)</f>
        <v>33823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44339</v>
      </c>
      <c r="O21" s="198">
        <f t="shared" si="11"/>
        <v>-24977</v>
      </c>
      <c r="P21" s="198">
        <f t="shared" si="11"/>
        <v>46371</v>
      </c>
      <c r="Q21" s="198">
        <f t="shared" si="11"/>
        <v>6476</v>
      </c>
      <c r="R21" s="198">
        <f t="shared" si="11"/>
        <v>-37217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-44712</v>
      </c>
      <c r="O22" s="190">
        <f>SUMIF(CF.data!$D$4:$D$43, $L22, CF.data!F$4:F$43)</f>
        <v>10000</v>
      </c>
      <c r="P22" s="190">
        <f>SUMIF(CF.data!$D$4:$D$43, $L22, CF.data!G$4:G$43)</f>
        <v>-1195</v>
      </c>
      <c r="Q22" s="190">
        <f>SUMIF(CF.data!$D$4:$D$43, $L22, CF.data!H$4:H$43)</f>
        <v>-1434</v>
      </c>
      <c r="R22" s="190">
        <f>SUMIF(CF.data!$D$4:$D$43, $L22, CF.data!I$4:I$43)</f>
        <v>23712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0</v>
      </c>
      <c r="O23" s="190">
        <f>SUMIF(CF.data!$D$4:$D$43, $L23, CF.data!F$4:F$43)</f>
        <v>0</v>
      </c>
      <c r="P23" s="190">
        <f>SUMIF(CF.data!$D$4:$D$43, $L23, CF.data!G$4:G$43)</f>
        <v>0</v>
      </c>
      <c r="Q23" s="190">
        <f>SUMIF(CF.data!$D$4:$D$43, $L23, CF.data!H$4:H$43)</f>
        <v>0</v>
      </c>
      <c r="R23" s="190">
        <f>SUMIF(CF.data!$D$4:$D$43, $L23, CF.data!I$4:I$43)</f>
        <v>0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-373</v>
      </c>
      <c r="O24" s="199">
        <f t="shared" si="12"/>
        <v>-14977</v>
      </c>
      <c r="P24" s="199">
        <f t="shared" si="12"/>
        <v>45176</v>
      </c>
      <c r="Q24" s="199">
        <f t="shared" si="12"/>
        <v>5042</v>
      </c>
      <c r="R24" s="199">
        <f t="shared" si="12"/>
        <v>-13505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>
      <c r="A25" s="195" t="s">
        <v>8</v>
      </c>
      <c r="B25" s="195"/>
      <c r="C25" s="196">
        <f t="shared" ref="C25:J25" si="13">C12+C21+C22</f>
        <v>130968</v>
      </c>
      <c r="D25" s="196">
        <f t="shared" si="13"/>
        <v>138533</v>
      </c>
      <c r="E25" s="196">
        <f t="shared" si="13"/>
        <v>154113</v>
      </c>
      <c r="F25" s="196">
        <f t="shared" si="13"/>
        <v>150460</v>
      </c>
      <c r="G25" s="196">
        <f t="shared" si="13"/>
        <v>157427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1</v>
      </c>
      <c r="O25" s="200">
        <f>O24-CF.data!F40</f>
        <v>0</v>
      </c>
      <c r="P25" s="200">
        <f>P24-CF.data!G40</f>
        <v>-2</v>
      </c>
      <c r="Q25" s="200">
        <f>Q24-CF.data!H40</f>
        <v>1</v>
      </c>
      <c r="R25" s="200">
        <f>R24-CF.data!I40</f>
        <v>0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>
      <c r="A26" s="195" t="s">
        <v>45</v>
      </c>
      <c r="B26" s="176"/>
      <c r="C26" s="196">
        <f t="shared" ref="C26:J26" si="14">C25+C24</f>
        <v>130968</v>
      </c>
      <c r="D26" s="196">
        <f t="shared" si="14"/>
        <v>138533</v>
      </c>
      <c r="E26" s="196">
        <f t="shared" si="14"/>
        <v>154113</v>
      </c>
      <c r="F26" s="196">
        <f t="shared" si="14"/>
        <v>150460</v>
      </c>
      <c r="G26" s="196">
        <f t="shared" si="14"/>
        <v>157427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>
      <c r="A29" s="177" t="s">
        <v>48</v>
      </c>
      <c r="B29" s="189"/>
      <c r="C29" s="202">
        <f>SUMIF(BS.data!$D$5:$D$116,FSA!$A29,BS.data!E$5:E$116)</f>
        <v>50297</v>
      </c>
      <c r="D29" s="202">
        <f>SUMIF(BS.data!$D$5:$D$116,FSA!$A29,BS.data!F$5:F$116)</f>
        <v>141319</v>
      </c>
      <c r="E29" s="202">
        <f>SUMIF(BS.data!$D$5:$D$116,FSA!$A29,BS.data!G$5:G$116)</f>
        <v>217497</v>
      </c>
      <c r="F29" s="202">
        <f>SUMIF(BS.data!$D$5:$D$116,FSA!$A29,BS.data!H$5:H$116)</f>
        <v>184138</v>
      </c>
      <c r="G29" s="202">
        <f>SUMIF(BS.data!$D$5:$D$116,FSA!$A29,BS.data!I$5:I$116)</f>
        <v>194732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>
      <c r="A30" s="177" t="s">
        <v>50</v>
      </c>
      <c r="B30" s="189"/>
      <c r="C30" s="202">
        <f>SUMIF(BS.data!$D$5:$D$116,FSA!$A30,BS.data!E$5:E$116)</f>
        <v>8546</v>
      </c>
      <c r="D30" s="202">
        <f>SUMIF(BS.data!$D$5:$D$116,FSA!$A30,BS.data!F$5:F$116)</f>
        <v>9687</v>
      </c>
      <c r="E30" s="202">
        <f>SUMIF(BS.data!$D$5:$D$116,FSA!$A30,BS.data!G$5:G$116)</f>
        <v>19089</v>
      </c>
      <c r="F30" s="202">
        <f>SUMIF(BS.data!$D$5:$D$116,FSA!$A30,BS.data!H$5:H$116)</f>
        <v>34504</v>
      </c>
      <c r="G30" s="202">
        <f>SUMIF(BS.data!$D$5:$D$116,FSA!$A30,BS.data!I$5:I$116)</f>
        <v>16875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>
        <f t="shared" ref="O30:U30" si="17">D7/C7-1</f>
        <v>2.8529059108852062E-2</v>
      </c>
      <c r="P30" s="204">
        <f t="shared" si="17"/>
        <v>3.032767870514208E-2</v>
      </c>
      <c r="Q30" s="204">
        <f t="shared" si="17"/>
        <v>-2.7807623797648784E-2</v>
      </c>
      <c r="R30" s="204">
        <f t="shared" si="17"/>
        <v>5.8745067689186747E-2</v>
      </c>
      <c r="S30" s="204">
        <f t="shared" si="17"/>
        <v>-1</v>
      </c>
      <c r="T30" s="204" t="e">
        <f t="shared" si="17"/>
        <v>#DIV/0!</v>
      </c>
      <c r="U30" s="204" t="e">
        <f t="shared" si="17"/>
        <v>#DIV/0!</v>
      </c>
    </row>
    <row r="31" spans="1:21">
      <c r="A31" s="189" t="s">
        <v>53</v>
      </c>
      <c r="B31" s="189"/>
      <c r="C31" s="202">
        <f>SUMIF(BS.data!$D$5:$D$116,FSA!$A31,BS.data!E$5:E$116)</f>
        <v>16159</v>
      </c>
      <c r="D31" s="202">
        <f>SUMIF(BS.data!$D$5:$D$116,FSA!$A31,BS.data!F$5:F$116)</f>
        <v>10979</v>
      </c>
      <c r="E31" s="202">
        <f>SUMIF(BS.data!$D$5:$D$116,FSA!$A31,BS.data!G$5:G$116)</f>
        <v>6485</v>
      </c>
      <c r="F31" s="202">
        <f>SUMIF(BS.data!$D$5:$D$116,FSA!$A31,BS.data!H$5:H$116)</f>
        <v>5719</v>
      </c>
      <c r="G31" s="202">
        <f>SUMIF(BS.data!$D$5:$D$116,FSA!$A31,BS.data!I$5:I$116)</f>
        <v>5820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>
        <f t="shared" ref="N31:U31" si="18">C9/C7</f>
        <v>0.38610272998269413</v>
      </c>
      <c r="O31" s="205">
        <f t="shared" si="18"/>
        <v>0.40075525551539143</v>
      </c>
      <c r="P31" s="205">
        <f t="shared" si="18"/>
        <v>0.42788742429640186</v>
      </c>
      <c r="Q31" s="205">
        <f t="shared" si="18"/>
        <v>0.41471572886801633</v>
      </c>
      <c r="R31" s="205">
        <f t="shared" si="18"/>
        <v>0.41208117245408504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>
      <c r="A32" s="120" t="s">
        <v>55</v>
      </c>
      <c r="C32" s="202">
        <f>SUMIF(BS.data!$D$5:$D$116,FSA!$A32,BS.data!E$5:E$116)</f>
        <v>57844</v>
      </c>
      <c r="D32" s="202">
        <f>SUMIF(BS.data!$D$5:$D$116,FSA!$A32,BS.data!F$5:F$116)</f>
        <v>60963</v>
      </c>
      <c r="E32" s="202">
        <f>SUMIF(BS.data!$D$5:$D$116,FSA!$A32,BS.data!G$5:G$116)</f>
        <v>25303</v>
      </c>
      <c r="F32" s="202">
        <f>SUMIF(BS.data!$D$5:$D$116,FSA!$A32,BS.data!H$5:H$116)</f>
        <v>52928</v>
      </c>
      <c r="G32" s="202">
        <f>SUMIF(BS.data!$D$5:$D$116,FSA!$A32,BS.data!I$5:I$116)</f>
        <v>57484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>
        <f t="shared" ref="N32:U32" si="19">C25/C7</f>
        <v>0.39555301856533204</v>
      </c>
      <c r="O32" s="206">
        <f t="shared" si="19"/>
        <v>0.40679553776718047</v>
      </c>
      <c r="P32" s="206">
        <f t="shared" si="19"/>
        <v>0.4392247951549697</v>
      </c>
      <c r="Q32" s="206">
        <f t="shared" si="19"/>
        <v>0.44107904009756155</v>
      </c>
      <c r="R32" s="206">
        <f t="shared" si="19"/>
        <v>0.43589629994711443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>
      <c r="A33" s="120" t="s">
        <v>57</v>
      </c>
      <c r="C33" s="202">
        <f>SUMIF(BS.data!$D$5:$D$116,FSA!$A33,BS.data!E$5:E$116)</f>
        <v>0</v>
      </c>
      <c r="D33" s="202">
        <f>SUMIF(BS.data!$D$5:$D$116,FSA!$A33,BS.data!F$5:F$116)</f>
        <v>0</v>
      </c>
      <c r="E33" s="202">
        <f>SUMIF(BS.data!$D$5:$D$116,FSA!$A33,BS.data!G$5:G$116)</f>
        <v>0</v>
      </c>
      <c r="F33" s="202">
        <f>SUMIF(BS.data!$D$5:$D$116,FSA!$A33,BS.data!H$5:H$116)</f>
        <v>0</v>
      </c>
      <c r="G33" s="202">
        <f>SUMIF(BS.data!$D$5:$D$116,FSA!$A33,BS.data!I$5:I$116)</f>
        <v>0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>
        <f t="shared" ref="N33:U33" si="20">N11/C7</f>
        <v>0.31915639034614818</v>
      </c>
      <c r="O33" s="205">
        <f t="shared" si="20"/>
        <v>0.35916040957635803</v>
      </c>
      <c r="P33" s="205">
        <f t="shared" si="20"/>
        <v>0.37122622016387602</v>
      </c>
      <c r="Q33" s="205">
        <f t="shared" si="20"/>
        <v>0.36844728217215156</v>
      </c>
      <c r="R33" s="205">
        <f t="shared" si="20"/>
        <v>0.36874544865529396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>
      <c r="A34" s="189" t="s">
        <v>59</v>
      </c>
      <c r="B34" s="189"/>
      <c r="C34" s="202">
        <f>SUMIF(BS.data!$D$5:$D$116,FSA!$A34,BS.data!E$5:E$116)</f>
        <v>399620</v>
      </c>
      <c r="D34" s="202">
        <f>SUMIF(BS.data!$D$5:$D$116,FSA!$A34,BS.data!F$5:F$116)</f>
        <v>391150</v>
      </c>
      <c r="E34" s="202">
        <f>SUMIF(BS.data!$D$5:$D$116,FSA!$A34,BS.data!G$5:G$116)</f>
        <v>485921</v>
      </c>
      <c r="F34" s="202">
        <f>SUMIF(BS.data!$D$5:$D$116,FSA!$A34,BS.data!H$5:H$116)</f>
        <v>475816</v>
      </c>
      <c r="G34" s="202">
        <f>SUMIF(BS.data!$D$5:$D$116,FSA!$A34,BS.data!I$5:I$116)</f>
        <v>505742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>
        <f t="shared" ref="O34:U34" si="21">(D16-D14)/(AVERAGE(C48+C54,D48+D54))</f>
        <v>0.23302680722010397</v>
      </c>
      <c r="P34" s="207">
        <f t="shared" si="21"/>
        <v>0.25071098065649228</v>
      </c>
      <c r="Q34" s="207">
        <f t="shared" si="21"/>
        <v>0.22138445770825646</v>
      </c>
      <c r="R34" s="207">
        <f t="shared" si="21"/>
        <v>0.21981605155634548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>
      <c r="A35" s="177" t="s">
        <v>61</v>
      </c>
      <c r="B35" s="202"/>
      <c r="C35" s="202">
        <f>SUMIF(BS.data!$D$5:$D$116,FSA!$A35,BS.data!E$5:E$116)</f>
        <v>41912</v>
      </c>
      <c r="D35" s="202">
        <f>SUMIF(BS.data!$D$5:$D$116,FSA!$A35,BS.data!F$5:F$116)</f>
        <v>59389</v>
      </c>
      <c r="E35" s="202">
        <f>SUMIF(BS.data!$D$5:$D$116,FSA!$A35,BS.data!G$5:G$116)</f>
        <v>98175</v>
      </c>
      <c r="F35" s="202">
        <f>SUMIF(BS.data!$D$5:$D$116,FSA!$A35,BS.data!H$5:H$116)</f>
        <v>93891</v>
      </c>
      <c r="G35" s="202">
        <f>SUMIF(BS.data!$D$5:$D$116,FSA!$A35,BS.data!I$5:I$116)</f>
        <v>89608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>
        <f t="shared" ref="O35:U35" si="22">(AVERAGE(C30:D30)/D7)*365</f>
        <v>9.7711108892458309</v>
      </c>
      <c r="P35" s="131">
        <f t="shared" si="22"/>
        <v>14.967210545065907</v>
      </c>
      <c r="Q35" s="131">
        <f t="shared" si="22"/>
        <v>28.672548795431496</v>
      </c>
      <c r="R35" s="131">
        <f t="shared" si="22"/>
        <v>25.962856873880337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>
      <c r="A36" s="177" t="s">
        <v>63</v>
      </c>
      <c r="B36" s="189"/>
      <c r="C36" s="202">
        <f>SUMIF(BS.data!$D$5:$D$116,FSA!$A36,BS.data!E$5:E$116)</f>
        <v>259119</v>
      </c>
      <c r="D36" s="202">
        <f>SUMIF(BS.data!$D$5:$D$116,FSA!$A36,BS.data!F$5:F$116)</f>
        <v>267458</v>
      </c>
      <c r="E36" s="202">
        <f>SUMIF(BS.data!$D$5:$D$116,FSA!$A36,BS.data!G$5:G$116)</f>
        <v>308503</v>
      </c>
      <c r="F36" s="202">
        <f>SUMIF(BS.data!$D$5:$D$116,FSA!$A36,BS.data!H$5:H$116)</f>
        <v>317465</v>
      </c>
      <c r="G36" s="202">
        <f>SUMIF(BS.data!$D$5:$D$116,FSA!$A36,BS.data!I$5:I$116)</f>
        <v>386752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>
        <f t="shared" ref="O36:U36" si="23">(AVERAGE(C31:D31)/-D8)*365</f>
        <v>24.269420936830805</v>
      </c>
      <c r="P36" s="131">
        <f t="shared" si="23"/>
        <v>15.877154528245493</v>
      </c>
      <c r="Q36" s="131">
        <f t="shared" si="23"/>
        <v>11.155616550881287</v>
      </c>
      <c r="R36" s="131">
        <f t="shared" si="23"/>
        <v>9.9178523154885525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>
      <c r="A37" s="189" t="s">
        <v>65</v>
      </c>
      <c r="B37" s="189"/>
      <c r="C37" s="202">
        <f>SUMIF(BS.data!$D$5:$D$116,FSA!$A37,BS.data!E$5:E$116)</f>
        <v>38967</v>
      </c>
      <c r="D37" s="202">
        <f>SUMIF(BS.data!$D$5:$D$116,FSA!$A37,BS.data!F$5:F$116)</f>
        <v>37878</v>
      </c>
      <c r="E37" s="202">
        <f>SUMIF(BS.data!$D$5:$D$116,FSA!$A37,BS.data!G$5:G$116)</f>
        <v>34350</v>
      </c>
      <c r="F37" s="202">
        <f>SUMIF(BS.data!$D$5:$D$116,FSA!$A37,BS.data!H$5:H$116)</f>
        <v>33311</v>
      </c>
      <c r="G37" s="202">
        <f>SUMIF(BS.data!$D$5:$D$116,FSA!$A37,BS.data!I$5:I$116)</f>
        <v>32320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>
        <f t="shared" ref="O37:U37" si="24">(AVERAGE(C40:D40)/-D8)*365</f>
        <v>50.355158253745024</v>
      </c>
      <c r="P37" s="131">
        <f t="shared" si="24"/>
        <v>52.256239414167574</v>
      </c>
      <c r="Q37" s="131">
        <f t="shared" si="24"/>
        <v>50.720394588557035</v>
      </c>
      <c r="R37" s="131">
        <f t="shared" si="24"/>
        <v>51.851484239230253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>
      <c r="A38" s="176" t="s">
        <v>67</v>
      </c>
      <c r="B38" s="176"/>
      <c r="C38" s="208">
        <f t="shared" ref="C38:J38" si="25">SUM(C29:C37)</f>
        <v>872464</v>
      </c>
      <c r="D38" s="208">
        <f t="shared" si="25"/>
        <v>978823</v>
      </c>
      <c r="E38" s="208">
        <f t="shared" si="25"/>
        <v>1195323</v>
      </c>
      <c r="F38" s="208">
        <f t="shared" si="25"/>
        <v>1197772</v>
      </c>
      <c r="G38" s="208">
        <f t="shared" si="25"/>
        <v>1289333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-2444</v>
      </c>
      <c r="O38" s="209">
        <f t="shared" si="26"/>
        <v>-183</v>
      </c>
      <c r="P38" s="209">
        <f t="shared" si="26"/>
        <v>-38771</v>
      </c>
      <c r="Q38" s="209">
        <f t="shared" si="26"/>
        <v>5453</v>
      </c>
      <c r="R38" s="209">
        <f t="shared" si="26"/>
        <v>-14522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>
        <f t="shared" ref="O39:U39" si="27">(O38+N38)/2/D7</f>
        <v>-3.8570300134783157E-3</v>
      </c>
      <c r="P39" s="133">
        <f t="shared" si="27"/>
        <v>-5.550979693623085E-2</v>
      </c>
      <c r="Q39" s="133">
        <f t="shared" si="27"/>
        <v>-4.8836473009339874E-2</v>
      </c>
      <c r="R39" s="133">
        <f t="shared" si="27"/>
        <v>-1.2555481411131447E-2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>
      <c r="A40" s="189" t="s">
        <v>70</v>
      </c>
      <c r="B40" s="189"/>
      <c r="C40" s="202">
        <f>SUMIF(BS.data!$D$5:$D$116,FSA!$A40,BS.data!E$5:E$116)</f>
        <v>30003</v>
      </c>
      <c r="D40" s="202">
        <f>SUMIF(BS.data!$D$5:$D$116,FSA!$A40,BS.data!F$5:F$116)</f>
        <v>26304</v>
      </c>
      <c r="E40" s="202">
        <f>SUMIF(BS.data!$D$5:$D$116,FSA!$A40,BS.data!G$5:G$116)</f>
        <v>31175</v>
      </c>
      <c r="F40" s="202">
        <f>SUMIF(BS.data!$D$5:$D$116,FSA!$A40,BS.data!H$5:H$116)</f>
        <v>24312</v>
      </c>
      <c r="G40" s="202">
        <f>SUMIF(BS.data!$D$5:$D$116,FSA!$A40,BS.data!I$5:I$116)</f>
        <v>36015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>
        <f t="shared" ref="O40:U40" si="28">D7/AVERAGE(C36:D36)</f>
        <v>1.2934366673819784</v>
      </c>
      <c r="P40" s="210">
        <f t="shared" si="28"/>
        <v>1.2183984679518232</v>
      </c>
      <c r="Q40" s="210">
        <f t="shared" si="28"/>
        <v>1.0898895790200138</v>
      </c>
      <c r="R40" s="210">
        <f t="shared" si="28"/>
        <v>1.0256980447788111</v>
      </c>
      <c r="S40" s="210">
        <f t="shared" si="28"/>
        <v>0</v>
      </c>
      <c r="T40" s="210" t="e">
        <f t="shared" si="28"/>
        <v>#DIV/0!</v>
      </c>
      <c r="U40" s="210" t="e">
        <f t="shared" si="28"/>
        <v>#DIV/0!</v>
      </c>
    </row>
    <row r="41" spans="1:21">
      <c r="A41" s="189" t="s">
        <v>72</v>
      </c>
      <c r="B41" s="189"/>
      <c r="C41" s="202">
        <f>SUMIF(BS.data!$D$5:$D$116,FSA!$A41,BS.data!E$5:E$116)</f>
        <v>26036</v>
      </c>
      <c r="D41" s="202">
        <f>SUMIF(BS.data!$D$5:$D$116,FSA!$A41,BS.data!F$5:F$116)</f>
        <v>23743</v>
      </c>
      <c r="E41" s="202">
        <f>SUMIF(BS.data!$D$5:$D$116,FSA!$A41,BS.data!G$5:G$116)</f>
        <v>22763</v>
      </c>
      <c r="F41" s="202">
        <f>SUMIF(BS.data!$D$5:$D$116,FSA!$A41,BS.data!H$5:H$116)</f>
        <v>19979</v>
      </c>
      <c r="G41" s="202">
        <f>SUMIF(BS.data!$D$5:$D$116,FSA!$A41,BS.data!I$5:I$116)</f>
        <v>19612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>
        <f t="shared" ref="N41:U41" si="29">-N14/C21</f>
        <v>4.302460327755437</v>
      </c>
      <c r="O41" s="137">
        <f t="shared" si="29"/>
        <v>2.2822335805695402</v>
      </c>
      <c r="P41" s="137">
        <f t="shared" si="29"/>
        <v>2.533731343283582</v>
      </c>
      <c r="Q41" s="137">
        <f t="shared" si="29"/>
        <v>1.6039528211667198</v>
      </c>
      <c r="R41" s="137">
        <f t="shared" si="29"/>
        <v>1.6746001241758566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>
      <c r="A42" s="189" t="s">
        <v>74</v>
      </c>
      <c r="C42" s="202">
        <f>SUMIF(BS.data!$D$5:$D$116,FSA!$A42,BS.data!E$5:E$116)</f>
        <v>16445</v>
      </c>
      <c r="D42" s="202">
        <f>SUMIF(BS.data!$D$5:$D$116,FSA!$A42,BS.data!F$5:F$116)</f>
        <v>15060</v>
      </c>
      <c r="E42" s="202">
        <f>SUMIF(BS.data!$D$5:$D$116,FSA!$A42,BS.data!G$5:G$116)</f>
        <v>15406</v>
      </c>
      <c r="F42" s="202">
        <f>SUMIF(BS.data!$D$5:$D$116,FSA!$A42,BS.data!H$5:H$116)</f>
        <v>19733</v>
      </c>
      <c r="G42" s="202">
        <f>SUMIF(BS.data!$D$5:$D$116,FSA!$A42,BS.data!I$5:I$116)</f>
        <v>14023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>
        <f t="shared" ref="N42:U42" si="30">-N14/C7</f>
        <v>0.3005215931090513</v>
      </c>
      <c r="O42" s="138">
        <f t="shared" si="30"/>
        <v>0.17438415255456663</v>
      </c>
      <c r="P42" s="138">
        <f t="shared" si="30"/>
        <v>0.20562308514428215</v>
      </c>
      <c r="Q42" s="138">
        <f t="shared" si="30"/>
        <v>0.14750321003289185</v>
      </c>
      <c r="R42" s="138">
        <f t="shared" si="30"/>
        <v>0.15682930138416257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>
      <c r="A43" s="189" t="s">
        <v>76</v>
      </c>
      <c r="C43" s="202">
        <f>SUMIF(BS.data!$D$5:$D$116,FSA!$A43,BS.data!E$5:E$116)</f>
        <v>12509</v>
      </c>
      <c r="D43" s="202">
        <f>SUMIF(BS.data!$D$5:$D$116,FSA!$A43,BS.data!F$5:F$116)</f>
        <v>16705</v>
      </c>
      <c r="E43" s="202">
        <f>SUMIF(BS.data!$D$5:$D$116,FSA!$A43,BS.data!G$5:G$116)</f>
        <v>20304</v>
      </c>
      <c r="F43" s="202">
        <f>SUMIF(BS.data!$D$5:$D$116,FSA!$A43,BS.data!H$5:H$116)</f>
        <v>23674</v>
      </c>
      <c r="G43" s="202">
        <f>SUMIF(BS.data!$D$5:$D$116,FSA!$A43,BS.data!I$5:I$116)</f>
        <v>25051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>
      <c r="A44" s="189" t="s">
        <v>77</v>
      </c>
      <c r="B44" s="189"/>
      <c r="C44" s="202">
        <f>SUMIF(BS.data!$D$5:$D$116,FSA!$A44,BS.data!E$5:E$116)</f>
        <v>302763</v>
      </c>
      <c r="D44" s="202">
        <f>SUMIF(BS.data!$D$5:$D$116,FSA!$A44,BS.data!F$5:F$116)</f>
        <v>349498</v>
      </c>
      <c r="E44" s="202">
        <f>SUMIF(BS.data!$D$5:$D$116,FSA!$A44,BS.data!G$5:G$116)</f>
        <v>523287</v>
      </c>
      <c r="F44" s="202">
        <f>SUMIF(BS.data!$D$5:$D$116,FSA!$A44,BS.data!H$5:H$116)</f>
        <v>511863</v>
      </c>
      <c r="G44" s="202">
        <f>SUMIF(BS.data!$D$5:$D$116,FSA!$A44,BS.data!I$5:I$116)</f>
        <v>584711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>
      <c r="A45" s="189" t="s">
        <v>79</v>
      </c>
      <c r="B45" s="189"/>
      <c r="C45" s="202">
        <f>SUMIF(BS.data!$D$5:$D$116,FSA!$A45,BS.data!E$5:E$116)</f>
        <v>1154</v>
      </c>
      <c r="D45" s="202">
        <f>SUMIF(BS.data!$D$5:$D$116,FSA!$A45,BS.data!F$5:F$116)</f>
        <v>5597</v>
      </c>
      <c r="E45" s="202">
        <f>SUMIF(BS.data!$D$5:$D$116,FSA!$A45,BS.data!G$5:G$116)</f>
        <v>7184</v>
      </c>
      <c r="F45" s="202">
        <f>SUMIF(BS.data!$D$5:$D$116,FSA!$A45,BS.data!H$5:H$116)</f>
        <v>5490</v>
      </c>
      <c r="G45" s="202">
        <f>SUMIF(BS.data!$D$5:$D$116,FSA!$A45,BS.data!I$5:I$116)</f>
        <v>5349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>
        <f t="shared" ref="N45:U45" si="31">C48/C54</f>
        <v>0</v>
      </c>
      <c r="O45" s="136">
        <f t="shared" si="31"/>
        <v>1.8799960896081335E-2</v>
      </c>
      <c r="P45" s="136">
        <f t="shared" si="31"/>
        <v>1.5545605740133263E-2</v>
      </c>
      <c r="Q45" s="136">
        <f t="shared" si="31"/>
        <v>1.2592487558704294E-2</v>
      </c>
      <c r="R45" s="136">
        <f t="shared" si="31"/>
        <v>5.419981900263126E-2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>
      <c r="A46" s="189" t="s">
        <v>81</v>
      </c>
      <c r="B46" s="189"/>
      <c r="C46" s="202">
        <f>SUMIF(BS.data!$D$5:$D$116,FSA!$A46,BS.data!E$5:E$116)</f>
        <v>0</v>
      </c>
      <c r="D46" s="202">
        <f>SUMIF(BS.data!$D$5:$D$116,FSA!$A46,BS.data!F$5:F$116)</f>
        <v>1195</v>
      </c>
      <c r="E46" s="202">
        <f>SUMIF(BS.data!$D$5:$D$116,FSA!$A46,BS.data!G$5:G$116)</f>
        <v>1434</v>
      </c>
      <c r="F46" s="202">
        <f>SUMIF(BS.data!$D$5:$D$116,FSA!$A46,BS.data!H$5:H$116)</f>
        <v>1434</v>
      </c>
      <c r="G46" s="202">
        <f>SUMIF(BS.data!$D$5:$D$116,FSA!$A46,BS.data!I$5:I$116)</f>
        <v>8367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>
        <f t="shared" ref="N46:U46" si="32">C54/C49</f>
        <v>1.2433570749016483</v>
      </c>
      <c r="O46" s="137">
        <f t="shared" si="32"/>
        <v>1.1902163089859858</v>
      </c>
      <c r="P46" s="137">
        <f t="shared" si="32"/>
        <v>0.90058258231519228</v>
      </c>
      <c r="Q46" s="137">
        <f t="shared" si="32"/>
        <v>0.95579355411791211</v>
      </c>
      <c r="R46" s="137">
        <f t="shared" si="32"/>
        <v>0.80113683987013928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>
      <c r="A47" s="189" t="s">
        <v>83</v>
      </c>
      <c r="B47" s="189"/>
      <c r="C47" s="202">
        <f>SUMIF(BS.data!$D$5:$D$116,FSA!$A47,BS.data!E$5:E$116)</f>
        <v>0</v>
      </c>
      <c r="D47" s="202">
        <f>SUMIF(BS.data!$D$5:$D$116,FSA!$A47,BS.data!F$5:F$116)</f>
        <v>8805</v>
      </c>
      <c r="E47" s="202">
        <f>SUMIF(BS.data!$D$5:$D$116,FSA!$A47,BS.data!G$5:G$116)</f>
        <v>7371</v>
      </c>
      <c r="F47" s="202">
        <f>SUMIF(BS.data!$D$5:$D$116,FSA!$A47,BS.data!H$5:H$116)</f>
        <v>5937</v>
      </c>
      <c r="G47" s="202">
        <f>SUMIF(BS.data!$D$5:$D$116,FSA!$A47,BS.data!I$5:I$116)</f>
        <v>22716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>
        <f t="shared" ref="N47:U47" si="33">((C24*8)+C48)/C26</f>
        <v>0</v>
      </c>
      <c r="O47" s="211">
        <f t="shared" si="33"/>
        <v>7.2184966758822813E-2</v>
      </c>
      <c r="P47" s="211">
        <f t="shared" si="33"/>
        <v>5.7133402114033206E-2</v>
      </c>
      <c r="Q47" s="211">
        <f t="shared" si="33"/>
        <v>4.8989764721520668E-2</v>
      </c>
      <c r="R47" s="211">
        <f t="shared" si="33"/>
        <v>0.19744389463052717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0</v>
      </c>
      <c r="D48" s="208">
        <f t="shared" si="34"/>
        <v>10000</v>
      </c>
      <c r="E48" s="208">
        <f t="shared" si="34"/>
        <v>8805</v>
      </c>
      <c r="F48" s="208">
        <f t="shared" si="34"/>
        <v>7371</v>
      </c>
      <c r="G48" s="208">
        <f t="shared" si="34"/>
        <v>31083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>
        <f t="shared" ref="N48:U48" si="35">+C48/C25</f>
        <v>0</v>
      </c>
      <c r="O48" s="174">
        <f t="shared" si="35"/>
        <v>7.2184966758822813E-2</v>
      </c>
      <c r="P48" s="174">
        <f t="shared" si="35"/>
        <v>5.7133402114033206E-2</v>
      </c>
      <c r="Q48" s="174">
        <f t="shared" si="35"/>
        <v>4.8989764721520668E-2</v>
      </c>
      <c r="R48" s="174">
        <f t="shared" si="35"/>
        <v>0.19744389463052717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>
      <c r="A49" s="176" t="s">
        <v>87</v>
      </c>
      <c r="B49" s="176"/>
      <c r="C49" s="208">
        <f t="shared" ref="C49:J49" si="36">SUM(C40:C47)</f>
        <v>388910</v>
      </c>
      <c r="D49" s="208">
        <f t="shared" si="36"/>
        <v>446907</v>
      </c>
      <c r="E49" s="208">
        <f t="shared" si="36"/>
        <v>628924</v>
      </c>
      <c r="F49" s="208">
        <f t="shared" si="36"/>
        <v>612422</v>
      </c>
      <c r="G49" s="208">
        <f t="shared" si="36"/>
        <v>715844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 t="e">
        <f t="shared" ref="N49:U49" si="37">N11/C48</f>
        <v>#DIV/0!</v>
      </c>
      <c r="O49" s="136">
        <f t="shared" si="37"/>
        <v>12.2311</v>
      </c>
      <c r="P49" s="136">
        <f t="shared" si="37"/>
        <v>14.793185689948892</v>
      </c>
      <c r="Q49" s="136">
        <f t="shared" si="37"/>
        <v>17.051146384479718</v>
      </c>
      <c r="R49" s="136">
        <f t="shared" si="37"/>
        <v>4.2844963484863108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>
      <c r="L50" s="177" t="s">
        <v>89</v>
      </c>
      <c r="N50" s="136" t="e">
        <f t="shared" ref="N50:U50" si="38">N13/C48</f>
        <v>#DIV/0!</v>
      </c>
      <c r="O50" s="136">
        <f t="shared" si="38"/>
        <v>17.453800000000001</v>
      </c>
      <c r="P50" s="136">
        <f t="shared" si="38"/>
        <v>29.074389551391256</v>
      </c>
      <c r="Q50" s="136">
        <f t="shared" si="38"/>
        <v>10.756613756613756</v>
      </c>
      <c r="R50" s="136">
        <f t="shared" si="38"/>
        <v>4.7350320110671431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>
      <c r="A51" s="189" t="s">
        <v>90</v>
      </c>
      <c r="B51" s="189"/>
      <c r="C51" s="202">
        <f>SUMIF(BS.data!$D$5:$D$116,FSA!$A51,BS.data!E$5:E$116)</f>
        <v>368580</v>
      </c>
      <c r="D51" s="202">
        <f>SUMIF(BS.data!$D$5:$D$116,FSA!$A51,BS.data!F$5:F$116)</f>
        <v>377802</v>
      </c>
      <c r="E51" s="202">
        <f>SUMIF(BS.data!$D$5:$D$116,FSA!$A51,BS.data!G$5:G$116)</f>
        <v>387460</v>
      </c>
      <c r="F51" s="202">
        <f>SUMIF(BS.data!$D$5:$D$116,FSA!$A51,BS.data!H$5:H$116)</f>
        <v>398753</v>
      </c>
      <c r="G51" s="202">
        <f>SUMIF(BS.data!$D$5:$D$116,FSA!$A51,BS.data!I$5:I$116)</f>
        <v>409229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 t="e">
        <f t="shared" ref="N51:U51" si="39">N15/C48</f>
        <v>#DIV/0!</v>
      </c>
      <c r="O51" s="136">
        <f t="shared" si="39"/>
        <v>11.5152</v>
      </c>
      <c r="P51" s="136">
        <f t="shared" si="39"/>
        <v>20.880408858603065</v>
      </c>
      <c r="Q51" s="136">
        <f t="shared" si="39"/>
        <v>3.9304029304029302</v>
      </c>
      <c r="R51" s="136">
        <f t="shared" si="39"/>
        <v>2.9128140784351575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>
      <c r="A52" s="189" t="s">
        <v>92</v>
      </c>
      <c r="B52" s="189"/>
      <c r="C52" s="202">
        <f>SUMIF(BS.data!$D$5:$D$116,FSA!$A52,BS.data!E$5:E$116)</f>
        <v>114974</v>
      </c>
      <c r="D52" s="202">
        <f>SUMIF(BS.data!$D$5:$D$116,FSA!$A52,BS.data!F$5:F$116)</f>
        <v>154114</v>
      </c>
      <c r="E52" s="202">
        <f>SUMIF(BS.data!$D$5:$D$116,FSA!$A52,BS.data!G$5:G$116)</f>
        <v>178938</v>
      </c>
      <c r="F52" s="202">
        <f>SUMIF(BS.data!$D$5:$D$116,FSA!$A52,BS.data!H$5:H$116)</f>
        <v>186596</v>
      </c>
      <c r="G52" s="202">
        <f>SUMIF(BS.data!$D$5:$D$116,FSA!$A52,BS.data!I$5:I$116)</f>
        <v>164260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 t="e">
        <f t="shared" ref="N52:U52" si="40">N18/C48</f>
        <v>#DIV/0!</v>
      </c>
      <c r="O52" s="136">
        <f t="shared" si="40"/>
        <v>8.1022999999999996</v>
      </c>
      <c r="P52" s="136">
        <f t="shared" si="40"/>
        <v>13.330039750141966</v>
      </c>
      <c r="Q52" s="136">
        <f t="shared" si="40"/>
        <v>-4.3310269976936642</v>
      </c>
      <c r="R52" s="136">
        <f t="shared" si="40"/>
        <v>-0.4219991635299038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0</v>
      </c>
      <c r="D53" s="202">
        <f>SUMIF(BS.data!$D$5:$D$116,FSA!$A53,BS.data!F$5:F$116)</f>
        <v>0</v>
      </c>
      <c r="E53" s="202">
        <f>SUMIF(BS.data!$D$5:$D$116,FSA!$A53,BS.data!G$5:G$116)</f>
        <v>0</v>
      </c>
      <c r="F53" s="202">
        <f>SUMIF(BS.data!$D$5:$D$116,FSA!$A53,BS.data!H$5:H$116)</f>
        <v>0</v>
      </c>
      <c r="G53" s="202">
        <f>SUMIF(BS.data!$D$5:$D$116,FSA!$A53,BS.data!I$5:I$116)</f>
        <v>0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>
        <f t="shared" ref="N53:U53" si="41">C48/(C54+C48)</f>
        <v>0</v>
      </c>
      <c r="O53" s="172">
        <f t="shared" si="41"/>
        <v>1.8453044383262351E-2</v>
      </c>
      <c r="P53" s="172">
        <f t="shared" si="41"/>
        <v>1.5307639216068066E-2</v>
      </c>
      <c r="Q53" s="172">
        <f t="shared" si="41"/>
        <v>1.2435888783911459E-2</v>
      </c>
      <c r="R53" s="172">
        <f t="shared" si="41"/>
        <v>5.1413231178420435E-2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>
      <c r="A54" s="134" t="s">
        <v>96</v>
      </c>
      <c r="C54" s="212">
        <f t="shared" ref="C54:J54" si="42">SUM(C51:C53)</f>
        <v>483554</v>
      </c>
      <c r="D54" s="212">
        <f t="shared" si="42"/>
        <v>531916</v>
      </c>
      <c r="E54" s="212">
        <f t="shared" si="42"/>
        <v>566398</v>
      </c>
      <c r="F54" s="212">
        <f t="shared" si="42"/>
        <v>585349</v>
      </c>
      <c r="G54" s="212">
        <f t="shared" si="42"/>
        <v>573489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>
      <c r="A55" s="176" t="s">
        <v>98</v>
      </c>
      <c r="B55" s="176"/>
      <c r="C55" s="208">
        <f t="shared" ref="C55:J55" si="43">C54+C49</f>
        <v>872464</v>
      </c>
      <c r="D55" s="208">
        <f t="shared" si="43"/>
        <v>978823</v>
      </c>
      <c r="E55" s="208">
        <f t="shared" si="43"/>
        <v>1195322</v>
      </c>
      <c r="F55" s="208">
        <f t="shared" si="43"/>
        <v>1197771</v>
      </c>
      <c r="G55" s="208">
        <f t="shared" si="43"/>
        <v>1289333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>
        <f t="shared" ref="N55:U55" si="44">(C48-C29)/C54</f>
        <v>-0.10401527026971134</v>
      </c>
      <c r="O55" s="137">
        <f t="shared" si="44"/>
        <v>-0.2468792064912505</v>
      </c>
      <c r="P55" s="137">
        <f t="shared" si="44"/>
        <v>-0.36845469087108357</v>
      </c>
      <c r="Q55" s="137">
        <f t="shared" si="44"/>
        <v>-0.3019856530035927</v>
      </c>
      <c r="R55" s="137">
        <f t="shared" si="44"/>
        <v>-0.28535682462959183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>
      <c r="A56" s="191" t="s">
        <v>100</v>
      </c>
      <c r="B56" s="191"/>
      <c r="C56" s="191">
        <f t="shared" ref="C56:J56" si="45">C38-C55</f>
        <v>0</v>
      </c>
      <c r="D56" s="191">
        <f t="shared" si="45"/>
        <v>0</v>
      </c>
      <c r="E56" s="191">
        <f t="shared" si="45"/>
        <v>1</v>
      </c>
      <c r="F56" s="191">
        <f t="shared" si="45"/>
        <v>1</v>
      </c>
      <c r="G56" s="191">
        <f t="shared" si="45"/>
        <v>0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>
        <f t="shared" ref="N56:U56" si="46">(C48-C29)/C25</f>
        <v>-0.38404037627512067</v>
      </c>
      <c r="O56" s="211">
        <f t="shared" si="46"/>
        <v>-0.94792576498018521</v>
      </c>
      <c r="P56" s="211">
        <f t="shared" si="46"/>
        <v>-1.3541492281637499</v>
      </c>
      <c r="Q56" s="211">
        <f t="shared" si="46"/>
        <v>-1.1748438123089193</v>
      </c>
      <c r="R56" s="211">
        <f t="shared" si="46"/>
        <v>-1.0395230805389164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>
      <c r="L57" s="177" t="s">
        <v>102</v>
      </c>
      <c r="M57" s="177"/>
      <c r="N57" s="211">
        <f t="shared" ref="N57:U57" si="47">((C24*8)+C48-C29)/C26</f>
        <v>-0.38404037627512067</v>
      </c>
      <c r="O57" s="211">
        <f t="shared" si="47"/>
        <v>-0.94792576498018521</v>
      </c>
      <c r="P57" s="211">
        <f t="shared" si="47"/>
        <v>-1.3541492281637499</v>
      </c>
      <c r="Q57" s="211">
        <f t="shared" si="47"/>
        <v>-1.1748438123089193</v>
      </c>
      <c r="R57" s="211">
        <f t="shared" si="47"/>
        <v>-1.0395230805389164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>
        <f t="shared" ref="N58:U58" si="48">N11/(C48-C29)</f>
        <v>-2.1009801777441997</v>
      </c>
      <c r="O58" s="136">
        <f t="shared" si="48"/>
        <v>-0.93140368111240568</v>
      </c>
      <c r="P58" s="136">
        <f t="shared" si="48"/>
        <v>-0.62414467253176931</v>
      </c>
      <c r="Q58" s="136">
        <f t="shared" si="48"/>
        <v>-0.71101506502910616</v>
      </c>
      <c r="R58" s="136">
        <f t="shared" si="48"/>
        <v>-0.81378437998399011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>
        <f t="shared" ref="N59:U59" si="49">N13/(C48-C29)</f>
        <v>-3.3096606159413087</v>
      </c>
      <c r="O59" s="136">
        <f t="shared" si="49"/>
        <v>-1.3291145988013919</v>
      </c>
      <c r="P59" s="136">
        <f t="shared" si="49"/>
        <v>-1.2266881337090065</v>
      </c>
      <c r="Q59" s="136">
        <f t="shared" si="49"/>
        <v>-0.44853960298019424</v>
      </c>
      <c r="R59" s="136">
        <f t="shared" si="49"/>
        <v>-0.89935777181650978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>
        <f t="shared" ref="N60:U60" si="50">N15/(C48-C29)</f>
        <v>-1.3313517704833291</v>
      </c>
      <c r="O60" s="136">
        <f t="shared" si="50"/>
        <v>-0.87688757910127246</v>
      </c>
      <c r="P60" s="136">
        <f t="shared" si="50"/>
        <v>-0.88097291702604796</v>
      </c>
      <c r="Q60" s="136">
        <f t="shared" si="50"/>
        <v>-0.16389371319307336</v>
      </c>
      <c r="R60" s="136">
        <f t="shared" si="50"/>
        <v>-0.55325116560443388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>
        <f t="shared" ref="N61:U61" si="51">N18/(C48-C29)</f>
        <v>0.7249140107759906</v>
      </c>
      <c r="O61" s="136">
        <f t="shared" si="51"/>
        <v>-0.6169937328185563</v>
      </c>
      <c r="P61" s="136">
        <f t="shared" si="51"/>
        <v>-0.56241255055296802</v>
      </c>
      <c r="Q61" s="136">
        <f t="shared" si="51"/>
        <v>0.18059932000882517</v>
      </c>
      <c r="R61" s="136">
        <f t="shared" si="51"/>
        <v>8.0153254831987972E-2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 t="e">
        <f t="shared" ref="N64:U64" si="52">C12/-C14</f>
        <v>#DIV/0!</v>
      </c>
      <c r="O64" s="211">
        <f t="shared" si="52"/>
        <v>4891.826086956522</v>
      </c>
      <c r="P64" s="211">
        <f t="shared" si="52"/>
        <v>175.22733612273362</v>
      </c>
      <c r="Q64" s="211">
        <f t="shared" si="52"/>
        <v>195.55008210180625</v>
      </c>
      <c r="R64" s="211">
        <f t="shared" si="52"/>
        <v>213.47841105354058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>
      <c r="B65" s="121"/>
      <c r="L65" s="177" t="s">
        <v>111</v>
      </c>
      <c r="M65" s="177"/>
      <c r="N65" s="216" t="e">
        <f t="shared" ref="N65:U65" si="53">C25/-C14</f>
        <v>#DIV/0!</v>
      </c>
      <c r="O65" s="216">
        <f t="shared" si="53"/>
        <v>6023.173913043478</v>
      </c>
      <c r="P65" s="216">
        <f t="shared" si="53"/>
        <v>214.94142259414227</v>
      </c>
      <c r="Q65" s="216">
        <f t="shared" si="53"/>
        <v>247.0607553366174</v>
      </c>
      <c r="R65" s="216">
        <f t="shared" si="53"/>
        <v>271.89464594127804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>
      <c r="B66" s="121"/>
      <c r="L66" s="120" t="s">
        <v>112</v>
      </c>
      <c r="N66" s="140" t="e">
        <f t="shared" ref="N66:U66" si="54">(N11-N9)/-N9</f>
        <v>#DIV/0!</v>
      </c>
      <c r="O66" s="140" t="e">
        <f t="shared" si="54"/>
        <v>#DIV/0!</v>
      </c>
      <c r="P66" s="140">
        <f t="shared" si="54"/>
        <v>181.65742024965326</v>
      </c>
      <c r="Q66" s="140">
        <f t="shared" si="54"/>
        <v>206.0309951060359</v>
      </c>
      <c r="R66" s="140">
        <f t="shared" si="54"/>
        <v>213.06210191082803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>
      <c r="B67" s="121"/>
      <c r="L67" s="137" t="s">
        <v>113</v>
      </c>
      <c r="M67" s="137"/>
      <c r="N67" s="217" t="s">
        <v>52</v>
      </c>
      <c r="O67" s="211" t="e">
        <f t="shared" ref="O67:U67" si="55">(O13-O9)/(-O9+C58)</f>
        <v>#DIV/0!</v>
      </c>
      <c r="P67" s="211">
        <f t="shared" si="55"/>
        <v>356.06241331484051</v>
      </c>
      <c r="Q67" s="211">
        <f t="shared" si="55"/>
        <v>130.34257748776508</v>
      </c>
      <c r="R67" s="211">
        <f t="shared" si="55"/>
        <v>235.36146496815286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>
      <c r="L70" s="177" t="s">
        <v>115</v>
      </c>
      <c r="O70" s="177"/>
      <c r="P70" s="177"/>
      <c r="Q70" s="177"/>
      <c r="R70" s="177"/>
    </row>
    <row r="71" spans="1:21">
      <c r="M71" s="177"/>
      <c r="N71" s="177"/>
    </row>
    <row r="72" spans="1:2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>
      <c r="L73" s="177"/>
    </row>
    <row r="74" spans="1:21">
      <c r="L74" s="126" t="s">
        <v>117</v>
      </c>
      <c r="N74" s="218">
        <f t="shared" ref="N74:U74" si="56">C9-C16</f>
        <v>13785</v>
      </c>
      <c r="O74" s="218">
        <f t="shared" si="56"/>
        <v>17018</v>
      </c>
      <c r="P74" s="218">
        <f t="shared" si="56"/>
        <v>10815</v>
      </c>
      <c r="Q74" s="218">
        <f t="shared" si="56"/>
        <v>12796</v>
      </c>
      <c r="R74" s="218">
        <f t="shared" si="56"/>
        <v>17813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>
      <c r="L75" s="137" t="s">
        <v>118</v>
      </c>
      <c r="N75" s="219">
        <f t="shared" ref="N75:U75" si="57">N74/N31</f>
        <v>35702.933259803343</v>
      </c>
      <c r="O75" s="219">
        <f t="shared" si="57"/>
        <v>42464.820525220552</v>
      </c>
      <c r="P75" s="219">
        <f t="shared" si="57"/>
        <v>25275.339694275153</v>
      </c>
      <c r="Q75" s="219">
        <f t="shared" si="57"/>
        <v>30854.87023828879</v>
      </c>
      <c r="R75" s="219">
        <f t="shared" si="57"/>
        <v>43226.920302904065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>
      <c r="K76" s="120"/>
      <c r="L76" s="120" t="s">
        <v>119</v>
      </c>
      <c r="M76" s="120"/>
      <c r="N76" s="138">
        <f t="shared" ref="N76:U76" si="58">(C7-N75)/C7</f>
        <v>0.89216905639124211</v>
      </c>
      <c r="O76" s="138">
        <f t="shared" si="58"/>
        <v>0.87530408276913163</v>
      </c>
      <c r="P76" s="138">
        <f t="shared" si="58"/>
        <v>0.92796483165151356</v>
      </c>
      <c r="Q76" s="138">
        <f t="shared" si="58"/>
        <v>0.90954780973654636</v>
      </c>
      <c r="R76" s="138">
        <f t="shared" si="58"/>
        <v>0.88030989208874788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>
      <c r="B1" s="3" t="s">
        <v>209</v>
      </c>
      <c r="C1" s="3"/>
      <c r="D1" s="3"/>
      <c r="E1" s="3"/>
      <c r="F1" s="3"/>
    </row>
    <row r="2" spans="1:17">
      <c r="B2" s="3"/>
      <c r="C2" s="3"/>
      <c r="D2" s="3"/>
      <c r="E2" s="3"/>
      <c r="F2" s="3"/>
      <c r="O2">
        <v>1000000</v>
      </c>
    </row>
    <row r="3" spans="1:17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>
      <c r="B4" s="4" t="s">
        <v>515</v>
      </c>
      <c r="C4" s="4"/>
      <c r="D4" s="4"/>
      <c r="E4" s="4"/>
      <c r="F4" s="4"/>
    </row>
    <row r="5" spans="1:17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>
      <c r="O59" s="307">
        <v>13287366812.229839</v>
      </c>
      <c r="P59" s="307">
        <v>91425814390.119812</v>
      </c>
      <c r="Q59" s="307">
        <v>156653459590.25201</v>
      </c>
    </row>
    <row r="61" spans="1:17">
      <c r="O61" s="264">
        <v>77662213687.407898</v>
      </c>
      <c r="P61" s="264">
        <v>178483740624.14099</v>
      </c>
      <c r="Q61" s="264">
        <v>302380589500.55188</v>
      </c>
    </row>
    <row r="62" spans="1:17">
      <c r="O62" s="264">
        <v>-521253048</v>
      </c>
      <c r="P62" s="264">
        <v>-469127743.19999981</v>
      </c>
      <c r="Q62" s="264">
        <v>-422214968.88000011</v>
      </c>
    </row>
    <row r="64" spans="1:17">
      <c r="O64" s="264">
        <v>-126862138130.3999</v>
      </c>
      <c r="P64" s="264">
        <v>-131703438366.2075</v>
      </c>
      <c r="Q64" s="264">
        <v>-127083519745.4682</v>
      </c>
    </row>
    <row r="72" spans="15:17">
      <c r="O72" s="264">
        <v>221426920261.90601</v>
      </c>
      <c r="P72" s="264">
        <v>204475455344.6315</v>
      </c>
      <c r="Q72" s="264">
        <v>213381269885.55301</v>
      </c>
    </row>
    <row r="73" spans="15:17">
      <c r="O73" s="264">
        <v>4115748571</v>
      </c>
      <c r="P73" s="264">
        <v>4115748571</v>
      </c>
      <c r="Q73" s="264">
        <v>5355748571</v>
      </c>
    </row>
    <row r="76" spans="15:17">
      <c r="O76" s="264">
        <v>2908915821831.7002</v>
      </c>
      <c r="P76" s="264">
        <v>1036273600000.415</v>
      </c>
      <c r="Q76" s="264">
        <v>-14855957216.101231</v>
      </c>
    </row>
    <row r="77" spans="15:17">
      <c r="O77" s="264">
        <v>-2688504750.900002</v>
      </c>
      <c r="P77" s="264">
        <v>-14786776129.950001</v>
      </c>
      <c r="Q77" s="264">
        <v>-26616197033.91</v>
      </c>
    </row>
    <row r="78" spans="15:17">
      <c r="O78" s="264">
        <v>-1167676356894.1599</v>
      </c>
      <c r="P78" s="264">
        <v>-172666038453.017</v>
      </c>
      <c r="Q78" s="264">
        <v>-21349295807.7855</v>
      </c>
    </row>
    <row r="79" spans="15:17">
      <c r="O79" s="264">
        <v>-61893140805</v>
      </c>
      <c r="P79" s="264">
        <v>-295073050036.5</v>
      </c>
      <c r="Q79" s="264">
        <v>-69943769311.950043</v>
      </c>
    </row>
    <row r="80" spans="15:17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78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7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>
        <v>114054</v>
      </c>
      <c r="F4" s="264">
        <v>119458</v>
      </c>
      <c r="G4" s="264">
        <v>139320</v>
      </c>
      <c r="H4" s="264">
        <v>128671</v>
      </c>
      <c r="I4" s="264">
        <v>131013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>
        <v>23127</v>
      </c>
      <c r="F6" s="264">
        <v>26021</v>
      </c>
      <c r="G6" s="264">
        <v>28475</v>
      </c>
      <c r="H6" s="264">
        <v>31370</v>
      </c>
      <c r="I6" s="264">
        <v>33823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/>
      <c r="F7" s="264">
        <v>486</v>
      </c>
      <c r="G7" s="264">
        <v>467</v>
      </c>
      <c r="H7" s="264">
        <v>75</v>
      </c>
      <c r="I7" s="264">
        <v>38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/>
      <c r="F8" s="264"/>
      <c r="G8" s="264"/>
      <c r="H8" s="264"/>
      <c r="I8" s="264"/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>
        <v>-4900</v>
      </c>
      <c r="F9" s="264">
        <v>-5871</v>
      </c>
      <c r="G9" s="264">
        <v>-13100</v>
      </c>
      <c r="H9" s="264">
        <v>-8978</v>
      </c>
      <c r="I9" s="264">
        <v>-6830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/>
      <c r="F10" s="264">
        <v>23</v>
      </c>
      <c r="G10" s="264">
        <v>717</v>
      </c>
      <c r="H10" s="264">
        <v>609</v>
      </c>
      <c r="I10" s="264">
        <v>579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>
        <v>132281</v>
      </c>
      <c r="F12" s="301">
        <v>140117</v>
      </c>
      <c r="G12" s="301">
        <v>155878</v>
      </c>
      <c r="H12" s="301">
        <v>151747</v>
      </c>
      <c r="I12" s="301">
        <v>158622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>
        <v>-787</v>
      </c>
      <c r="F13" s="264">
        <v>-2753</v>
      </c>
      <c r="G13" s="264">
        <v>27805</v>
      </c>
      <c r="H13" s="264">
        <v>-46155</v>
      </c>
      <c r="I13" s="264">
        <v>13579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>
        <v>6145</v>
      </c>
      <c r="F14" s="264">
        <v>5180</v>
      </c>
      <c r="G14" s="264">
        <v>4493</v>
      </c>
      <c r="H14" s="264">
        <v>766</v>
      </c>
      <c r="I14" s="264">
        <v>-101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>
        <v>64117</v>
      </c>
      <c r="F15" s="264">
        <v>39999</v>
      </c>
      <c r="G15" s="264">
        <v>194445</v>
      </c>
      <c r="H15" s="264">
        <v>-2202</v>
      </c>
      <c r="I15" s="264">
        <v>36678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>
        <v>1815</v>
      </c>
      <c r="F16" s="264">
        <v>18283</v>
      </c>
      <c r="G16" s="264">
        <v>-89320</v>
      </c>
      <c r="H16" s="264">
        <v>11838</v>
      </c>
      <c r="I16" s="264">
        <v>-25877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/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/>
      <c r="F18" s="264"/>
      <c r="G18" s="264">
        <v>-721</v>
      </c>
      <c r="H18" s="264">
        <v>-613</v>
      </c>
      <c r="I18" s="264">
        <v>-628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>
        <v>-26608</v>
      </c>
      <c r="F19" s="264">
        <v>-17806</v>
      </c>
      <c r="G19" s="264">
        <v>-24903</v>
      </c>
      <c r="H19" s="264">
        <v>-25450</v>
      </c>
      <c r="I19" s="264">
        <v>-24819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>
        <v>2</v>
      </c>
      <c r="F20" s="264"/>
      <c r="G20" s="264"/>
      <c r="H20" s="264">
        <v>21</v>
      </c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>
        <v>-10499</v>
      </c>
      <c r="F21" s="264">
        <v>-8482</v>
      </c>
      <c r="G21" s="264">
        <v>-11677</v>
      </c>
      <c r="H21" s="264">
        <v>-10665</v>
      </c>
      <c r="I21" s="264">
        <v>-10275</v>
      </c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>
        <v>166465</v>
      </c>
      <c r="F22" s="301">
        <v>174538</v>
      </c>
      <c r="G22" s="301">
        <v>256001</v>
      </c>
      <c r="H22" s="301">
        <v>79287</v>
      </c>
      <c r="I22" s="301">
        <v>147180</v>
      </c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.75" customHeight="1">
      <c r="B23" s="151"/>
      <c r="C23" s="56" t="s">
        <v>588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>
        <v>-99503</v>
      </c>
      <c r="F24" s="264">
        <v>-59386</v>
      </c>
      <c r="G24" s="264">
        <v>-72148</v>
      </c>
      <c r="H24" s="264">
        <v>-50316</v>
      </c>
      <c r="I24" s="264">
        <v>-56640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/>
      <c r="F25" s="264"/>
      <c r="G25" s="264"/>
      <c r="H25" s="264"/>
      <c r="I25" s="264"/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/>
      <c r="F26" s="264">
        <v>-136000</v>
      </c>
      <c r="G26" s="264">
        <v>-182000</v>
      </c>
      <c r="H26" s="264">
        <v>-188600</v>
      </c>
      <c r="I26" s="264">
        <v>-135200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>
        <v>80800</v>
      </c>
      <c r="F27" s="264">
        <v>30000</v>
      </c>
      <c r="G27" s="264">
        <v>151000</v>
      </c>
      <c r="H27" s="264">
        <v>227000</v>
      </c>
      <c r="I27" s="264">
        <v>111100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/>
      <c r="F28" s="264"/>
      <c r="G28" s="264">
        <v>-40000</v>
      </c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>
        <v>7576</v>
      </c>
      <c r="F30" s="264">
        <v>4871</v>
      </c>
      <c r="G30" s="264">
        <v>8519</v>
      </c>
      <c r="H30" s="264">
        <v>14105</v>
      </c>
      <c r="I30" s="264">
        <v>7344</v>
      </c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>
        <v>-11127</v>
      </c>
      <c r="F31" s="301">
        <v>-160515</v>
      </c>
      <c r="G31" s="301">
        <v>-134629</v>
      </c>
      <c r="H31" s="301">
        <v>2188</v>
      </c>
      <c r="I31" s="301">
        <v>-73397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.75" customHeight="1">
      <c r="B32" s="151"/>
      <c r="C32" s="56" t="s">
        <v>597</v>
      </c>
      <c r="D32" s="165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>
        <v>3974</v>
      </c>
      <c r="F35" s="264">
        <v>10000</v>
      </c>
      <c r="G35" s="264">
        <v>53556</v>
      </c>
      <c r="H35" s="264">
        <v>15742</v>
      </c>
      <c r="I35" s="264">
        <v>27408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>
        <v>-48686</v>
      </c>
      <c r="F36" s="264"/>
      <c r="G36" s="264">
        <v>-54751</v>
      </c>
      <c r="H36" s="264">
        <v>-17176</v>
      </c>
      <c r="I36" s="264">
        <v>-3696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/>
      <c r="F37" s="264"/>
      <c r="G37" s="264"/>
      <c r="H37" s="264"/>
      <c r="I37" s="264"/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>
        <v>-111000</v>
      </c>
      <c r="F38" s="264">
        <v>-39000</v>
      </c>
      <c r="G38" s="264">
        <v>-75000</v>
      </c>
      <c r="H38" s="264">
        <v>-75000</v>
      </c>
      <c r="I38" s="264">
        <v>-111000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>
        <v>-155712</v>
      </c>
      <c r="F39" s="301">
        <v>-29000</v>
      </c>
      <c r="G39" s="301">
        <v>-76195</v>
      </c>
      <c r="H39" s="301">
        <v>-76434</v>
      </c>
      <c r="I39" s="301">
        <v>-87288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>
        <v>-374</v>
      </c>
      <c r="F40" s="301">
        <v>-14977</v>
      </c>
      <c r="G40" s="301">
        <v>45178</v>
      </c>
      <c r="H40" s="301">
        <v>5041</v>
      </c>
      <c r="I40" s="301">
        <v>-13505</v>
      </c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>
        <v>50670</v>
      </c>
      <c r="F41" s="301">
        <v>50297</v>
      </c>
      <c r="G41" s="301">
        <v>35319</v>
      </c>
      <c r="H41" s="301">
        <v>80497</v>
      </c>
      <c r="I41" s="301">
        <v>85538</v>
      </c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/>
      <c r="F42" s="301"/>
      <c r="G42" s="301"/>
      <c r="H42" s="301"/>
      <c r="I42" s="301"/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>
        <v>50297</v>
      </c>
      <c r="F43" s="301">
        <v>35319</v>
      </c>
      <c r="G43" s="301">
        <v>80497</v>
      </c>
      <c r="H43" s="301">
        <v>85538</v>
      </c>
      <c r="I43" s="301">
        <v>72032</v>
      </c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6.25" customHeight="1" thickBot="1">
      <c r="B46" s="156" t="s">
        <v>609</v>
      </c>
      <c r="C46" s="170"/>
    </row>
    <row r="47" spans="2:23" ht="15.7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</row>
    <row r="49" spans="2:3">
      <c r="B49" s="152" t="s">
        <v>449</v>
      </c>
      <c r="C49" s="147" t="s">
        <v>611</v>
      </c>
    </row>
    <row r="50" spans="2:3">
      <c r="B50" s="153" t="s">
        <v>565</v>
      </c>
      <c r="C50" s="147" t="s">
        <v>612</v>
      </c>
    </row>
    <row r="51" spans="2:3">
      <c r="B51" s="153" t="s">
        <v>567</v>
      </c>
      <c r="C51" s="147" t="s">
        <v>613</v>
      </c>
    </row>
    <row r="52" spans="2:3">
      <c r="B52" s="153" t="s">
        <v>569</v>
      </c>
      <c r="C52" s="147" t="s">
        <v>614</v>
      </c>
    </row>
    <row r="53" spans="2:3">
      <c r="B53" s="153" t="s">
        <v>571</v>
      </c>
      <c r="C53" s="147" t="s">
        <v>615</v>
      </c>
    </row>
    <row r="54" spans="2:3">
      <c r="B54" s="153" t="s">
        <v>573</v>
      </c>
      <c r="C54" s="147" t="s">
        <v>616</v>
      </c>
    </row>
    <row r="55" spans="2:3">
      <c r="B55" s="159">
        <v>20</v>
      </c>
      <c r="C55" s="148" t="s">
        <v>587</v>
      </c>
    </row>
    <row r="56" spans="2:3">
      <c r="B56" s="158"/>
      <c r="C56" s="146"/>
    </row>
    <row r="57" spans="2:3">
      <c r="B57" s="158"/>
      <c r="C57" s="146" t="s">
        <v>588</v>
      </c>
    </row>
    <row r="58" spans="2:3">
      <c r="B58" s="158">
        <v>21</v>
      </c>
      <c r="C58" s="147" t="s">
        <v>589</v>
      </c>
    </row>
    <row r="59" spans="2:3">
      <c r="B59" s="158">
        <v>22</v>
      </c>
      <c r="C59" s="147" t="s">
        <v>590</v>
      </c>
    </row>
    <row r="60" spans="2:3">
      <c r="B60" s="158">
        <v>23</v>
      </c>
      <c r="C60" s="147" t="s">
        <v>591</v>
      </c>
    </row>
    <row r="61" spans="2:3">
      <c r="B61" s="158">
        <v>24</v>
      </c>
      <c r="C61" s="147" t="s">
        <v>592</v>
      </c>
    </row>
    <row r="62" spans="2:3">
      <c r="B62" s="158">
        <v>25</v>
      </c>
      <c r="C62" s="147" t="s">
        <v>593</v>
      </c>
    </row>
    <row r="63" spans="2:3">
      <c r="B63" s="158">
        <v>26</v>
      </c>
      <c r="C63" s="147" t="s">
        <v>594</v>
      </c>
    </row>
    <row r="64" spans="2:3">
      <c r="B64" s="158">
        <v>27</v>
      </c>
      <c r="C64" s="147" t="s">
        <v>595</v>
      </c>
    </row>
    <row r="65" spans="2:3">
      <c r="B65" s="159">
        <v>30</v>
      </c>
      <c r="C65" s="148" t="s">
        <v>596</v>
      </c>
    </row>
    <row r="66" spans="2:3">
      <c r="B66" s="158"/>
      <c r="C66" s="146"/>
    </row>
    <row r="67" spans="2:3">
      <c r="B67" s="158"/>
      <c r="C67" s="146" t="s">
        <v>597</v>
      </c>
    </row>
    <row r="68" spans="2:3">
      <c r="B68" s="158">
        <v>31</v>
      </c>
      <c r="C68" s="147" t="s">
        <v>617</v>
      </c>
    </row>
    <row r="69" spans="2:3" ht="28.5" customHeight="1">
      <c r="B69" s="158">
        <v>32</v>
      </c>
      <c r="C69" s="147" t="s">
        <v>618</v>
      </c>
    </row>
    <row r="70" spans="2:3">
      <c r="B70" s="158">
        <v>33</v>
      </c>
      <c r="C70" s="147" t="s">
        <v>619</v>
      </c>
    </row>
    <row r="71" spans="2:3">
      <c r="B71" s="158">
        <v>34</v>
      </c>
      <c r="C71" s="147" t="s">
        <v>620</v>
      </c>
    </row>
    <row r="72" spans="2:3">
      <c r="B72" s="158">
        <v>35</v>
      </c>
      <c r="C72" s="147" t="s">
        <v>621</v>
      </c>
    </row>
    <row r="73" spans="2:3">
      <c r="B73" s="158">
        <v>36</v>
      </c>
      <c r="C73" s="147" t="s">
        <v>603</v>
      </c>
    </row>
    <row r="74" spans="2:3">
      <c r="B74" s="159">
        <v>40</v>
      </c>
      <c r="C74" s="148" t="s">
        <v>604</v>
      </c>
    </row>
    <row r="75" spans="2:3">
      <c r="B75" s="160">
        <v>50</v>
      </c>
      <c r="C75" s="146" t="s">
        <v>622</v>
      </c>
    </row>
    <row r="76" spans="2:3">
      <c r="B76" s="160">
        <v>60</v>
      </c>
      <c r="C76" s="146" t="s">
        <v>606</v>
      </c>
    </row>
    <row r="77" spans="2:3">
      <c r="B77" s="158">
        <v>61</v>
      </c>
      <c r="C77" s="147" t="s">
        <v>607</v>
      </c>
    </row>
    <row r="78" spans="2:3" ht="15.75" customHeight="1" thickBot="1">
      <c r="B78" s="161">
        <v>70</v>
      </c>
      <c r="C78" s="145" t="s">
        <v>623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>
      <c r="A11" s="16" t="s">
        <v>129</v>
      </c>
    </row>
    <row r="12" spans="1:30" s="19" customFormat="1">
      <c r="A12" t="s">
        <v>130</v>
      </c>
      <c r="C12" s="225">
        <v>2202028.1324999998</v>
      </c>
    </row>
    <row r="13" spans="1:30">
      <c r="A13" t="s">
        <v>131</v>
      </c>
      <c r="C13" s="98">
        <v>0</v>
      </c>
      <c r="AD13" s="226"/>
    </row>
    <row r="14" spans="1:30" s="19" customFormat="1">
      <c r="A14" t="s">
        <v>132</v>
      </c>
      <c r="C14" s="100">
        <f>C12*(1-capital)</f>
        <v>2202028.1324999998</v>
      </c>
    </row>
    <row r="15" spans="1:30" s="19" customFormat="1" ht="13.2"/>
    <row r="16" spans="1:30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3.8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>
      <c r="A1" s="176" t="s">
        <v>0</v>
      </c>
      <c r="B1" s="176"/>
    </row>
    <row r="2" spans="1:12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>
      <c r="A7" s="177" t="s">
        <v>9</v>
      </c>
      <c r="B7" s="177"/>
      <c r="C7" s="136">
        <f>FSA!C7/FSA!C$7</f>
        <v>1</v>
      </c>
      <c r="D7" s="136">
        <f>FSA!D7/FSA!D$7</f>
        <v>1</v>
      </c>
      <c r="E7" s="136">
        <f>FSA!E7/FSA!E$7</f>
        <v>1</v>
      </c>
      <c r="F7" s="136">
        <f>FSA!F7/FSA!F$7</f>
        <v>1</v>
      </c>
      <c r="G7" s="136">
        <f>FSA!G7/FSA!G$7</f>
        <v>1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>
      <c r="A8" s="177" t="s">
        <v>11</v>
      </c>
      <c r="B8" s="191"/>
      <c r="C8" s="136">
        <f>FSA!C8/FSA!C$7</f>
        <v>-0.61389727001730587</v>
      </c>
      <c r="D8" s="136">
        <f>FSA!D8/FSA!D$7</f>
        <v>-0.59924474448460863</v>
      </c>
      <c r="E8" s="136">
        <f>FSA!E8/FSA!E$7</f>
        <v>-0.57211257570359819</v>
      </c>
      <c r="F8" s="136">
        <f>FSA!F8/FSA!F$7</f>
        <v>-0.58528427113198367</v>
      </c>
      <c r="G8" s="136">
        <f>FSA!G8/FSA!G$7</f>
        <v>-0.58791882754591496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>
      <c r="A9" s="176" t="s">
        <v>13</v>
      </c>
      <c r="B9" s="176"/>
      <c r="C9" s="142">
        <f>FSA!C9/FSA!C$7</f>
        <v>0.38610272998269413</v>
      </c>
      <c r="D9" s="142">
        <f>FSA!D9/FSA!D$7</f>
        <v>0.40075525551539143</v>
      </c>
      <c r="E9" s="142">
        <f>FSA!E9/FSA!E$7</f>
        <v>0.42788742429640186</v>
      </c>
      <c r="F9" s="142">
        <f>FSA!F9/FSA!F$7</f>
        <v>0.41471572886801633</v>
      </c>
      <c r="G9" s="142">
        <f>FSA!G9/FSA!G$7</f>
        <v>0.41208117245408504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>
      <c r="A10" s="177" t="s">
        <v>15</v>
      </c>
      <c r="B10" s="191"/>
      <c r="C10" s="136">
        <f>FSA!C10/FSA!C$7</f>
        <v>-6.0398488678681125E-2</v>
      </c>
      <c r="D10" s="136">
        <f>FSA!D10/FSA!D$7</f>
        <v>-7.036914141073039E-2</v>
      </c>
      <c r="E10" s="136">
        <f>FSA!E10/FSA!E$7</f>
        <v>-6.9816886355539717E-2</v>
      </c>
      <c r="F10" s="136">
        <f>FSA!F10/FSA!F$7</f>
        <v>-6.5599000932228729E-2</v>
      </c>
      <c r="G10" s="136">
        <f>FSA!G10/FSA!G$7</f>
        <v>-6.9836663833180587E-2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>
      <c r="A11" s="126" t="s">
        <v>17</v>
      </c>
      <c r="C11" s="136">
        <f>FSA!C11/FSA!C$7</f>
        <v>0</v>
      </c>
      <c r="D11" s="136">
        <f>FSA!D11/FSA!D$7</f>
        <v>0</v>
      </c>
      <c r="E11" s="136">
        <f>FSA!E11/FSA!E$7</f>
        <v>0</v>
      </c>
      <c r="F11" s="136">
        <f>FSA!F11/FSA!F$7</f>
        <v>0</v>
      </c>
      <c r="G11" s="136">
        <f>FSA!G11/FSA!G$7</f>
        <v>0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>
      <c r="A12" s="176" t="s">
        <v>19</v>
      </c>
      <c r="B12" s="176"/>
      <c r="C12" s="142">
        <f>FSA!C12/FSA!C$7</f>
        <v>0.32570424130401299</v>
      </c>
      <c r="D12" s="142">
        <f>FSA!D12/FSA!D$7</f>
        <v>0.33038611410466101</v>
      </c>
      <c r="E12" s="142">
        <f>FSA!E12/FSA!E$7</f>
        <v>0.35807053794086213</v>
      </c>
      <c r="F12" s="142">
        <f>FSA!F12/FSA!F$7</f>
        <v>0.34911672793578763</v>
      </c>
      <c r="G12" s="142">
        <f>FSA!G12/FSA!G$7</f>
        <v>0.3422445086209045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>
      <c r="A13" s="177" t="s">
        <v>21</v>
      </c>
      <c r="B13" s="176"/>
      <c r="C13" s="136">
        <f>FSA!C13/FSA!C$7</f>
        <v>3.9625371110325854E-3</v>
      </c>
      <c r="D13" s="136">
        <f>FSA!D13/FSA!D$7</f>
        <v>3.2212881041383421E-3</v>
      </c>
      <c r="E13" s="136">
        <f>FSA!E13/FSA!E$7</f>
        <v>3.7050231563947275E-3</v>
      </c>
      <c r="F13" s="136">
        <f>FSA!F13/FSA!F$7</f>
        <v>3.553022707684731E-3</v>
      </c>
      <c r="G13" s="136">
        <f>FSA!G13/FSA!G$7</f>
        <v>3.2063617761804424E-3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>
      <c r="A14" s="189" t="s">
        <v>23</v>
      </c>
      <c r="B14" s="191"/>
      <c r="C14" s="136">
        <f>FSA!C14/FSA!C$7</f>
        <v>0</v>
      </c>
      <c r="D14" s="136">
        <f>FSA!D14/FSA!D$7</f>
        <v>-6.7538401454131144E-5</v>
      </c>
      <c r="E14" s="136">
        <f>FSA!E14/FSA!E$7</f>
        <v>-2.0434627716423228E-3</v>
      </c>
      <c r="F14" s="136">
        <f>FSA!F14/FSA!F$7</f>
        <v>-1.7853059645049514E-3</v>
      </c>
      <c r="G14" s="136">
        <f>FSA!G14/FSA!G$7</f>
        <v>-1.6031808880902212E-3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>
      <c r="A15" s="177" t="s">
        <v>25</v>
      </c>
      <c r="B15" s="189"/>
      <c r="C15" s="136">
        <f>FSA!C15/FSA!C$7</f>
        <v>1.480212986369718E-2</v>
      </c>
      <c r="D15" s="136">
        <f>FSA!D15/FSA!D$7</f>
        <v>1.7242847536463397E-2</v>
      </c>
      <c r="E15" s="136">
        <f>FSA!E15/FSA!E$7</f>
        <v>3.7332383327395795E-2</v>
      </c>
      <c r="F15" s="136">
        <f>FSA!F15/FSA!F$7</f>
        <v>2.6319338176232273E-2</v>
      </c>
      <c r="G15" s="136">
        <f>FSA!G15/FSA!G$7</f>
        <v>1.8911442945865647E-2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>
      <c r="A16" s="176" t="s">
        <v>27</v>
      </c>
      <c r="B16" s="176"/>
      <c r="C16" s="142">
        <f>FSA!C16/FSA!C$7</f>
        <v>0.34446890827874271</v>
      </c>
      <c r="D16" s="142">
        <f>FSA!D16/FSA!D$7</f>
        <v>0.35078271134380862</v>
      </c>
      <c r="E16" s="142">
        <f>FSA!E16/FSA!E$7</f>
        <v>0.39706448165301034</v>
      </c>
      <c r="F16" s="142">
        <f>FSA!F16/FSA!F$7</f>
        <v>0.37720378285519968</v>
      </c>
      <c r="G16" s="142">
        <f>FSA!G16/FSA!G$7</f>
        <v>0.36275913245486036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>
      <c r="A17" s="189" t="s">
        <v>29</v>
      </c>
      <c r="B17" s="191"/>
      <c r="C17" s="136">
        <f>FSA!C17/FSA!C$7</f>
        <v>-6.5949664905874644E-2</v>
      </c>
      <c r="D17" s="136">
        <f>FSA!D17/FSA!D$7</f>
        <v>-6.7171344924489132E-2</v>
      </c>
      <c r="E17" s="136">
        <f>FSA!E17/FSA!E$7</f>
        <v>-7.5223370146063409E-2</v>
      </c>
      <c r="F17" s="136">
        <f>FSA!F17/FSA!F$7</f>
        <v>-7.0095978517697693E-2</v>
      </c>
      <c r="G17" s="136">
        <f>FSA!G17/FSA!G$7</f>
        <v>-6.7233917659079018E-2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>
      <c r="A18" s="176" t="s">
        <v>31</v>
      </c>
      <c r="B18" s="176"/>
      <c r="C18" s="142">
        <f>FSA!C18/FSA!C$7</f>
        <v>0.2785192433728681</v>
      </c>
      <c r="D18" s="142">
        <f>FSA!D18/FSA!D$7</f>
        <v>0.2836113664193195</v>
      </c>
      <c r="E18" s="142">
        <f>FSA!E18/FSA!E$7</f>
        <v>0.32184111150694694</v>
      </c>
      <c r="F18" s="142">
        <f>FSA!F18/FSA!F$7</f>
        <v>0.30710780433750196</v>
      </c>
      <c r="G18" s="142">
        <f>FSA!G18/FSA!G$7</f>
        <v>0.29552521479578131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>
      <c r="A21" s="191" t="s">
        <v>36</v>
      </c>
      <c r="B21" s="191"/>
      <c r="C21" s="136">
        <f>FSA!C21/FSA!C$7</f>
        <v>6.9848777261319051E-2</v>
      </c>
      <c r="D21" s="136">
        <f>FSA!D21/FSA!D$7</f>
        <v>7.6409423662519418E-2</v>
      </c>
      <c r="E21" s="136">
        <f>FSA!E21/FSA!E$7</f>
        <v>8.1154257214107586E-2</v>
      </c>
      <c r="F21" s="136">
        <f>FSA!F21/FSA!F$7</f>
        <v>9.1962312161773932E-2</v>
      </c>
      <c r="G21" s="136">
        <f>FSA!G21/FSA!G$7</f>
        <v>9.3651791326209932E-2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>
      <c r="A22" s="127" t="s">
        <v>38</v>
      </c>
      <c r="C22" s="136">
        <f>FSA!C22/FSA!C$7</f>
        <v>0</v>
      </c>
      <c r="D22" s="136">
        <f>FSA!D22/FSA!D$7</f>
        <v>0</v>
      </c>
      <c r="E22" s="136">
        <f>FSA!E22/FSA!E$7</f>
        <v>0</v>
      </c>
      <c r="F22" s="136">
        <f>FSA!F22/FSA!F$7</f>
        <v>0</v>
      </c>
      <c r="G22" s="136">
        <f>FSA!G22/FSA!G$7</f>
        <v>0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>
      <c r="A23" s="127" t="s">
        <v>40</v>
      </c>
      <c r="C23" s="136">
        <f>FSA!C23/FSA!C$7</f>
        <v>0</v>
      </c>
      <c r="D23" s="136">
        <f>FSA!D23/FSA!D$7</f>
        <v>0</v>
      </c>
      <c r="E23" s="136">
        <f>FSA!E23/FSA!E$7</f>
        <v>0</v>
      </c>
      <c r="F23" s="136">
        <f>FSA!F23/FSA!F$7</f>
        <v>0</v>
      </c>
      <c r="G23" s="136">
        <f>FSA!G23/FSA!G$7</f>
        <v>0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>
      <c r="A24" s="191" t="s">
        <v>42</v>
      </c>
      <c r="B24" s="191"/>
      <c r="C24" s="136">
        <f>FSA!C24/FSA!C$7</f>
        <v>0</v>
      </c>
      <c r="D24" s="136">
        <f>FSA!D24/FSA!D$7</f>
        <v>0</v>
      </c>
      <c r="E24" s="136">
        <f>FSA!E24/FSA!E$7</f>
        <v>0</v>
      </c>
      <c r="F24" s="136">
        <f>FSA!F24/FSA!F$7</f>
        <v>0</v>
      </c>
      <c r="G24" s="136">
        <f>FSA!G24/FSA!G$7</f>
        <v>0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>
      <c r="A25" s="195" t="s">
        <v>8</v>
      </c>
      <c r="B25" s="195"/>
      <c r="C25" s="136">
        <f>FSA!C25/FSA!C$7</f>
        <v>0.39555301856533204</v>
      </c>
      <c r="D25" s="136">
        <f>FSA!D25/FSA!D$7</f>
        <v>0.40679553776718047</v>
      </c>
      <c r="E25" s="136">
        <f>FSA!E25/FSA!E$7</f>
        <v>0.4392247951549697</v>
      </c>
      <c r="F25" s="136">
        <f>FSA!F25/FSA!F$7</f>
        <v>0.44107904009756155</v>
      </c>
      <c r="G25" s="136">
        <f>FSA!G25/FSA!G$7</f>
        <v>0.43589629994711443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>
      <c r="A26" s="195" t="s">
        <v>45</v>
      </c>
      <c r="B26" s="176"/>
      <c r="C26" s="136">
        <f>FSA!C26/FSA!C$7</f>
        <v>0.39555301856533204</v>
      </c>
      <c r="D26" s="136">
        <f>FSA!D26/FSA!D$7</f>
        <v>0.40679553776718047</v>
      </c>
      <c r="E26" s="136">
        <f>FSA!E26/FSA!E$7</f>
        <v>0.4392247951549697</v>
      </c>
      <c r="F26" s="136">
        <f>FSA!F26/FSA!F$7</f>
        <v>0.44107904009756155</v>
      </c>
      <c r="G26" s="136">
        <f>FSA!G26/FSA!G$7</f>
        <v>0.43589629994711443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>
      <c r="A29" s="177" t="s">
        <v>48</v>
      </c>
      <c r="B29" s="189"/>
      <c r="C29" s="136">
        <f>FSA!C29/FSA!C$38</f>
        <v>5.7649370059968091E-2</v>
      </c>
      <c r="D29" s="136">
        <f>FSA!D29/FSA!D$38</f>
        <v>0.14437646029976819</v>
      </c>
      <c r="E29" s="136">
        <f>FSA!E29/FSA!E$38</f>
        <v>0.18195667614527622</v>
      </c>
      <c r="F29" s="136">
        <f>FSA!F29/FSA!F$38</f>
        <v>0.15373376569163413</v>
      </c>
      <c r="G29" s="136">
        <f>FSA!G29/FSA!G$38</f>
        <v>0.15103313108405664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>
      <c r="A30" s="177" t="s">
        <v>50</v>
      </c>
      <c r="B30" s="189"/>
      <c r="C30" s="136">
        <f>FSA!C30/FSA!C$38</f>
        <v>9.7952465660474247E-3</v>
      </c>
      <c r="D30" s="136">
        <f>FSA!D30/FSA!D$38</f>
        <v>9.8965798719482488E-3</v>
      </c>
      <c r="E30" s="136">
        <f>FSA!E30/FSA!E$38</f>
        <v>1.5969742069716721E-2</v>
      </c>
      <c r="F30" s="136">
        <f>FSA!F30/FSA!F$38</f>
        <v>2.8806817992071947E-2</v>
      </c>
      <c r="G30" s="136">
        <f>FSA!G30/FSA!G$38</f>
        <v>1.3088162639132017E-2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>
      <c r="A31" s="189" t="s">
        <v>53</v>
      </c>
      <c r="B31" s="189"/>
      <c r="C31" s="136">
        <f>FSA!C31/FSA!C$38</f>
        <v>1.8521108034257001E-2</v>
      </c>
      <c r="D31" s="136">
        <f>FSA!D31/FSA!D$38</f>
        <v>1.1216532508941862E-2</v>
      </c>
      <c r="E31" s="136">
        <f>FSA!E31/FSA!E$38</f>
        <v>5.4253118194831024E-3</v>
      </c>
      <c r="F31" s="136">
        <f>FSA!F31/FSA!F$38</f>
        <v>4.7746983566154489E-3</v>
      </c>
      <c r="G31" s="136">
        <f>FSA!G31/FSA!G$38</f>
        <v>4.5139618702073085E-3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>
      <c r="A32" s="120" t="s">
        <v>55</v>
      </c>
      <c r="C32" s="136">
        <f>FSA!C32/FSA!C$38</f>
        <v>6.6299583707751839E-2</v>
      </c>
      <c r="D32" s="136">
        <f>FSA!D32/FSA!D$38</f>
        <v>6.2281944743840308E-2</v>
      </c>
      <c r="E32" s="136">
        <f>FSA!E32/FSA!E$38</f>
        <v>2.1168336926504383E-2</v>
      </c>
      <c r="F32" s="136">
        <f>FSA!F32/FSA!F$38</f>
        <v>4.4188710372257828E-2</v>
      </c>
      <c r="G32" s="136">
        <f>FSA!G32/FSA!G$38</f>
        <v>4.458429280876236E-2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>
      <c r="A33" s="120" t="s">
        <v>57</v>
      </c>
      <c r="C33" s="136">
        <f>FSA!C33/FSA!C$38</f>
        <v>0</v>
      </c>
      <c r="D33" s="136">
        <f>FSA!D33/FSA!D$38</f>
        <v>0</v>
      </c>
      <c r="E33" s="136">
        <f>FSA!E33/FSA!E$38</f>
        <v>0</v>
      </c>
      <c r="F33" s="136">
        <f>FSA!F33/FSA!F$38</f>
        <v>0</v>
      </c>
      <c r="G33" s="136">
        <f>FSA!G33/FSA!G$38</f>
        <v>0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>
      <c r="A34" s="189" t="s">
        <v>59</v>
      </c>
      <c r="B34" s="189"/>
      <c r="C34" s="136">
        <f>FSA!C34/FSA!C$38</f>
        <v>0.4580360908874177</v>
      </c>
      <c r="D34" s="136">
        <f>FSA!D34/FSA!D$38</f>
        <v>0.3996125959443127</v>
      </c>
      <c r="E34" s="136">
        <f>FSA!E34/FSA!E$38</f>
        <v>0.40651857280417092</v>
      </c>
      <c r="F34" s="136">
        <f>FSA!F34/FSA!F$38</f>
        <v>0.39725089582992423</v>
      </c>
      <c r="G34" s="136">
        <f>FSA!G34/FSA!G$38</f>
        <v>0.3922508770038462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>
      <c r="A35" s="177" t="s">
        <v>61</v>
      </c>
      <c r="B35" s="202"/>
      <c r="C35" s="136">
        <f>FSA!C35/FSA!C$38</f>
        <v>4.8038658328595794E-2</v>
      </c>
      <c r="D35" s="136">
        <f>FSA!D35/FSA!D$38</f>
        <v>6.0673890989484308E-2</v>
      </c>
      <c r="E35" s="136">
        <f>FSA!E35/FSA!E$38</f>
        <v>8.2132611854703705E-2</v>
      </c>
      <c r="F35" s="136">
        <f>FSA!F35/FSA!F$38</f>
        <v>7.8388040461790723E-2</v>
      </c>
      <c r="G35" s="136">
        <f>FSA!G35/FSA!G$38</f>
        <v>6.9499500904731365E-2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>
      <c r="A36" s="177" t="s">
        <v>63</v>
      </c>
      <c r="B36" s="189"/>
      <c r="C36" s="136">
        <f>FSA!C36/FSA!C$38</f>
        <v>0.29699678152909459</v>
      </c>
      <c r="D36" s="136">
        <f>FSA!D36/FSA!D$38</f>
        <v>0.27324449875002937</v>
      </c>
      <c r="E36" s="136">
        <f>FSA!E36/FSA!E$38</f>
        <v>0.25809174591302936</v>
      </c>
      <c r="F36" s="136">
        <f>FSA!F36/FSA!F$38</f>
        <v>0.26504626923988872</v>
      </c>
      <c r="G36" s="136">
        <f>FSA!G36/FSA!G$38</f>
        <v>0.29996284900797543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>
      <c r="A37" s="189" t="s">
        <v>65</v>
      </c>
      <c r="B37" s="189"/>
      <c r="C37" s="136">
        <f>FSA!C37/FSA!C$38</f>
        <v>4.4663160886867538E-2</v>
      </c>
      <c r="D37" s="136">
        <f>FSA!D37/FSA!D$38</f>
        <v>3.8697496891675003E-2</v>
      </c>
      <c r="E37" s="136">
        <f>FSA!E37/FSA!E$38</f>
        <v>2.8737002467115583E-2</v>
      </c>
      <c r="F37" s="136">
        <f>FSA!F37/FSA!F$38</f>
        <v>2.7810802055816968E-2</v>
      </c>
      <c r="G37" s="136">
        <f>FSA!G37/FSA!G$38</f>
        <v>2.5067224681288698E-2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>
      <c r="A38" s="176" t="s">
        <v>67</v>
      </c>
      <c r="B38" s="176"/>
      <c r="C38" s="142">
        <f>FSA!C38/FSA!C$38</f>
        <v>1</v>
      </c>
      <c r="D38" s="142">
        <f>FSA!D38/FSA!D$38</f>
        <v>1</v>
      </c>
      <c r="E38" s="142">
        <f>FSA!E38/FSA!E$38</f>
        <v>1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>
      <c r="A40" s="189" t="s">
        <v>70</v>
      </c>
      <c r="B40" s="189"/>
      <c r="C40" s="136">
        <f>FSA!C40/FSA!C$55</f>
        <v>3.4388811458123197E-2</v>
      </c>
      <c r="D40" s="136">
        <f>FSA!D40/FSA!D$55</f>
        <v>2.6873091457801871E-2</v>
      </c>
      <c r="E40" s="136">
        <f>FSA!E40/FSA!E$55</f>
        <v>2.608083846863021E-2</v>
      </c>
      <c r="F40" s="136">
        <f>FSA!F40/FSA!F$55</f>
        <v>2.0297702983291463E-2</v>
      </c>
      <c r="G40" s="136">
        <f>FSA!G40/FSA!G$55</f>
        <v>2.7933047552494195E-2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>
      <c r="A41" s="189" t="s">
        <v>72</v>
      </c>
      <c r="B41" s="189"/>
      <c r="C41" s="136">
        <f>FSA!C41/FSA!C$55</f>
        <v>2.9841918978891966E-2</v>
      </c>
      <c r="D41" s="136">
        <f>FSA!D41/FSA!D$55</f>
        <v>2.4256683792677532E-2</v>
      </c>
      <c r="E41" s="136">
        <f>FSA!E41/FSA!E$55</f>
        <v>1.9043404204055477E-2</v>
      </c>
      <c r="F41" s="136">
        <f>FSA!F41/FSA!F$55</f>
        <v>1.6680150045375954E-2</v>
      </c>
      <c r="G41" s="136">
        <f>FSA!G41/FSA!G$55</f>
        <v>1.5210965669846347E-2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>
      <c r="A42" s="189" t="s">
        <v>74</v>
      </c>
      <c r="C42" s="136">
        <f>FSA!C42/FSA!C$55</f>
        <v>1.8848915256102258E-2</v>
      </c>
      <c r="D42" s="136">
        <f>FSA!D42/FSA!D$55</f>
        <v>1.5385825629352805E-2</v>
      </c>
      <c r="E42" s="136">
        <f>FSA!E42/FSA!E$55</f>
        <v>1.2888577303856199E-2</v>
      </c>
      <c r="F42" s="136">
        <f>FSA!F42/FSA!F$55</f>
        <v>1.6474768549246892E-2</v>
      </c>
      <c r="G42" s="136">
        <f>FSA!G42/FSA!G$55</f>
        <v>1.0876166203765823E-2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>
      <c r="A43" s="189" t="s">
        <v>76</v>
      </c>
      <c r="C43" s="136">
        <f>FSA!C43/FSA!C$55</f>
        <v>1.4337554328889215E-2</v>
      </c>
      <c r="D43" s="136">
        <f>FSA!D43/FSA!D$55</f>
        <v>1.7066415480633371E-2</v>
      </c>
      <c r="E43" s="136">
        <f>FSA!E43/FSA!E$55</f>
        <v>1.6986217939601211E-2</v>
      </c>
      <c r="F43" s="136">
        <f>FSA!F43/FSA!F$55</f>
        <v>1.9765046907964878E-2</v>
      </c>
      <c r="G43" s="136">
        <f>FSA!G43/FSA!G$55</f>
        <v>1.9429425912467921E-2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>
      <c r="A44" s="189" t="s">
        <v>77</v>
      </c>
      <c r="B44" s="189"/>
      <c r="C44" s="136">
        <f>FSA!C44/FSA!C$55</f>
        <v>0.34702062205431972</v>
      </c>
      <c r="D44" s="136">
        <f>FSA!D44/FSA!D$55</f>
        <v>0.35705944792878797</v>
      </c>
      <c r="E44" s="136">
        <f>FSA!E44/FSA!E$55</f>
        <v>0.43777910889283389</v>
      </c>
      <c r="F44" s="136">
        <f>FSA!F44/FSA!F$55</f>
        <v>0.42734629574434513</v>
      </c>
      <c r="G44" s="136">
        <f>FSA!G44/FSA!G$55</f>
        <v>0.45349882458604568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>
      <c r="A45" s="189" t="s">
        <v>79</v>
      </c>
      <c r="B45" s="189"/>
      <c r="C45" s="136">
        <f>FSA!C45/FSA!C$55</f>
        <v>1.3226906783546371E-3</v>
      </c>
      <c r="D45" s="136">
        <f>FSA!D45/FSA!D$55</f>
        <v>5.7180920350257403E-3</v>
      </c>
      <c r="E45" s="136">
        <f>FSA!E45/FSA!E$55</f>
        <v>6.0100960243348652E-3</v>
      </c>
      <c r="F45" s="136">
        <f>FSA!F45/FSA!F$55</f>
        <v>4.5835138770265772E-3</v>
      </c>
      <c r="G45" s="136">
        <f>FSA!G45/FSA!G$55</f>
        <v>4.1486567085462014E-3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>
      <c r="A46" s="189" t="s">
        <v>81</v>
      </c>
      <c r="B46" s="189"/>
      <c r="C46" s="136">
        <f>FSA!C46/FSA!C$55</f>
        <v>0</v>
      </c>
      <c r="D46" s="136">
        <f>FSA!D46/FSA!D$55</f>
        <v>1.2208540257022977E-3</v>
      </c>
      <c r="E46" s="136">
        <f>FSA!E46/FSA!E$55</f>
        <v>1.1996767398240809E-3</v>
      </c>
      <c r="F46" s="136">
        <f>FSA!F46/FSA!F$55</f>
        <v>1.1972238432889091E-3</v>
      </c>
      <c r="G46" s="136">
        <f>FSA!G46/FSA!G$55</f>
        <v>6.4894018845403009E-3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>
      <c r="A47" s="189" t="s">
        <v>83</v>
      </c>
      <c r="B47" s="189"/>
      <c r="C47" s="136">
        <f>FSA!C47/FSA!C$55</f>
        <v>0</v>
      </c>
      <c r="D47" s="136">
        <f>FSA!D47/FSA!D$55</f>
        <v>8.9954976538148372E-3</v>
      </c>
      <c r="E47" s="136">
        <f>FSA!E47/FSA!E$55</f>
        <v>6.1665392254137376E-3</v>
      </c>
      <c r="F47" s="136">
        <f>FSA!F47/FSA!F$55</f>
        <v>4.9567070834074297E-3</v>
      </c>
      <c r="G47" s="136">
        <f>FSA!G47/FSA!G$55</f>
        <v>1.7618412000623578E-2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>
      <c r="A48" s="176" t="s">
        <v>85</v>
      </c>
      <c r="B48" s="176"/>
      <c r="C48" s="136">
        <f>FSA!C48/FSA!C$55</f>
        <v>0</v>
      </c>
      <c r="D48" s="136">
        <f>FSA!D48/FSA!D$55</f>
        <v>1.0216351679517134E-2</v>
      </c>
      <c r="E48" s="136">
        <f>FSA!E48/FSA!E$55</f>
        <v>7.3662159652378191E-3</v>
      </c>
      <c r="F48" s="136">
        <f>FSA!F48/FSA!F$55</f>
        <v>6.1539309266963388E-3</v>
      </c>
      <c r="G48" s="136">
        <f>FSA!G48/FSA!G$55</f>
        <v>2.4107813885163878E-2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>
      <c r="A49" s="176" t="s">
        <v>87</v>
      </c>
      <c r="B49" s="176"/>
      <c r="C49" s="136">
        <f>FSA!C49/FSA!C$55</f>
        <v>0.44576051275468098</v>
      </c>
      <c r="D49" s="136">
        <f>FSA!D49/FSA!D$55</f>
        <v>0.45657590800379638</v>
      </c>
      <c r="E49" s="136">
        <f>FSA!E49/FSA!E$55</f>
        <v>0.52615445879854972</v>
      </c>
      <c r="F49" s="136">
        <f>FSA!F49/FSA!F$55</f>
        <v>0.51130140903394727</v>
      </c>
      <c r="G49" s="136">
        <f>FSA!G49/FSA!G$55</f>
        <v>0.55520490051833005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>
      <c r="C50" s="136">
        <f>FSA!C50/FSA!C$55</f>
        <v>0</v>
      </c>
      <c r="D50" s="136">
        <f>FSA!D50/FSA!D$55</f>
        <v>0</v>
      </c>
      <c r="E50" s="136">
        <f>FSA!E50/FSA!E$55</f>
        <v>0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>
      <c r="A51" s="189" t="s">
        <v>90</v>
      </c>
      <c r="B51" s="189"/>
      <c r="C51" s="136">
        <f>FSA!C51/FSA!C$55</f>
        <v>0.42245869170533112</v>
      </c>
      <c r="D51" s="136">
        <f>FSA!D51/FSA!D$55</f>
        <v>0.38597580972249323</v>
      </c>
      <c r="E51" s="136">
        <f>FSA!E51/FSA!E$55</f>
        <v>0.32414696625679107</v>
      </c>
      <c r="F51" s="136">
        <f>FSA!F51/FSA!F$55</f>
        <v>0.33291255173150797</v>
      </c>
      <c r="G51" s="136">
        <f>FSA!G51/FSA!G$55</f>
        <v>0.31739589384588773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>
      <c r="A52" s="189" t="s">
        <v>92</v>
      </c>
      <c r="B52" s="189"/>
      <c r="C52" s="136">
        <f>FSA!C52/FSA!C$55</f>
        <v>0.13178079553998789</v>
      </c>
      <c r="D52" s="136">
        <f>FSA!D52/FSA!D$55</f>
        <v>0.15744828227371035</v>
      </c>
      <c r="E52" s="136">
        <f>FSA!E52/FSA!E$55</f>
        <v>0.14969857494465927</v>
      </c>
      <c r="F52" s="136">
        <f>FSA!F52/FSA!F$55</f>
        <v>0.15578603923454484</v>
      </c>
      <c r="G52" s="136">
        <f>FSA!G52/FSA!G$55</f>
        <v>0.12739920563578222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>
      <c r="A53" s="177" t="s">
        <v>94</v>
      </c>
      <c r="B53" s="177"/>
      <c r="C53" s="136">
        <f>FSA!C53/FSA!C$55</f>
        <v>0</v>
      </c>
      <c r="D53" s="136">
        <f>FSA!D53/FSA!D$55</f>
        <v>0</v>
      </c>
      <c r="E53" s="136">
        <f>FSA!E53/FSA!E$55</f>
        <v>0</v>
      </c>
      <c r="F53" s="136">
        <f>FSA!F53/FSA!F$55</f>
        <v>0</v>
      </c>
      <c r="G53" s="136">
        <f>FSA!G53/FSA!G$55</f>
        <v>0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>
      <c r="A54" s="134" t="s">
        <v>96</v>
      </c>
      <c r="C54" s="136">
        <f>FSA!C54/FSA!C$55</f>
        <v>0.55423948724531902</v>
      </c>
      <c r="D54" s="136">
        <f>FSA!D54/FSA!D$55</f>
        <v>0.54342409199620356</v>
      </c>
      <c r="E54" s="136">
        <f>FSA!E54/FSA!E$55</f>
        <v>0.47384554120145034</v>
      </c>
      <c r="F54" s="136">
        <f>FSA!F54/FSA!F$55</f>
        <v>0.48869859096605278</v>
      </c>
      <c r="G54" s="136">
        <f>FSA!G54/FSA!G$55</f>
        <v>0.44479509948166995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>
      <c r="A55" s="176" t="s">
        <v>98</v>
      </c>
      <c r="B55" s="176"/>
      <c r="C55" s="142">
        <f>FSA!C55/FSA!C$55</f>
        <v>1</v>
      </c>
      <c r="D55" s="142">
        <f>FSA!D55/FSA!D$55</f>
        <v>1</v>
      </c>
      <c r="E55" s="142">
        <f>FSA!E55/FSA!E$55</f>
        <v>1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>
      <c r="C57" s="133"/>
      <c r="D57" s="133"/>
      <c r="E57" s="133"/>
      <c r="F57" s="133"/>
      <c r="G57" s="133"/>
      <c r="H57" s="133"/>
      <c r="I57" s="133"/>
      <c r="J57" s="133"/>
    </row>
    <row r="58" spans="1:10">
      <c r="A58" s="213" t="s">
        <v>103</v>
      </c>
      <c r="B58" s="214"/>
      <c r="C58" s="136">
        <f>FSA!C58/FSA!C$55</f>
        <v>0</v>
      </c>
      <c r="D58" s="136">
        <f>FSA!D58/FSA!D$55</f>
        <v>0</v>
      </c>
      <c r="E58" s="136">
        <f>FSA!E58/FSA!E$55</f>
        <v>0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>
      <c r="B65" s="121"/>
    </row>
    <row r="66" spans="1:11">
      <c r="B66" s="121"/>
    </row>
    <row r="67" spans="1:11">
      <c r="B67" s="121"/>
    </row>
    <row r="68" spans="1:11">
      <c r="B68" s="121"/>
    </row>
    <row r="69" spans="1:1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75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75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75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75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>
      <c r="B27" t="s">
        <v>201</v>
      </c>
    </row>
    <row r="28" spans="2:6">
      <c r="B28" t="s">
        <v>202</v>
      </c>
    </row>
    <row r="29" spans="2:6">
      <c r="B29" t="s">
        <v>203</v>
      </c>
    </row>
    <row r="30" spans="2:6">
      <c r="B30" t="s">
        <v>204</v>
      </c>
    </row>
    <row r="31" spans="2:6">
      <c r="B31" t="s">
        <v>205</v>
      </c>
    </row>
    <row r="32" spans="2:6">
      <c r="B32" t="s">
        <v>206</v>
      </c>
    </row>
    <row r="33" spans="2:2">
      <c r="B33" t="s">
        <v>207</v>
      </c>
    </row>
    <row r="34" spans="2:2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>
      <c r="B1" s="1" t="s">
        <v>209</v>
      </c>
    </row>
    <row r="2" spans="2:35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.7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6.5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6.5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.7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.7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6.5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7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44" t="s">
        <v>328</v>
      </c>
      <c r="C3" s="48" t="s">
        <v>329</v>
      </c>
      <c r="D3" s="168"/>
    </row>
    <row r="4" spans="2:23" s="169" customFormat="1" ht="18.75" customHeight="1">
      <c r="B4" s="44">
        <v>100</v>
      </c>
      <c r="C4" s="49" t="s">
        <v>330</v>
      </c>
      <c r="D4" s="168"/>
      <c r="E4" s="299">
        <v>137966</v>
      </c>
      <c r="F4" s="299">
        <v>227116</v>
      </c>
      <c r="G4" s="299">
        <v>276189</v>
      </c>
      <c r="H4" s="299">
        <v>282369</v>
      </c>
      <c r="I4" s="299">
        <v>278412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50297</v>
      </c>
      <c r="F5" s="301">
        <v>35319</v>
      </c>
      <c r="G5" s="301">
        <v>80497</v>
      </c>
      <c r="H5" s="301">
        <v>85538</v>
      </c>
      <c r="I5" s="301">
        <v>72032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30297</v>
      </c>
      <c r="F6" s="264">
        <v>30319</v>
      </c>
      <c r="G6" s="264">
        <v>15497</v>
      </c>
      <c r="H6" s="264">
        <v>15538</v>
      </c>
      <c r="I6" s="264">
        <v>22032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>
        <v>20000</v>
      </c>
      <c r="F7" s="264">
        <v>5000</v>
      </c>
      <c r="G7" s="264">
        <v>65000</v>
      </c>
      <c r="H7" s="264">
        <v>70000</v>
      </c>
      <c r="I7" s="264">
        <v>50000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/>
      <c r="F8" s="301">
        <v>106000</v>
      </c>
      <c r="G8" s="301">
        <v>137000</v>
      </c>
      <c r="H8" s="301">
        <v>98600</v>
      </c>
      <c r="I8" s="301">
        <v>122700</v>
      </c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/>
      <c r="F9" s="264"/>
      <c r="G9" s="264"/>
      <c r="H9" s="264"/>
      <c r="I9" s="264"/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/>
      <c r="F10" s="264"/>
      <c r="G10" s="264"/>
      <c r="H10" s="264"/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/>
      <c r="F11" s="264">
        <v>106000</v>
      </c>
      <c r="G11" s="264">
        <v>137000</v>
      </c>
      <c r="H11" s="264">
        <v>98600</v>
      </c>
      <c r="I11" s="264">
        <v>122700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67346</v>
      </c>
      <c r="F12" s="301">
        <v>71582</v>
      </c>
      <c r="G12" s="301">
        <v>49409</v>
      </c>
      <c r="H12" s="301">
        <v>87353</v>
      </c>
      <c r="I12" s="301">
        <v>73617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8546</v>
      </c>
      <c r="F13" s="264">
        <v>9687</v>
      </c>
      <c r="G13" s="264">
        <v>19089</v>
      </c>
      <c r="H13" s="264">
        <v>34504</v>
      </c>
      <c r="I13" s="264">
        <v>16875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57844</v>
      </c>
      <c r="F14" s="264">
        <v>60963</v>
      </c>
      <c r="G14" s="264">
        <v>25303</v>
      </c>
      <c r="H14" s="264">
        <v>52928</v>
      </c>
      <c r="I14" s="264">
        <v>57484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/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955</v>
      </c>
      <c r="F18" s="264">
        <v>1418</v>
      </c>
      <c r="G18" s="264">
        <v>5970</v>
      </c>
      <c r="H18" s="264">
        <v>950</v>
      </c>
      <c r="I18" s="264">
        <v>324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/>
      <c r="F19" s="264">
        <v>-486</v>
      </c>
      <c r="G19" s="264">
        <v>-953</v>
      </c>
      <c r="H19" s="264">
        <v>-1028</v>
      </c>
      <c r="I19" s="264">
        <v>-1066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>
        <v>16159</v>
      </c>
      <c r="F21" s="301">
        <v>10979</v>
      </c>
      <c r="G21" s="301">
        <v>6485</v>
      </c>
      <c r="H21" s="301">
        <v>5719</v>
      </c>
      <c r="I21" s="301">
        <v>5820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>
        <v>16159</v>
      </c>
      <c r="F22" s="264">
        <v>10979</v>
      </c>
      <c r="G22" s="264">
        <v>6485</v>
      </c>
      <c r="H22" s="264">
        <v>5719</v>
      </c>
      <c r="I22" s="264">
        <v>5820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>
        <v>4165</v>
      </c>
      <c r="F24" s="301">
        <v>3236</v>
      </c>
      <c r="G24" s="301">
        <v>2798</v>
      </c>
      <c r="H24" s="301">
        <v>5159</v>
      </c>
      <c r="I24" s="301">
        <v>4242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/>
      <c r="F25" s="264"/>
      <c r="G25" s="264"/>
      <c r="H25" s="264"/>
      <c r="I25" s="264"/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>
        <v>4165</v>
      </c>
      <c r="F26" s="264">
        <v>3236</v>
      </c>
      <c r="G26" s="264">
        <v>2798</v>
      </c>
      <c r="H26" s="264">
        <v>2260</v>
      </c>
      <c r="I26" s="264">
        <v>4242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/>
      <c r="F27" s="264"/>
      <c r="G27" s="264"/>
      <c r="H27" s="264">
        <v>2899</v>
      </c>
      <c r="I27" s="264"/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.75" customHeight="1">
      <c r="B30" s="44">
        <v>200</v>
      </c>
      <c r="C30" s="49" t="s">
        <v>356</v>
      </c>
      <c r="D30" s="168"/>
      <c r="E30" s="301">
        <v>734498</v>
      </c>
      <c r="F30" s="301">
        <v>751706</v>
      </c>
      <c r="G30" s="301">
        <v>919133</v>
      </c>
      <c r="H30" s="301">
        <v>915403</v>
      </c>
      <c r="I30" s="301">
        <v>1010921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>
        <v>91470</v>
      </c>
      <c r="F31" s="301">
        <v>91470</v>
      </c>
      <c r="G31" s="301">
        <v>91470</v>
      </c>
      <c r="H31" s="301">
        <v>91470</v>
      </c>
      <c r="I31" s="301">
        <v>91470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/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>
        <v>91470</v>
      </c>
      <c r="F37" s="264">
        <v>91470</v>
      </c>
      <c r="G37" s="264">
        <v>91470</v>
      </c>
      <c r="H37" s="264">
        <v>91470</v>
      </c>
      <c r="I37" s="264">
        <v>91470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/>
      <c r="F38" s="264"/>
      <c r="G38" s="264"/>
      <c r="H38" s="264"/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267850</v>
      </c>
      <c r="F39" s="301">
        <v>303998</v>
      </c>
      <c r="G39" s="301">
        <v>338397</v>
      </c>
      <c r="H39" s="301">
        <v>325720</v>
      </c>
      <c r="I39" s="301">
        <v>390073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228883</v>
      </c>
      <c r="F40" s="264">
        <v>266120</v>
      </c>
      <c r="G40" s="264">
        <v>304048</v>
      </c>
      <c r="H40" s="264">
        <v>292408</v>
      </c>
      <c r="I40" s="264">
        <v>357753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>
        <v>97067</v>
      </c>
      <c r="F41" s="264">
        <v>97067</v>
      </c>
      <c r="G41" s="264">
        <v>94561</v>
      </c>
      <c r="H41" s="264">
        <v>94561</v>
      </c>
      <c r="I41" s="264">
        <v>94561</v>
      </c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>
        <v>-58100</v>
      </c>
      <c r="F42" s="264">
        <v>-59189</v>
      </c>
      <c r="G42" s="264">
        <v>-60211</v>
      </c>
      <c r="H42" s="264">
        <v>-61250</v>
      </c>
      <c r="I42" s="264">
        <v>-62241</v>
      </c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/>
      <c r="F43" s="264"/>
      <c r="G43" s="264"/>
      <c r="H43" s="264"/>
      <c r="I43" s="264"/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>
        <v>38967</v>
      </c>
      <c r="F46" s="264">
        <v>37878</v>
      </c>
      <c r="G46" s="264">
        <v>34350</v>
      </c>
      <c r="H46" s="264">
        <v>33311</v>
      </c>
      <c r="I46" s="264">
        <v>32320</v>
      </c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>
        <v>41912</v>
      </c>
      <c r="F49" s="301">
        <v>59389</v>
      </c>
      <c r="G49" s="301">
        <v>58175</v>
      </c>
      <c r="H49" s="301">
        <v>53891</v>
      </c>
      <c r="I49" s="301">
        <v>49608</v>
      </c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>
        <v>64168</v>
      </c>
      <c r="F50" s="264">
        <v>84857</v>
      </c>
      <c r="G50" s="264">
        <v>87911</v>
      </c>
      <c r="H50" s="264">
        <v>87911</v>
      </c>
      <c r="I50" s="264">
        <v>87911</v>
      </c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>
        <v>-22257</v>
      </c>
      <c r="F51" s="264">
        <v>-25468</v>
      </c>
      <c r="G51" s="264">
        <v>-29736</v>
      </c>
      <c r="H51" s="264">
        <v>-34020</v>
      </c>
      <c r="I51" s="264">
        <v>-38303</v>
      </c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>
        <v>30236</v>
      </c>
      <c r="F52" s="301">
        <v>1338</v>
      </c>
      <c r="G52" s="301">
        <v>4455</v>
      </c>
      <c r="H52" s="301">
        <v>25057</v>
      </c>
      <c r="I52" s="301">
        <v>28999</v>
      </c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/>
      <c r="F53" s="264"/>
      <c r="G53" s="264"/>
      <c r="H53" s="264"/>
      <c r="I53" s="264"/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>
        <v>30236</v>
      </c>
      <c r="F54" s="264">
        <v>1338</v>
      </c>
      <c r="G54" s="264">
        <v>4455</v>
      </c>
      <c r="H54" s="264">
        <v>25057</v>
      </c>
      <c r="I54" s="264">
        <v>28999</v>
      </c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/>
      <c r="F55" s="301"/>
      <c r="G55" s="301">
        <v>40000</v>
      </c>
      <c r="H55" s="301">
        <v>40000</v>
      </c>
      <c r="I55" s="301">
        <v>40000</v>
      </c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/>
      <c r="F56" s="264"/>
      <c r="G56" s="264"/>
      <c r="H56" s="264"/>
      <c r="I56" s="264"/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/>
      <c r="F57" s="264"/>
      <c r="G57" s="264"/>
      <c r="H57" s="264"/>
      <c r="I57" s="264"/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/>
      <c r="F58" s="264"/>
      <c r="G58" s="264">
        <v>40000</v>
      </c>
      <c r="H58" s="264">
        <v>40000</v>
      </c>
      <c r="I58" s="264">
        <v>40000</v>
      </c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/>
      <c r="F59" s="264"/>
      <c r="G59" s="264"/>
      <c r="H59" s="264"/>
      <c r="I59" s="264"/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/>
      <c r="F60" s="264"/>
      <c r="G60" s="264"/>
      <c r="H60" s="264"/>
      <c r="I60" s="264"/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>
        <v>303031</v>
      </c>
      <c r="F61" s="301">
        <v>295512</v>
      </c>
      <c r="G61" s="301">
        <v>386635</v>
      </c>
      <c r="H61" s="301">
        <v>379265</v>
      </c>
      <c r="I61" s="301">
        <v>410771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>
        <v>298852</v>
      </c>
      <c r="F62" s="264">
        <v>291713</v>
      </c>
      <c r="G62" s="264">
        <v>383595</v>
      </c>
      <c r="H62" s="264">
        <v>376224</v>
      </c>
      <c r="I62" s="264">
        <v>407731</v>
      </c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>
        <v>4178</v>
      </c>
      <c r="F63" s="264">
        <v>3799</v>
      </c>
      <c r="G63" s="264">
        <v>3041</v>
      </c>
      <c r="H63" s="264">
        <v>3041</v>
      </c>
      <c r="I63" s="264">
        <v>3041</v>
      </c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/>
      <c r="F64" s="264"/>
      <c r="G64" s="264"/>
      <c r="H64" s="264"/>
      <c r="I64" s="264"/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/>
      <c r="F65" s="264"/>
      <c r="G65" s="264"/>
      <c r="H65" s="264"/>
      <c r="I65" s="264"/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/>
      <c r="F66" s="264"/>
      <c r="G66" s="264"/>
      <c r="H66" s="264"/>
      <c r="I66" s="264"/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.75" customHeight="1">
      <c r="B67" s="52">
        <v>270</v>
      </c>
      <c r="C67" s="53" t="s">
        <v>389</v>
      </c>
      <c r="D67" s="54"/>
      <c r="E67" s="301">
        <v>872463</v>
      </c>
      <c r="F67" s="301">
        <v>978822</v>
      </c>
      <c r="G67" s="301">
        <v>1195322</v>
      </c>
      <c r="H67" s="301">
        <v>1197771</v>
      </c>
      <c r="I67" s="301">
        <v>1289333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.75" customHeight="1">
      <c r="B68" s="44">
        <v>300</v>
      </c>
      <c r="C68" s="49" t="s">
        <v>390</v>
      </c>
      <c r="D68" s="168"/>
      <c r="E68" s="301">
        <v>388910</v>
      </c>
      <c r="F68" s="301">
        <v>446907</v>
      </c>
      <c r="G68" s="301">
        <v>628924</v>
      </c>
      <c r="H68" s="301">
        <v>612423</v>
      </c>
      <c r="I68" s="301">
        <v>715845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108570</v>
      </c>
      <c r="F69" s="301">
        <v>111306</v>
      </c>
      <c r="G69" s="301">
        <v>115932</v>
      </c>
      <c r="H69" s="301">
        <v>112290</v>
      </c>
      <c r="I69" s="301">
        <v>128119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30003</v>
      </c>
      <c r="F70" s="264">
        <v>26304</v>
      </c>
      <c r="G70" s="264">
        <v>31175</v>
      </c>
      <c r="H70" s="264">
        <v>24312</v>
      </c>
      <c r="I70" s="264">
        <v>36015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16445</v>
      </c>
      <c r="F71" s="264">
        <v>15060</v>
      </c>
      <c r="G71" s="264">
        <v>15406</v>
      </c>
      <c r="H71" s="264">
        <v>19733</v>
      </c>
      <c r="I71" s="264">
        <v>14023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1154</v>
      </c>
      <c r="F72" s="264">
        <v>5597</v>
      </c>
      <c r="G72" s="264">
        <v>7184</v>
      </c>
      <c r="H72" s="264">
        <v>5490</v>
      </c>
      <c r="I72" s="264">
        <v>5349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>
        <v>7043</v>
      </c>
      <c r="F73" s="264">
        <v>4750</v>
      </c>
      <c r="G73" s="264">
        <v>7560</v>
      </c>
      <c r="H73" s="264">
        <v>4776</v>
      </c>
      <c r="I73" s="264">
        <v>4409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18993</v>
      </c>
      <c r="F74" s="264">
        <v>18993</v>
      </c>
      <c r="G74" s="264">
        <v>15203</v>
      </c>
      <c r="H74" s="264">
        <v>15203</v>
      </c>
      <c r="I74" s="264">
        <v>15203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/>
      <c r="F75" s="264"/>
      <c r="G75" s="264"/>
      <c r="H75" s="264"/>
      <c r="I75" s="264"/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/>
      <c r="F76" s="264"/>
      <c r="G76" s="264"/>
      <c r="H76" s="264"/>
      <c r="I76" s="264"/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>
        <v>12509</v>
      </c>
      <c r="F77" s="264">
        <v>16705</v>
      </c>
      <c r="G77" s="264">
        <v>20304</v>
      </c>
      <c r="H77" s="264">
        <v>23674</v>
      </c>
      <c r="I77" s="264">
        <v>25051</v>
      </c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1680</v>
      </c>
      <c r="F78" s="264">
        <v>1220</v>
      </c>
      <c r="G78" s="264">
        <v>1384</v>
      </c>
      <c r="H78" s="264">
        <v>1222</v>
      </c>
      <c r="I78" s="264">
        <v>5938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/>
      <c r="F79" s="264">
        <v>1195</v>
      </c>
      <c r="G79" s="264">
        <v>1434</v>
      </c>
      <c r="H79" s="264">
        <v>1434</v>
      </c>
      <c r="I79" s="264">
        <v>8367</v>
      </c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/>
      <c r="F80" s="264"/>
      <c r="G80" s="264"/>
      <c r="H80" s="264"/>
      <c r="I80" s="264"/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>
        <v>20743</v>
      </c>
      <c r="F81" s="264">
        <v>21482</v>
      </c>
      <c r="G81" s="264">
        <v>16281</v>
      </c>
      <c r="H81" s="264">
        <v>16446</v>
      </c>
      <c r="I81" s="264">
        <v>13763</v>
      </c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/>
      <c r="F82" s="264"/>
      <c r="G82" s="264"/>
      <c r="H82" s="264"/>
      <c r="I82" s="264"/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/>
      <c r="F83" s="264"/>
      <c r="G83" s="264"/>
      <c r="H83" s="264"/>
      <c r="I83" s="264"/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>
        <v>280340</v>
      </c>
      <c r="F84" s="301">
        <v>335601</v>
      </c>
      <c r="G84" s="301">
        <v>512992</v>
      </c>
      <c r="H84" s="301">
        <v>500132</v>
      </c>
      <c r="I84" s="301">
        <v>587726</v>
      </c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/>
      <c r="F85" s="264"/>
      <c r="G85" s="264"/>
      <c r="H85" s="264"/>
      <c r="I85" s="264"/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>
        <v>281</v>
      </c>
      <c r="F86" s="264">
        <v>281</v>
      </c>
      <c r="G86" s="264">
        <v>281</v>
      </c>
      <c r="H86" s="264"/>
      <c r="I86" s="264"/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/>
      <c r="F87" s="264"/>
      <c r="G87" s="264"/>
      <c r="H87" s="264"/>
      <c r="I87" s="264"/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/>
      <c r="F88" s="264"/>
      <c r="G88" s="264"/>
      <c r="H88" s="264"/>
      <c r="I88" s="264"/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/>
      <c r="F89" s="264"/>
      <c r="G89" s="264"/>
      <c r="H89" s="264"/>
      <c r="I89" s="264"/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>
        <v>272253</v>
      </c>
      <c r="F90" s="264">
        <v>317415</v>
      </c>
      <c r="G90" s="264">
        <v>493719</v>
      </c>
      <c r="H90" s="264">
        <v>484048</v>
      </c>
      <c r="I90" s="264">
        <v>555761</v>
      </c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>
        <v>7806</v>
      </c>
      <c r="F91" s="264">
        <v>9100</v>
      </c>
      <c r="G91" s="264">
        <v>11622</v>
      </c>
      <c r="H91" s="264">
        <v>10147</v>
      </c>
      <c r="I91" s="264">
        <v>9249</v>
      </c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/>
      <c r="F92" s="264">
        <v>8805</v>
      </c>
      <c r="G92" s="264">
        <v>7371</v>
      </c>
      <c r="H92" s="264">
        <v>5937</v>
      </c>
      <c r="I92" s="264">
        <v>22716</v>
      </c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/>
      <c r="F93" s="264"/>
      <c r="G93" s="264"/>
      <c r="H93" s="264"/>
      <c r="I93" s="264"/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/>
      <c r="F94" s="264"/>
      <c r="G94" s="264"/>
      <c r="H94" s="264"/>
      <c r="I94" s="264"/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/>
      <c r="F95" s="264"/>
      <c r="G95" s="264"/>
      <c r="H95" s="264"/>
      <c r="I95" s="264"/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/>
      <c r="F96" s="264"/>
      <c r="G96" s="264"/>
      <c r="H96" s="264"/>
      <c r="I96" s="264"/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/>
      <c r="F97" s="264"/>
      <c r="G97" s="264"/>
      <c r="H97" s="264"/>
      <c r="I97" s="264"/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.75" customHeight="1">
      <c r="B98" s="44">
        <v>400</v>
      </c>
      <c r="C98" s="49" t="s">
        <v>420</v>
      </c>
      <c r="D98" s="168"/>
      <c r="E98" s="301">
        <v>483553</v>
      </c>
      <c r="F98" s="301">
        <v>531915</v>
      </c>
      <c r="G98" s="301">
        <v>566398</v>
      </c>
      <c r="H98" s="301">
        <v>585348</v>
      </c>
      <c r="I98" s="301">
        <v>573488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483553</v>
      </c>
      <c r="F99" s="301">
        <v>531915</v>
      </c>
      <c r="G99" s="301">
        <v>566398</v>
      </c>
      <c r="H99" s="301">
        <v>585348</v>
      </c>
      <c r="I99" s="301">
        <v>573488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300000</v>
      </c>
      <c r="F100" s="264">
        <v>300000</v>
      </c>
      <c r="G100" s="264">
        <v>300000</v>
      </c>
      <c r="H100" s="264">
        <v>300000</v>
      </c>
      <c r="I100" s="264">
        <v>300000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300000</v>
      </c>
      <c r="F101" s="264">
        <v>300000</v>
      </c>
      <c r="G101" s="264">
        <v>300000</v>
      </c>
      <c r="H101" s="264">
        <v>300000</v>
      </c>
      <c r="I101" s="264">
        <v>300000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/>
      <c r="F102" s="264"/>
      <c r="G102" s="264"/>
      <c r="H102" s="264"/>
      <c r="I102" s="264"/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>
        <v>5613</v>
      </c>
      <c r="F103" s="264">
        <v>5613</v>
      </c>
      <c r="G103" s="264">
        <v>5613</v>
      </c>
      <c r="H103" s="264">
        <v>5613</v>
      </c>
      <c r="I103" s="264">
        <v>5613</v>
      </c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/>
      <c r="F104" s="264"/>
      <c r="G104" s="264"/>
      <c r="H104" s="264"/>
      <c r="I104" s="264"/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/>
      <c r="F105" s="264"/>
      <c r="G105" s="264"/>
      <c r="H105" s="264"/>
      <c r="I105" s="264"/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/>
      <c r="F106" s="264"/>
      <c r="G106" s="264"/>
      <c r="H106" s="264"/>
      <c r="I106" s="264"/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/>
      <c r="F107" s="264"/>
      <c r="G107" s="264"/>
      <c r="H107" s="264"/>
      <c r="I107" s="264"/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/>
      <c r="F108" s="264"/>
      <c r="G108" s="264"/>
      <c r="H108" s="264"/>
      <c r="I108" s="264"/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>
        <v>62967</v>
      </c>
      <c r="F109" s="264">
        <v>72189</v>
      </c>
      <c r="G109" s="264">
        <v>81847</v>
      </c>
      <c r="H109" s="264">
        <v>93140</v>
      </c>
      <c r="I109" s="264">
        <v>103616</v>
      </c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/>
      <c r="F110" s="264"/>
      <c r="G110" s="264"/>
      <c r="H110" s="264"/>
      <c r="I110" s="264"/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/>
      <c r="F111" s="264"/>
      <c r="G111" s="264"/>
      <c r="H111" s="264"/>
      <c r="I111" s="264"/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114974</v>
      </c>
      <c r="F112" s="264">
        <v>154114</v>
      </c>
      <c r="G112" s="264">
        <v>178938</v>
      </c>
      <c r="H112" s="264">
        <v>186596</v>
      </c>
      <c r="I112" s="264">
        <v>164260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>
        <v>58756</v>
      </c>
      <c r="F113" s="264">
        <v>57530</v>
      </c>
      <c r="G113" s="264">
        <v>66012</v>
      </c>
      <c r="H113" s="264">
        <v>81836</v>
      </c>
      <c r="I113" s="264">
        <v>93529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56217</v>
      </c>
      <c r="F114" s="264">
        <v>96584</v>
      </c>
      <c r="G114" s="264">
        <v>112926</v>
      </c>
      <c r="H114" s="264">
        <v>104760</v>
      </c>
      <c r="I114" s="264">
        <v>70731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/>
      <c r="F115" s="264"/>
      <c r="G115" s="264"/>
      <c r="H115" s="264"/>
      <c r="I115" s="264"/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/>
      <c r="F116" s="301"/>
      <c r="G116" s="301"/>
      <c r="H116" s="301"/>
      <c r="I116" s="301"/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/>
      <c r="F117" s="264"/>
      <c r="G117" s="264"/>
      <c r="H117" s="264"/>
      <c r="I117" s="264"/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/>
      <c r="F118" s="264"/>
      <c r="G118" s="264"/>
      <c r="H118" s="264"/>
      <c r="I118" s="264"/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.75" customHeight="1">
      <c r="B119" s="44">
        <v>440</v>
      </c>
      <c r="C119" s="55" t="s">
        <v>445</v>
      </c>
      <c r="D119" s="168"/>
      <c r="E119" s="301">
        <v>872463</v>
      </c>
      <c r="F119" s="301">
        <v>978822</v>
      </c>
      <c r="G119" s="301">
        <v>1195322</v>
      </c>
      <c r="H119" s="301">
        <v>1197771</v>
      </c>
      <c r="I119" s="301">
        <v>1289333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>
      <c r="B1" s="1" t="s">
        <v>209</v>
      </c>
    </row>
    <row r="2" spans="1:17">
      <c r="B2" s="1"/>
      <c r="O2">
        <v>1000000</v>
      </c>
    </row>
    <row r="3" spans="1:17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>
      <c r="A28" s="42"/>
      <c r="G28" s="20"/>
      <c r="H28" s="20"/>
      <c r="I28" s="20"/>
      <c r="J28" s="20"/>
      <c r="K28" s="20"/>
      <c r="O28" s="16"/>
      <c r="P28" s="16"/>
      <c r="Q28" s="16"/>
    </row>
    <row r="29" spans="1:17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>
      <c r="O33" s="264">
        <v>-932021983.20000005</v>
      </c>
      <c r="P33" s="264">
        <v>-1043864621.184</v>
      </c>
      <c r="Q33" s="264">
        <v>-1200444314.3615999</v>
      </c>
    </row>
    <row r="34" spans="15:17">
      <c r="O34" s="264">
        <v>-251093594410.02802</v>
      </c>
      <c r="P34" s="264">
        <v>-281224825739.23102</v>
      </c>
      <c r="Q34" s="264">
        <v>-323408549600.11603</v>
      </c>
    </row>
    <row r="35" spans="15:17">
      <c r="O35" s="16"/>
      <c r="P35" s="16"/>
      <c r="Q35" s="16"/>
    </row>
    <row r="36" spans="15:17">
      <c r="O36" s="264">
        <v>2804060278.8000002</v>
      </c>
      <c r="P36" s="264">
        <v>3084466306.6799998</v>
      </c>
      <c r="Q36" s="264">
        <v>3392912937.348001</v>
      </c>
    </row>
    <row r="37" spans="15:17">
      <c r="O37" s="264">
        <v>-9483781208</v>
      </c>
      <c r="P37" s="264">
        <v>-10432159328.799999</v>
      </c>
      <c r="Q37" s="264">
        <v>-11475375261.68</v>
      </c>
    </row>
    <row r="39" spans="15:17">
      <c r="O39" s="16"/>
      <c r="P39" s="16"/>
      <c r="Q39" s="16"/>
    </row>
    <row r="40" spans="15:17">
      <c r="O40" s="280">
        <v>-4485147789.6022902</v>
      </c>
      <c r="P40" s="280">
        <v>-30860763845.776699</v>
      </c>
      <c r="Q40" s="280">
        <v>-52878341355.646004</v>
      </c>
    </row>
    <row r="41" spans="15:17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7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.75" customHeight="1" thickTop="1">
      <c r="B3" s="42" t="s">
        <v>447</v>
      </c>
      <c r="C3" s="51" t="s">
        <v>489</v>
      </c>
      <c r="D3" s="165"/>
      <c r="E3" s="264">
        <v>331101</v>
      </c>
      <c r="F3" s="264">
        <v>340547</v>
      </c>
      <c r="G3" s="264">
        <v>350875</v>
      </c>
      <c r="H3" s="264">
        <v>341118</v>
      </c>
      <c r="I3" s="264">
        <v>361157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331101</v>
      </c>
      <c r="F5" s="301">
        <v>340547</v>
      </c>
      <c r="G5" s="301">
        <v>350875</v>
      </c>
      <c r="H5" s="301">
        <v>341118</v>
      </c>
      <c r="I5" s="301">
        <v>361157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203262</v>
      </c>
      <c r="F6" s="264">
        <v>204071</v>
      </c>
      <c r="G6" s="264">
        <v>200740</v>
      </c>
      <c r="H6" s="264">
        <v>199651</v>
      </c>
      <c r="I6" s="264">
        <v>212331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127839</v>
      </c>
      <c r="F7" s="301">
        <v>136477</v>
      </c>
      <c r="G7" s="301">
        <v>150134</v>
      </c>
      <c r="H7" s="301">
        <v>141466</v>
      </c>
      <c r="I7" s="301">
        <v>148826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4900</v>
      </c>
      <c r="F8" s="264">
        <v>5871</v>
      </c>
      <c r="G8" s="264">
        <v>13100</v>
      </c>
      <c r="H8" s="264">
        <v>8978</v>
      </c>
      <c r="I8" s="264">
        <v>6830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/>
      <c r="F9" s="264">
        <v>23</v>
      </c>
      <c r="G9" s="264">
        <v>717</v>
      </c>
      <c r="H9" s="264">
        <v>609</v>
      </c>
      <c r="I9" s="264">
        <v>579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/>
      <c r="F10" s="264">
        <v>23</v>
      </c>
      <c r="G10" s="264">
        <v>717</v>
      </c>
      <c r="H10" s="264">
        <v>609</v>
      </c>
      <c r="I10" s="264">
        <v>579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/>
      <c r="F12" s="264"/>
      <c r="G12" s="264"/>
      <c r="H12" s="264"/>
      <c r="I12" s="264"/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19998</v>
      </c>
      <c r="F13" s="264">
        <v>23964</v>
      </c>
      <c r="G13" s="264">
        <v>24497</v>
      </c>
      <c r="H13" s="264">
        <v>22377</v>
      </c>
      <c r="I13" s="264">
        <v>25222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112742</v>
      </c>
      <c r="F14" s="301">
        <v>118361</v>
      </c>
      <c r="G14" s="301">
        <v>138020</v>
      </c>
      <c r="H14" s="301">
        <v>127459</v>
      </c>
      <c r="I14" s="301">
        <v>129855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>
        <v>1325</v>
      </c>
      <c r="F15" s="264">
        <v>1097</v>
      </c>
      <c r="G15" s="264">
        <v>1300</v>
      </c>
      <c r="H15" s="264">
        <v>1212</v>
      </c>
      <c r="I15" s="264">
        <v>1171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13</v>
      </c>
      <c r="F16" s="264">
        <v>0</v>
      </c>
      <c r="G16" s="264">
        <v>0</v>
      </c>
      <c r="H16" s="264">
        <v>0</v>
      </c>
      <c r="I16" s="264">
        <v>13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1312</v>
      </c>
      <c r="F17" s="301">
        <v>1097</v>
      </c>
      <c r="G17" s="301">
        <v>1300</v>
      </c>
      <c r="H17" s="301">
        <v>1212</v>
      </c>
      <c r="I17" s="301">
        <v>1158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114054</v>
      </c>
      <c r="F18" s="301">
        <v>119458</v>
      </c>
      <c r="G18" s="301">
        <v>139320</v>
      </c>
      <c r="H18" s="301">
        <v>128671</v>
      </c>
      <c r="I18" s="301">
        <v>131013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>
        <v>21836</v>
      </c>
      <c r="F19" s="264">
        <v>22495</v>
      </c>
      <c r="G19" s="264">
        <v>26394</v>
      </c>
      <c r="H19" s="264">
        <v>23911</v>
      </c>
      <c r="I19" s="264">
        <v>24282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/>
      <c r="F20" s="264">
        <v>380</v>
      </c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92217</v>
      </c>
      <c r="F21" s="301">
        <v>96584</v>
      </c>
      <c r="G21" s="301">
        <v>112926</v>
      </c>
      <c r="H21" s="301">
        <v>104760</v>
      </c>
      <c r="I21" s="301">
        <v>106731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92217</v>
      </c>
      <c r="F22" s="264">
        <v>96584</v>
      </c>
      <c r="G22" s="264">
        <v>112926</v>
      </c>
      <c r="H22" s="264">
        <v>104760</v>
      </c>
      <c r="I22" s="264">
        <v>106731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3074</v>
      </c>
      <c r="F24" s="264">
        <v>3219</v>
      </c>
      <c r="G24" s="264">
        <v>3559</v>
      </c>
      <c r="H24" s="264">
        <v>3216</v>
      </c>
      <c r="I24" s="264">
        <v>3277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/>
      <c r="F25" s="264">
        <v>3219</v>
      </c>
      <c r="G25" s="264">
        <v>3559</v>
      </c>
      <c r="H25" s="264">
        <v>3216</v>
      </c>
      <c r="I25" s="264">
        <v>3277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2023-06-01T08:55:19Z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