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-120" yWindow="-120" windowWidth="23256" windowHeight="13176"/>
  </bookViews>
  <sheets>
    <sheet name="FSA" sheetId="1" r:id="rId1"/>
    <sheet name="Stress test" sheetId="2" state="hidden" r:id="rId2"/>
    <sheet name="%" sheetId="3" r:id="rId3"/>
    <sheet name="Sheet2" sheetId="4" state="hidden" r:id="rId4"/>
    <sheet name="Sheet5" sheetId="5" state="hidden" r:id="rId5"/>
    <sheet name="BS" sheetId="6" state="hidden" r:id="rId6"/>
    <sheet name="BS.data" sheetId="7" r:id="rId7"/>
    <sheet name="PL" sheetId="8" state="hidden" r:id="rId8"/>
    <sheet name="PL.data" sheetId="9" r:id="rId9"/>
    <sheet name="CF" sheetId="10" state="hidden" r:id="rId10"/>
    <sheet name="CF.data" sheetId="11" r:id="rId11"/>
  </sheets>
  <definedNames>
    <definedName name="capital">'Stress test'!$C$13</definedName>
    <definedName name="test">'Stress test'!$C$8</definedName>
  </definedNames>
  <calcPr calcId="145621"/>
</workbook>
</file>

<file path=xl/calcChain.xml><?xml version="1.0" encoding="utf-8"?>
<calcChain xmlns="http://schemas.openxmlformats.org/spreadsheetml/2006/main">
  <c r="J55" i="10" l="1"/>
  <c r="I55" i="10"/>
  <c r="H55" i="10"/>
  <c r="G55" i="10"/>
  <c r="F55" i="10"/>
  <c r="E55" i="10"/>
  <c r="D55" i="10"/>
  <c r="C55" i="10"/>
  <c r="J54" i="10"/>
  <c r="I54" i="10"/>
  <c r="H54" i="10"/>
  <c r="G54" i="10"/>
  <c r="F54" i="10"/>
  <c r="E54" i="10"/>
  <c r="D54" i="10"/>
  <c r="C54" i="10"/>
  <c r="J53" i="10"/>
  <c r="I53" i="10"/>
  <c r="H53" i="10"/>
  <c r="G53" i="10"/>
  <c r="F53" i="10"/>
  <c r="E53" i="10"/>
  <c r="D53" i="10"/>
  <c r="C53" i="10"/>
  <c r="J52" i="10"/>
  <c r="I52" i="10"/>
  <c r="H52" i="10"/>
  <c r="G52" i="10"/>
  <c r="F52" i="10"/>
  <c r="E52" i="10"/>
  <c r="D52" i="10"/>
  <c r="C52" i="10"/>
  <c r="J51" i="10"/>
  <c r="I51" i="10"/>
  <c r="H51" i="10"/>
  <c r="G51" i="10"/>
  <c r="F51" i="10"/>
  <c r="E51" i="10"/>
  <c r="D51" i="10"/>
  <c r="C51" i="10"/>
  <c r="J50" i="10"/>
  <c r="I50" i="10"/>
  <c r="H50" i="10"/>
  <c r="G50" i="10"/>
  <c r="F50" i="10"/>
  <c r="E50" i="10"/>
  <c r="D50" i="10"/>
  <c r="C50" i="10"/>
  <c r="Q49" i="10"/>
  <c r="P49" i="10"/>
  <c r="O49" i="10"/>
  <c r="J49" i="10"/>
  <c r="I49" i="10"/>
  <c r="H49" i="10"/>
  <c r="G49" i="10"/>
  <c r="F49" i="10"/>
  <c r="E49" i="10"/>
  <c r="D49" i="10"/>
  <c r="C49" i="10"/>
  <c r="Q48" i="10"/>
  <c r="P48" i="10"/>
  <c r="O48" i="10"/>
  <c r="J48" i="10"/>
  <c r="I48" i="10"/>
  <c r="H48" i="10"/>
  <c r="G48" i="10"/>
  <c r="F48" i="10"/>
  <c r="E48" i="10"/>
  <c r="D48" i="10"/>
  <c r="C48" i="10"/>
  <c r="Q47" i="10"/>
  <c r="P47" i="10"/>
  <c r="O47" i="10"/>
  <c r="J47" i="10"/>
  <c r="I47" i="10"/>
  <c r="H47" i="10"/>
  <c r="G47" i="10"/>
  <c r="F47" i="10"/>
  <c r="E47" i="10"/>
  <c r="D47" i="10"/>
  <c r="C47" i="10"/>
  <c r="Q46" i="10"/>
  <c r="P46" i="10"/>
  <c r="O46" i="10"/>
  <c r="J46" i="10"/>
  <c r="I46" i="10"/>
  <c r="H46" i="10"/>
  <c r="G46" i="10"/>
  <c r="F46" i="10"/>
  <c r="E46" i="10"/>
  <c r="D46" i="10"/>
  <c r="C46" i="10"/>
  <c r="Q45" i="10"/>
  <c r="P45" i="10"/>
  <c r="O45" i="10"/>
  <c r="J45" i="10"/>
  <c r="I45" i="10"/>
  <c r="H45" i="10"/>
  <c r="G45" i="10"/>
  <c r="F45" i="10"/>
  <c r="E45" i="10"/>
  <c r="D45" i="10"/>
  <c r="C45" i="10"/>
  <c r="Q44" i="10"/>
  <c r="P44" i="10"/>
  <c r="O44" i="10"/>
  <c r="J44" i="10"/>
  <c r="I44" i="10"/>
  <c r="H44" i="10"/>
  <c r="G44" i="10"/>
  <c r="F44" i="10"/>
  <c r="E44" i="10"/>
  <c r="D44" i="10"/>
  <c r="C44" i="10"/>
  <c r="Q43" i="10"/>
  <c r="P43" i="10"/>
  <c r="O43" i="10"/>
  <c r="J43" i="10"/>
  <c r="I43" i="10"/>
  <c r="H43" i="10"/>
  <c r="G43" i="10"/>
  <c r="F43" i="10"/>
  <c r="E43" i="10"/>
  <c r="D43" i="10"/>
  <c r="Q42" i="10"/>
  <c r="P42" i="10"/>
  <c r="O42" i="10"/>
  <c r="J42" i="10"/>
  <c r="I42" i="10"/>
  <c r="H42" i="10"/>
  <c r="G42" i="10"/>
  <c r="F42" i="10"/>
  <c r="E42" i="10"/>
  <c r="D42" i="10"/>
  <c r="C42" i="10"/>
  <c r="Q41" i="10"/>
  <c r="P41" i="10"/>
  <c r="O41" i="10"/>
  <c r="J41" i="10"/>
  <c r="I41" i="10"/>
  <c r="H41" i="10"/>
  <c r="G41" i="10"/>
  <c r="F41" i="10"/>
  <c r="E41" i="10"/>
  <c r="D41" i="10"/>
  <c r="C41" i="10"/>
  <c r="Q40" i="10"/>
  <c r="P40" i="10"/>
  <c r="O40" i="10"/>
  <c r="J40" i="10"/>
  <c r="I40" i="10"/>
  <c r="H40" i="10"/>
  <c r="G40" i="10"/>
  <c r="F40" i="10"/>
  <c r="E40" i="10"/>
  <c r="D40" i="10"/>
  <c r="C40" i="10"/>
  <c r="Q39" i="10"/>
  <c r="P39" i="10"/>
  <c r="O39" i="10"/>
  <c r="J39" i="10"/>
  <c r="I39" i="10"/>
  <c r="H39" i="10"/>
  <c r="G39" i="10"/>
  <c r="F39" i="10"/>
  <c r="E39" i="10"/>
  <c r="D39" i="10"/>
  <c r="Q38" i="10"/>
  <c r="P38" i="10"/>
  <c r="O38" i="10"/>
  <c r="J38" i="10"/>
  <c r="I38" i="10"/>
  <c r="H38" i="10"/>
  <c r="G38" i="10"/>
  <c r="F38" i="10"/>
  <c r="E38" i="10"/>
  <c r="D38" i="10"/>
  <c r="C38" i="10"/>
  <c r="Q37" i="10"/>
  <c r="P37" i="10"/>
  <c r="O37" i="10"/>
  <c r="J37" i="10"/>
  <c r="I37" i="10"/>
  <c r="H37" i="10"/>
  <c r="G37" i="10"/>
  <c r="F37" i="10"/>
  <c r="E37" i="10"/>
  <c r="D37" i="10"/>
  <c r="C37" i="10"/>
  <c r="Q36" i="10"/>
  <c r="P36" i="10"/>
  <c r="O36" i="10"/>
  <c r="J36" i="10"/>
  <c r="I36" i="10"/>
  <c r="H36" i="10"/>
  <c r="G36" i="10"/>
  <c r="F36" i="10"/>
  <c r="E36" i="10"/>
  <c r="D36" i="10"/>
  <c r="C36" i="10"/>
  <c r="Q35" i="10"/>
  <c r="P35" i="10"/>
  <c r="O35" i="10"/>
  <c r="J35" i="10"/>
  <c r="I35" i="10"/>
  <c r="H35" i="10"/>
  <c r="G35" i="10"/>
  <c r="F35" i="10"/>
  <c r="E35" i="10"/>
  <c r="D35" i="10"/>
  <c r="C35" i="10"/>
  <c r="C43" i="10" s="1"/>
  <c r="Q34" i="10"/>
  <c r="P34" i="10"/>
  <c r="O34" i="10"/>
  <c r="J34" i="10"/>
  <c r="I34" i="10"/>
  <c r="H34" i="10"/>
  <c r="G34" i="10"/>
  <c r="F34" i="10"/>
  <c r="E34" i="10"/>
  <c r="D34" i="10"/>
  <c r="C34" i="10"/>
  <c r="Q33" i="10"/>
  <c r="P33" i="10"/>
  <c r="O33" i="10"/>
  <c r="J33" i="10"/>
  <c r="I33" i="10"/>
  <c r="H33" i="10"/>
  <c r="G33" i="10"/>
  <c r="F33" i="10"/>
  <c r="E33" i="10"/>
  <c r="D33" i="10"/>
  <c r="C33" i="10"/>
  <c r="Q32" i="10"/>
  <c r="P32" i="10"/>
  <c r="O32" i="10"/>
  <c r="J32" i="10"/>
  <c r="I32" i="10"/>
  <c r="H32" i="10"/>
  <c r="G32" i="10"/>
  <c r="F32" i="10"/>
  <c r="E32" i="10"/>
  <c r="D32" i="10"/>
  <c r="Q31" i="10"/>
  <c r="P31" i="10"/>
  <c r="O31" i="10"/>
  <c r="J31" i="10"/>
  <c r="I31" i="10"/>
  <c r="H31" i="10"/>
  <c r="G31" i="10"/>
  <c r="F31" i="10"/>
  <c r="E31" i="10"/>
  <c r="D31" i="10"/>
  <c r="C31" i="10"/>
  <c r="Q30" i="10"/>
  <c r="P30" i="10"/>
  <c r="O30" i="10"/>
  <c r="J30" i="10"/>
  <c r="I30" i="10"/>
  <c r="H30" i="10"/>
  <c r="G30" i="10"/>
  <c r="F30" i="10"/>
  <c r="E30" i="10"/>
  <c r="D30" i="10"/>
  <c r="Q29" i="10"/>
  <c r="P29" i="10"/>
  <c r="O29" i="10"/>
  <c r="J29" i="10"/>
  <c r="I29" i="10"/>
  <c r="H29" i="10"/>
  <c r="G29" i="10"/>
  <c r="F29" i="10"/>
  <c r="E29" i="10"/>
  <c r="Q28" i="10"/>
  <c r="P28" i="10"/>
  <c r="O28" i="10"/>
  <c r="J28" i="10"/>
  <c r="I28" i="10"/>
  <c r="H28" i="10"/>
  <c r="G28" i="10"/>
  <c r="F28" i="10"/>
  <c r="E28" i="10"/>
  <c r="D28" i="10"/>
  <c r="C28" i="10"/>
  <c r="Q27" i="10"/>
  <c r="P27" i="10"/>
  <c r="O27" i="10"/>
  <c r="J27" i="10"/>
  <c r="I27" i="10"/>
  <c r="H27" i="10"/>
  <c r="G27" i="10"/>
  <c r="F27" i="10"/>
  <c r="E27" i="10"/>
  <c r="D27" i="10"/>
  <c r="C27" i="10"/>
  <c r="Q26" i="10"/>
  <c r="P26" i="10"/>
  <c r="O26" i="10"/>
  <c r="J26" i="10"/>
  <c r="I26" i="10"/>
  <c r="H26" i="10"/>
  <c r="G26" i="10"/>
  <c r="F26" i="10"/>
  <c r="E26" i="10"/>
  <c r="D26" i="10"/>
  <c r="Q25" i="10"/>
  <c r="P25" i="10"/>
  <c r="O25" i="10"/>
  <c r="J25" i="10"/>
  <c r="I25" i="10"/>
  <c r="H25" i="10"/>
  <c r="G25" i="10"/>
  <c r="F25" i="10"/>
  <c r="E25" i="10"/>
  <c r="D25" i="10"/>
  <c r="C25" i="10"/>
  <c r="Q24" i="10"/>
  <c r="P24" i="10"/>
  <c r="O24" i="10"/>
  <c r="J24" i="10"/>
  <c r="I24" i="10"/>
  <c r="H24" i="10"/>
  <c r="G24" i="10"/>
  <c r="F24" i="10"/>
  <c r="E24" i="10"/>
  <c r="D24" i="10"/>
  <c r="C24" i="10"/>
  <c r="Q23" i="10"/>
  <c r="P23" i="10"/>
  <c r="O23" i="10"/>
  <c r="J23" i="10"/>
  <c r="I23" i="10"/>
  <c r="H23" i="10"/>
  <c r="G23" i="10"/>
  <c r="F23" i="10"/>
  <c r="E23" i="10"/>
  <c r="D23" i="10"/>
  <c r="C23" i="10"/>
  <c r="Q22" i="10"/>
  <c r="P22" i="10"/>
  <c r="O22" i="10"/>
  <c r="J22" i="10"/>
  <c r="I22" i="10"/>
  <c r="H22" i="10"/>
  <c r="G22" i="10"/>
  <c r="F22" i="10"/>
  <c r="E22" i="10"/>
  <c r="D22" i="10"/>
  <c r="C22" i="10"/>
  <c r="Q21" i="10"/>
  <c r="P21" i="10"/>
  <c r="O21" i="10"/>
  <c r="J21" i="10"/>
  <c r="I21" i="10"/>
  <c r="H21" i="10"/>
  <c r="G21" i="10"/>
  <c r="F21" i="10"/>
  <c r="E21" i="10"/>
  <c r="Q20" i="10"/>
  <c r="P20" i="10"/>
  <c r="O20" i="10"/>
  <c r="J20" i="10"/>
  <c r="I20" i="10"/>
  <c r="H20" i="10"/>
  <c r="G20" i="10"/>
  <c r="F20" i="10"/>
  <c r="E20" i="10"/>
  <c r="D20" i="10"/>
  <c r="C20" i="10"/>
  <c r="Q19" i="10"/>
  <c r="P19" i="10"/>
  <c r="O19" i="10"/>
  <c r="J19" i="10"/>
  <c r="I19" i="10"/>
  <c r="H19" i="10"/>
  <c r="G19" i="10"/>
  <c r="F19" i="10"/>
  <c r="E19" i="10"/>
  <c r="D19" i="10"/>
  <c r="C19" i="10"/>
  <c r="Q18" i="10"/>
  <c r="P18" i="10"/>
  <c r="O18" i="10"/>
  <c r="J18" i="10"/>
  <c r="I18" i="10"/>
  <c r="H18" i="10"/>
  <c r="G18" i="10"/>
  <c r="F18" i="10"/>
  <c r="E18" i="10"/>
  <c r="Q17" i="10"/>
  <c r="P17" i="10"/>
  <c r="O17" i="10"/>
  <c r="J17" i="10"/>
  <c r="I17" i="10"/>
  <c r="H17" i="10"/>
  <c r="G17" i="10"/>
  <c r="F17" i="10"/>
  <c r="E17" i="10"/>
  <c r="D17" i="10"/>
  <c r="C17" i="10"/>
  <c r="Q16" i="10"/>
  <c r="P16" i="10"/>
  <c r="O16" i="10"/>
  <c r="J16" i="10"/>
  <c r="I16" i="10"/>
  <c r="H16" i="10"/>
  <c r="G16" i="10"/>
  <c r="F16" i="10"/>
  <c r="E16" i="10"/>
  <c r="D16" i="10"/>
  <c r="C16" i="10"/>
  <c r="Q15" i="10"/>
  <c r="P15" i="10"/>
  <c r="O15" i="10"/>
  <c r="J15" i="10"/>
  <c r="I15" i="10"/>
  <c r="H15" i="10"/>
  <c r="G15" i="10"/>
  <c r="F15" i="10"/>
  <c r="E15" i="10"/>
  <c r="D15" i="10"/>
  <c r="C15" i="10"/>
  <c r="Q14" i="10"/>
  <c r="P14" i="10"/>
  <c r="O14" i="10"/>
  <c r="J14" i="10"/>
  <c r="I14" i="10"/>
  <c r="H14" i="10"/>
  <c r="G14" i="10"/>
  <c r="F14" i="10"/>
  <c r="E14" i="10"/>
  <c r="D14" i="10"/>
  <c r="C14" i="10"/>
  <c r="Q13" i="10"/>
  <c r="P13" i="10"/>
  <c r="O13" i="10"/>
  <c r="J13" i="10"/>
  <c r="I13" i="10"/>
  <c r="H13" i="10"/>
  <c r="G13" i="10"/>
  <c r="F13" i="10"/>
  <c r="E13" i="10"/>
  <c r="D13" i="10"/>
  <c r="C13" i="10"/>
  <c r="Q12" i="10"/>
  <c r="P12" i="10"/>
  <c r="O12" i="10"/>
  <c r="J12" i="10"/>
  <c r="I12" i="10"/>
  <c r="H12" i="10"/>
  <c r="G12" i="10"/>
  <c r="F12" i="10"/>
  <c r="E12" i="10"/>
  <c r="D12" i="10"/>
  <c r="C12" i="10"/>
  <c r="Q11" i="10"/>
  <c r="P11" i="10"/>
  <c r="O11" i="10"/>
  <c r="J11" i="10"/>
  <c r="I11" i="10"/>
  <c r="H11" i="10"/>
  <c r="G11" i="10"/>
  <c r="F11" i="10"/>
  <c r="E11" i="10"/>
  <c r="D11" i="10"/>
  <c r="C11" i="10"/>
  <c r="Q10" i="10"/>
  <c r="P10" i="10"/>
  <c r="O10" i="10"/>
  <c r="J10" i="10"/>
  <c r="I10" i="10"/>
  <c r="H10" i="10"/>
  <c r="G10" i="10"/>
  <c r="F10" i="10"/>
  <c r="E10" i="10"/>
  <c r="D10" i="10"/>
  <c r="Q9" i="10"/>
  <c r="P9" i="10"/>
  <c r="O9" i="10"/>
  <c r="J9" i="10"/>
  <c r="I9" i="10"/>
  <c r="H9" i="10"/>
  <c r="G9" i="10"/>
  <c r="F9" i="10"/>
  <c r="E9" i="10"/>
  <c r="D9" i="10"/>
  <c r="C9" i="10"/>
  <c r="Q8" i="10"/>
  <c r="P8" i="10"/>
  <c r="O8" i="10"/>
  <c r="J8" i="10"/>
  <c r="I8" i="10"/>
  <c r="H8" i="10"/>
  <c r="G8" i="10"/>
  <c r="F8" i="10"/>
  <c r="E8" i="10"/>
  <c r="D8" i="10"/>
  <c r="C8" i="10"/>
  <c r="Q7" i="10"/>
  <c r="P7" i="10"/>
  <c r="O7" i="10"/>
  <c r="J7" i="10"/>
  <c r="I7" i="10"/>
  <c r="H7" i="10"/>
  <c r="G7" i="10"/>
  <c r="F7" i="10"/>
  <c r="E7" i="10"/>
  <c r="Q6" i="10"/>
  <c r="P6" i="10"/>
  <c r="O6" i="10"/>
  <c r="J6" i="10"/>
  <c r="I6" i="10"/>
  <c r="H6" i="10"/>
  <c r="G6" i="10"/>
  <c r="F6" i="10"/>
  <c r="E6" i="10"/>
  <c r="D6" i="10"/>
  <c r="D21" i="10" s="1"/>
  <c r="C6" i="10"/>
  <c r="C21" i="10" s="1"/>
  <c r="C32" i="10" s="1"/>
  <c r="Q5" i="10"/>
  <c r="P5" i="10"/>
  <c r="O5" i="10"/>
  <c r="J5" i="10"/>
  <c r="I5" i="10"/>
  <c r="H5" i="10"/>
  <c r="G5" i="10"/>
  <c r="F5" i="10"/>
  <c r="E5" i="10"/>
  <c r="F3" i="10"/>
  <c r="G3" i="10" s="1"/>
  <c r="H3" i="10" s="1"/>
  <c r="I3" i="10" s="1"/>
  <c r="J3" i="10" s="1"/>
  <c r="K3" i="10" s="1"/>
  <c r="L3" i="10" s="1"/>
  <c r="M3" i="10" s="1"/>
  <c r="N3" i="10" s="1"/>
  <c r="E3" i="10"/>
  <c r="D3" i="10"/>
  <c r="J27" i="8"/>
  <c r="I27" i="8"/>
  <c r="H27" i="8"/>
  <c r="G27" i="8"/>
  <c r="F27" i="8"/>
  <c r="E27" i="8"/>
  <c r="D27" i="8"/>
  <c r="C27" i="8"/>
  <c r="J26" i="8"/>
  <c r="I26" i="8"/>
  <c r="H26" i="8"/>
  <c r="G26" i="8"/>
  <c r="F26" i="8"/>
  <c r="E26" i="8"/>
  <c r="D26" i="8"/>
  <c r="C26" i="8"/>
  <c r="J25" i="8"/>
  <c r="I25" i="8"/>
  <c r="H25" i="8"/>
  <c r="G25" i="8"/>
  <c r="F25" i="8"/>
  <c r="E25" i="8"/>
  <c r="J24" i="8"/>
  <c r="I24" i="8"/>
  <c r="H24" i="8"/>
  <c r="G24" i="8"/>
  <c r="F24" i="8"/>
  <c r="E24" i="8"/>
  <c r="D24" i="8"/>
  <c r="J23" i="8"/>
  <c r="I23" i="8"/>
  <c r="H23" i="8"/>
  <c r="G23" i="8"/>
  <c r="F23" i="8"/>
  <c r="E23" i="8"/>
  <c r="D23" i="8"/>
  <c r="Q22" i="8"/>
  <c r="P22" i="8"/>
  <c r="O22" i="8"/>
  <c r="J22" i="8"/>
  <c r="I22" i="8"/>
  <c r="H22" i="8"/>
  <c r="G22" i="8"/>
  <c r="F22" i="8"/>
  <c r="E22" i="8"/>
  <c r="D22" i="8"/>
  <c r="Q21" i="8"/>
  <c r="P21" i="8"/>
  <c r="O21" i="8"/>
  <c r="J21" i="8"/>
  <c r="I21" i="8"/>
  <c r="H21" i="8"/>
  <c r="G21" i="8"/>
  <c r="F21" i="8"/>
  <c r="E21" i="8"/>
  <c r="D21" i="8"/>
  <c r="D25" i="8" s="1"/>
  <c r="Q20" i="8"/>
  <c r="P20" i="8"/>
  <c r="O20" i="8"/>
  <c r="J20" i="8"/>
  <c r="I20" i="8"/>
  <c r="H20" i="8"/>
  <c r="G20" i="8"/>
  <c r="F20" i="8"/>
  <c r="E20" i="8"/>
  <c r="Q19" i="8"/>
  <c r="P19" i="8"/>
  <c r="O19" i="8"/>
  <c r="J19" i="8"/>
  <c r="I19" i="8"/>
  <c r="H19" i="8"/>
  <c r="G19" i="8"/>
  <c r="F19" i="8"/>
  <c r="E19" i="8"/>
  <c r="D19" i="8"/>
  <c r="Q18" i="8"/>
  <c r="P18" i="8"/>
  <c r="O18" i="8"/>
  <c r="J18" i="8"/>
  <c r="I18" i="8"/>
  <c r="H18" i="8"/>
  <c r="G18" i="8"/>
  <c r="F18" i="8"/>
  <c r="E18" i="8"/>
  <c r="D18" i="8"/>
  <c r="Q17" i="8"/>
  <c r="P17" i="8"/>
  <c r="O17" i="8"/>
  <c r="J17" i="8"/>
  <c r="I17" i="8"/>
  <c r="H17" i="8"/>
  <c r="G17" i="8"/>
  <c r="F17" i="8"/>
  <c r="E17" i="8"/>
  <c r="D17" i="8"/>
  <c r="Q16" i="8"/>
  <c r="P16" i="8"/>
  <c r="O16" i="8"/>
  <c r="J16" i="8"/>
  <c r="I16" i="8"/>
  <c r="H16" i="8"/>
  <c r="G16" i="8"/>
  <c r="F16" i="8"/>
  <c r="E16" i="8"/>
  <c r="Q15" i="8"/>
  <c r="P15" i="8"/>
  <c r="O15" i="8"/>
  <c r="J15" i="8"/>
  <c r="I15" i="8"/>
  <c r="H15" i="8"/>
  <c r="G15" i="8"/>
  <c r="F15" i="8"/>
  <c r="E15" i="8"/>
  <c r="D15" i="8"/>
  <c r="Q14" i="8"/>
  <c r="P14" i="8"/>
  <c r="O14" i="8"/>
  <c r="J14" i="8"/>
  <c r="I14" i="8"/>
  <c r="H14" i="8"/>
  <c r="G14" i="8"/>
  <c r="F14" i="8"/>
  <c r="E14" i="8"/>
  <c r="D14" i="8"/>
  <c r="Q13" i="8"/>
  <c r="P13" i="8"/>
  <c r="O13" i="8"/>
  <c r="J13" i="8"/>
  <c r="I13" i="8"/>
  <c r="H13" i="8"/>
  <c r="G13" i="8"/>
  <c r="F13" i="8"/>
  <c r="E13" i="8"/>
  <c r="D13" i="8"/>
  <c r="Q12" i="8"/>
  <c r="P12" i="8"/>
  <c r="O12" i="8"/>
  <c r="J12" i="8"/>
  <c r="I12" i="8"/>
  <c r="H12" i="8"/>
  <c r="G12" i="8"/>
  <c r="F12" i="8"/>
  <c r="E12" i="8"/>
  <c r="D12" i="8"/>
  <c r="Q11" i="8"/>
  <c r="P11" i="8"/>
  <c r="O11" i="8"/>
  <c r="J11" i="8"/>
  <c r="I11" i="8"/>
  <c r="H11" i="8"/>
  <c r="G11" i="8"/>
  <c r="F11" i="8"/>
  <c r="E11" i="8"/>
  <c r="Q10" i="8"/>
  <c r="P10" i="8"/>
  <c r="O10" i="8"/>
  <c r="J10" i="8"/>
  <c r="I10" i="8"/>
  <c r="H10" i="8"/>
  <c r="G10" i="8"/>
  <c r="F10" i="8"/>
  <c r="E10" i="8"/>
  <c r="D10" i="8"/>
  <c r="C10" i="8"/>
  <c r="Q9" i="8"/>
  <c r="P9" i="8"/>
  <c r="O9" i="8"/>
  <c r="J9" i="8"/>
  <c r="I9" i="8"/>
  <c r="H9" i="8"/>
  <c r="G9" i="8"/>
  <c r="F9" i="8"/>
  <c r="E9" i="8"/>
  <c r="D9" i="8"/>
  <c r="C9" i="8"/>
  <c r="Q8" i="8"/>
  <c r="P8" i="8"/>
  <c r="O8" i="8"/>
  <c r="J8" i="8"/>
  <c r="I8" i="8"/>
  <c r="H8" i="8"/>
  <c r="G8" i="8"/>
  <c r="F8" i="8"/>
  <c r="E8" i="8"/>
  <c r="D8" i="8"/>
  <c r="C8" i="8"/>
  <c r="Q7" i="8"/>
  <c r="P7" i="8"/>
  <c r="O7" i="8"/>
  <c r="J7" i="8"/>
  <c r="I7" i="8"/>
  <c r="H7" i="8"/>
  <c r="G7" i="8"/>
  <c r="F7" i="8"/>
  <c r="E7" i="8"/>
  <c r="D7" i="8"/>
  <c r="C7" i="8"/>
  <c r="Q6" i="8"/>
  <c r="P6" i="8"/>
  <c r="O6" i="8"/>
  <c r="J6" i="8"/>
  <c r="I6" i="8"/>
  <c r="H6" i="8"/>
  <c r="G6" i="8"/>
  <c r="F6" i="8"/>
  <c r="E6" i="8"/>
  <c r="D6" i="8"/>
  <c r="C6" i="8"/>
  <c r="Q5" i="8"/>
  <c r="P5" i="8"/>
  <c r="O5" i="8"/>
  <c r="J5" i="8"/>
  <c r="I5" i="8"/>
  <c r="I4" i="8" s="1"/>
  <c r="H5" i="8"/>
  <c r="H4" i="8" s="1"/>
  <c r="G5" i="8"/>
  <c r="G4" i="8" s="1"/>
  <c r="F5" i="8"/>
  <c r="F4" i="8" s="1"/>
  <c r="E5" i="8"/>
  <c r="D5" i="8"/>
  <c r="D4" i="8" s="1"/>
  <c r="C5" i="8"/>
  <c r="C4" i="8" s="1"/>
  <c r="J4" i="8"/>
  <c r="E4" i="8"/>
  <c r="E3" i="8"/>
  <c r="F3" i="8" s="1"/>
  <c r="G3" i="8" s="1"/>
  <c r="H3" i="8" s="1"/>
  <c r="I3" i="8" s="1"/>
  <c r="J3" i="8" s="1"/>
  <c r="K3" i="8" s="1"/>
  <c r="L3" i="8" s="1"/>
  <c r="M3" i="8" s="1"/>
  <c r="N3" i="8" s="1"/>
  <c r="D3" i="8"/>
  <c r="I78" i="6"/>
  <c r="N74" i="6"/>
  <c r="N69" i="6" s="1"/>
  <c r="N68" i="6" s="1"/>
  <c r="M74" i="6"/>
  <c r="L74" i="6"/>
  <c r="K74" i="6"/>
  <c r="J74" i="6"/>
  <c r="I74" i="6"/>
  <c r="I69" i="6" s="1"/>
  <c r="I68" i="6" s="1"/>
  <c r="H74" i="6"/>
  <c r="G74" i="6"/>
  <c r="F74" i="6"/>
  <c r="F69" i="6" s="1"/>
  <c r="F68" i="6" s="1"/>
  <c r="E74" i="6"/>
  <c r="D74" i="6"/>
  <c r="D69" i="6" s="1"/>
  <c r="D68" i="6" s="1"/>
  <c r="D78" i="6" s="1"/>
  <c r="C74" i="6"/>
  <c r="C69" i="6" s="1"/>
  <c r="C68" i="6" s="1"/>
  <c r="C78" i="6" s="1"/>
  <c r="M69" i="6"/>
  <c r="M68" i="6" s="1"/>
  <c r="M78" i="6" s="1"/>
  <c r="L69" i="6"/>
  <c r="K69" i="6"/>
  <c r="J69" i="6"/>
  <c r="H69" i="6"/>
  <c r="G69" i="6"/>
  <c r="E69" i="6"/>
  <c r="L68" i="6"/>
  <c r="L78" i="6" s="1"/>
  <c r="K68" i="6"/>
  <c r="J68" i="6"/>
  <c r="J78" i="6" s="1"/>
  <c r="H68" i="6"/>
  <c r="G68" i="6"/>
  <c r="E68" i="6"/>
  <c r="E78" i="6" s="1"/>
  <c r="N62" i="6"/>
  <c r="N50" i="6" s="1"/>
  <c r="M62" i="6"/>
  <c r="L62" i="6"/>
  <c r="L50" i="6" s="1"/>
  <c r="K62" i="6"/>
  <c r="J62" i="6"/>
  <c r="J50" i="6" s="1"/>
  <c r="I62" i="6"/>
  <c r="I50" i="6" s="1"/>
  <c r="H62" i="6"/>
  <c r="H50" i="6" s="1"/>
  <c r="G62" i="6"/>
  <c r="F62" i="6"/>
  <c r="F50" i="6" s="1"/>
  <c r="E62" i="6"/>
  <c r="D62" i="6"/>
  <c r="C62" i="6"/>
  <c r="W55" i="6"/>
  <c r="W57" i="6" s="1"/>
  <c r="W59" i="6" s="1"/>
  <c r="W61" i="6" s="1"/>
  <c r="W63" i="6" s="1"/>
  <c r="W70" i="6" s="1"/>
  <c r="W72" i="6" s="1"/>
  <c r="W73" i="6" s="1"/>
  <c r="Y73" i="6" s="1"/>
  <c r="W54" i="6"/>
  <c r="N51" i="6"/>
  <c r="M51" i="6"/>
  <c r="L51" i="6"/>
  <c r="K51" i="6"/>
  <c r="K50" i="6" s="1"/>
  <c r="J51" i="6"/>
  <c r="I51" i="6"/>
  <c r="H51" i="6"/>
  <c r="G51" i="6"/>
  <c r="G50" i="6" s="1"/>
  <c r="F51" i="6"/>
  <c r="E51" i="6"/>
  <c r="D51" i="6"/>
  <c r="C51" i="6"/>
  <c r="M50" i="6"/>
  <c r="E50" i="6"/>
  <c r="D50" i="6"/>
  <c r="C50" i="6"/>
  <c r="N44" i="6"/>
  <c r="M44" i="6"/>
  <c r="L44" i="6"/>
  <c r="K44" i="6"/>
  <c r="J44" i="6"/>
  <c r="I44" i="6"/>
  <c r="H44" i="6"/>
  <c r="G44" i="6"/>
  <c r="F44" i="6"/>
  <c r="E44" i="6"/>
  <c r="D44" i="6"/>
  <c r="C44" i="6"/>
  <c r="W43" i="6"/>
  <c r="W44" i="6" s="1"/>
  <c r="W45" i="6" s="1"/>
  <c r="W46" i="6" s="1"/>
  <c r="N40" i="6"/>
  <c r="M40" i="6"/>
  <c r="L40" i="6"/>
  <c r="K40" i="6"/>
  <c r="J40" i="6"/>
  <c r="I40" i="6"/>
  <c r="H40" i="6"/>
  <c r="G40" i="6"/>
  <c r="F40" i="6"/>
  <c r="E40" i="6"/>
  <c r="D40" i="6"/>
  <c r="C40" i="6"/>
  <c r="W38" i="6"/>
  <c r="W39" i="6" s="1"/>
  <c r="W40" i="6" s="1"/>
  <c r="W42" i="6" s="1"/>
  <c r="N38" i="6"/>
  <c r="M38" i="6"/>
  <c r="L38" i="6"/>
  <c r="K38" i="6"/>
  <c r="J38" i="6"/>
  <c r="I38" i="6"/>
  <c r="H38" i="6"/>
  <c r="G38" i="6"/>
  <c r="F38" i="6"/>
  <c r="E38" i="6"/>
  <c r="D38" i="6"/>
  <c r="C38" i="6"/>
  <c r="K35" i="6"/>
  <c r="J35" i="6"/>
  <c r="I35" i="6"/>
  <c r="H35" i="6"/>
  <c r="G35" i="6"/>
  <c r="G31" i="6" s="1"/>
  <c r="N32" i="6"/>
  <c r="N31" i="6" s="1"/>
  <c r="N24" i="6" s="1"/>
  <c r="M32" i="6"/>
  <c r="M31" i="6" s="1"/>
  <c r="L32" i="6"/>
  <c r="L31" i="6" s="1"/>
  <c r="K32" i="6"/>
  <c r="J32" i="6"/>
  <c r="J31" i="6" s="1"/>
  <c r="J24" i="6" s="1"/>
  <c r="J48" i="6" s="1"/>
  <c r="J79" i="6" s="1"/>
  <c r="I32" i="6"/>
  <c r="I31" i="6" s="1"/>
  <c r="H32" i="6"/>
  <c r="G32" i="6"/>
  <c r="W31" i="6"/>
  <c r="W32" i="6" s="1"/>
  <c r="W33" i="6" s="1"/>
  <c r="W34" i="6" s="1"/>
  <c r="W35" i="6" s="1"/>
  <c r="W36" i="6" s="1"/>
  <c r="W37" i="6" s="1"/>
  <c r="K31" i="6"/>
  <c r="H31" i="6"/>
  <c r="F31" i="6"/>
  <c r="E31" i="6"/>
  <c r="D31" i="6"/>
  <c r="C31" i="6"/>
  <c r="W30" i="6"/>
  <c r="W29" i="6"/>
  <c r="N25" i="6"/>
  <c r="M25" i="6"/>
  <c r="M24" i="6" s="1"/>
  <c r="M48" i="6" s="1"/>
  <c r="L25" i="6"/>
  <c r="L24" i="6" s="1"/>
  <c r="L48" i="6" s="1"/>
  <c r="K25" i="6"/>
  <c r="K24" i="6" s="1"/>
  <c r="J25" i="6"/>
  <c r="I25" i="6"/>
  <c r="H25" i="6"/>
  <c r="H24" i="6" s="1"/>
  <c r="G25" i="6"/>
  <c r="F24" i="6"/>
  <c r="D24" i="6"/>
  <c r="J23" i="6"/>
  <c r="N18" i="6"/>
  <c r="M18" i="6"/>
  <c r="L18" i="6"/>
  <c r="K18" i="6"/>
  <c r="J18" i="6"/>
  <c r="I18" i="6"/>
  <c r="H18" i="6"/>
  <c r="G18" i="6"/>
  <c r="F18" i="6"/>
  <c r="E18" i="6"/>
  <c r="D18" i="6"/>
  <c r="C18" i="6"/>
  <c r="N15" i="6"/>
  <c r="M15" i="6"/>
  <c r="L15" i="6"/>
  <c r="K15" i="6"/>
  <c r="J15" i="6"/>
  <c r="I15" i="6"/>
  <c r="H15" i="6"/>
  <c r="G15" i="6"/>
  <c r="F15" i="6"/>
  <c r="E15" i="6"/>
  <c r="D15" i="6"/>
  <c r="C15" i="6"/>
  <c r="N8" i="6"/>
  <c r="M8" i="6"/>
  <c r="L8" i="6"/>
  <c r="K8" i="6"/>
  <c r="J8" i="6"/>
  <c r="I8" i="6"/>
  <c r="H8" i="6"/>
  <c r="G8" i="6"/>
  <c r="F8" i="6"/>
  <c r="E8" i="6"/>
  <c r="D8" i="6"/>
  <c r="C8" i="6"/>
  <c r="N6" i="6"/>
  <c r="M6" i="6"/>
  <c r="L6" i="6"/>
  <c r="K6" i="6"/>
  <c r="J6" i="6"/>
  <c r="I6" i="6"/>
  <c r="H6" i="6"/>
  <c r="G6" i="6"/>
  <c r="F6" i="6"/>
  <c r="E6" i="6"/>
  <c r="D6" i="6"/>
  <c r="C6" i="6"/>
  <c r="N3" i="6"/>
  <c r="N23" i="6" s="1"/>
  <c r="M3" i="6"/>
  <c r="M23" i="6" s="1"/>
  <c r="L3" i="6"/>
  <c r="L23" i="6" s="1"/>
  <c r="K3" i="6"/>
  <c r="K23" i="6" s="1"/>
  <c r="J3" i="6"/>
  <c r="I3" i="6"/>
  <c r="I23" i="6" s="1"/>
  <c r="H3" i="6"/>
  <c r="H23" i="6" s="1"/>
  <c r="G3" i="6"/>
  <c r="G23" i="6" s="1"/>
  <c r="F3" i="6"/>
  <c r="F23" i="6" s="1"/>
  <c r="E3" i="6"/>
  <c r="E23" i="6" s="1"/>
  <c r="D3" i="6"/>
  <c r="D23" i="6" s="1"/>
  <c r="D48" i="6" s="1"/>
  <c r="C3" i="6"/>
  <c r="C23" i="6" s="1"/>
  <c r="N2" i="6"/>
  <c r="J2" i="6"/>
  <c r="K2" i="6" s="1"/>
  <c r="L2" i="6" s="1"/>
  <c r="M2" i="6" s="1"/>
  <c r="D2" i="6"/>
  <c r="E2" i="6" s="1"/>
  <c r="F2" i="6" s="1"/>
  <c r="G2" i="6" s="1"/>
  <c r="H2" i="6" s="1"/>
  <c r="I2" i="6" s="1"/>
  <c r="G18" i="4"/>
  <c r="G19" i="4" s="1"/>
  <c r="G13" i="4"/>
  <c r="G12" i="4"/>
  <c r="H12" i="4" s="1"/>
  <c r="I9" i="4"/>
  <c r="I18" i="4" s="1"/>
  <c r="I19" i="4" s="1"/>
  <c r="H9" i="4"/>
  <c r="H18" i="4" s="1"/>
  <c r="H19" i="4" s="1"/>
  <c r="G9" i="4"/>
  <c r="G6" i="4"/>
  <c r="H6" i="4" s="1"/>
  <c r="I6" i="4" s="1"/>
  <c r="J67" i="2"/>
  <c r="I67" i="2"/>
  <c r="H67" i="2"/>
  <c r="G67" i="2"/>
  <c r="F67" i="2"/>
  <c r="E67" i="2"/>
  <c r="D67" i="2"/>
  <c r="C67" i="2"/>
  <c r="J66" i="2"/>
  <c r="I66" i="2"/>
  <c r="H66" i="2"/>
  <c r="W60" i="2" s="1"/>
  <c r="G66" i="2"/>
  <c r="F66" i="2"/>
  <c r="E66" i="2"/>
  <c r="D66" i="2"/>
  <c r="C66" i="2"/>
  <c r="J65" i="2"/>
  <c r="I65" i="2"/>
  <c r="H65" i="2"/>
  <c r="G65" i="2"/>
  <c r="F65" i="2"/>
  <c r="E65" i="2"/>
  <c r="D65" i="2"/>
  <c r="C65" i="2"/>
  <c r="J63" i="2"/>
  <c r="H63" i="2"/>
  <c r="C63" i="2"/>
  <c r="J61" i="2"/>
  <c r="I61" i="2"/>
  <c r="I63" i="2" s="1"/>
  <c r="H61" i="2"/>
  <c r="G61" i="2"/>
  <c r="F61" i="2"/>
  <c r="E61" i="2"/>
  <c r="D61" i="2"/>
  <c r="C61" i="2"/>
  <c r="M60" i="2"/>
  <c r="L60" i="2"/>
  <c r="K60" i="2"/>
  <c r="J60" i="2"/>
  <c r="I60" i="2"/>
  <c r="H60" i="2"/>
  <c r="G60" i="2"/>
  <c r="F60" i="2"/>
  <c r="F63" i="2" s="1"/>
  <c r="E60" i="2"/>
  <c r="D60" i="2"/>
  <c r="C60" i="2"/>
  <c r="Y59" i="2"/>
  <c r="U59" i="2"/>
  <c r="R59" i="2"/>
  <c r="M59" i="2"/>
  <c r="L59" i="2"/>
  <c r="K59" i="2"/>
  <c r="J58" i="2"/>
  <c r="I58" i="2"/>
  <c r="H58" i="2"/>
  <c r="G58" i="2"/>
  <c r="F58" i="2"/>
  <c r="E58" i="2"/>
  <c r="D58" i="2"/>
  <c r="C58" i="2"/>
  <c r="M57" i="2"/>
  <c r="M64" i="2" s="1"/>
  <c r="L57" i="2"/>
  <c r="K57" i="2"/>
  <c r="J57" i="2"/>
  <c r="I57" i="2"/>
  <c r="H57" i="2"/>
  <c r="G57" i="2"/>
  <c r="F57" i="2"/>
  <c r="E57" i="2"/>
  <c r="D57" i="2"/>
  <c r="C57" i="2"/>
  <c r="J56" i="2"/>
  <c r="I56" i="2"/>
  <c r="X50" i="2" s="1"/>
  <c r="H56" i="2"/>
  <c r="G56" i="2"/>
  <c r="F56" i="2"/>
  <c r="E56" i="2"/>
  <c r="D56" i="2"/>
  <c r="C56" i="2"/>
  <c r="J55" i="2"/>
  <c r="I55" i="2"/>
  <c r="H55" i="2"/>
  <c r="G55" i="2"/>
  <c r="F55" i="2"/>
  <c r="E55" i="2"/>
  <c r="D55" i="2"/>
  <c r="C55" i="2"/>
  <c r="AB54" i="2"/>
  <c r="AA54" i="2"/>
  <c r="Z54" i="2"/>
  <c r="U54" i="2"/>
  <c r="J54" i="2"/>
  <c r="J64" i="2" s="1"/>
  <c r="I54" i="2"/>
  <c r="H54" i="2"/>
  <c r="G54" i="2"/>
  <c r="F54" i="2"/>
  <c r="E54" i="2"/>
  <c r="D54" i="2"/>
  <c r="C54" i="2"/>
  <c r="X53" i="2"/>
  <c r="J53" i="2"/>
  <c r="I53" i="2"/>
  <c r="X49" i="2" s="1"/>
  <c r="H53" i="2"/>
  <c r="H64" i="2" s="1"/>
  <c r="G53" i="2"/>
  <c r="F53" i="2"/>
  <c r="U49" i="2" s="1"/>
  <c r="E53" i="2"/>
  <c r="D53" i="2"/>
  <c r="D64" i="2" s="1"/>
  <c r="D68" i="2" s="1"/>
  <c r="C53" i="2"/>
  <c r="AA52" i="2"/>
  <c r="J50" i="2"/>
  <c r="I50" i="2"/>
  <c r="H50" i="2"/>
  <c r="G50" i="2"/>
  <c r="F50" i="2"/>
  <c r="E50" i="2"/>
  <c r="D50" i="2"/>
  <c r="C50" i="2"/>
  <c r="J49" i="2"/>
  <c r="I49" i="2"/>
  <c r="H49" i="2"/>
  <c r="G49" i="2"/>
  <c r="F49" i="2"/>
  <c r="E49" i="2"/>
  <c r="D49" i="2"/>
  <c r="C49" i="2"/>
  <c r="T48" i="2"/>
  <c r="J48" i="2"/>
  <c r="I48" i="2"/>
  <c r="H48" i="2"/>
  <c r="G48" i="2"/>
  <c r="F48" i="2"/>
  <c r="E48" i="2"/>
  <c r="D48" i="2"/>
  <c r="C48" i="2"/>
  <c r="AA47" i="2"/>
  <c r="M47" i="2"/>
  <c r="L47" i="2"/>
  <c r="K47" i="2"/>
  <c r="J47" i="2"/>
  <c r="I47" i="2"/>
  <c r="H47" i="2"/>
  <c r="G47" i="2"/>
  <c r="F47" i="2"/>
  <c r="E47" i="2"/>
  <c r="D47" i="2"/>
  <c r="C47" i="2"/>
  <c r="J46" i="2"/>
  <c r="I46" i="2"/>
  <c r="H46" i="2"/>
  <c r="G46" i="2"/>
  <c r="F46" i="2"/>
  <c r="E46" i="2"/>
  <c r="D46" i="2"/>
  <c r="C46" i="2"/>
  <c r="J45" i="2"/>
  <c r="I45" i="2"/>
  <c r="H45" i="2"/>
  <c r="G45" i="2"/>
  <c r="V51" i="2" s="1"/>
  <c r="F45" i="2"/>
  <c r="E45" i="2"/>
  <c r="D45" i="2"/>
  <c r="S51" i="2" s="1"/>
  <c r="C45" i="2"/>
  <c r="R51" i="2" s="1"/>
  <c r="J44" i="2"/>
  <c r="I44" i="2"/>
  <c r="H44" i="2"/>
  <c r="G44" i="2"/>
  <c r="V48" i="2" s="1"/>
  <c r="F44" i="2"/>
  <c r="E44" i="2"/>
  <c r="D44" i="2"/>
  <c r="C44" i="2"/>
  <c r="S48" i="2" s="1"/>
  <c r="Y43" i="2"/>
  <c r="J43" i="2"/>
  <c r="I43" i="2"/>
  <c r="H43" i="2"/>
  <c r="W52" i="2" s="1"/>
  <c r="G43" i="2"/>
  <c r="F43" i="2"/>
  <c r="V47" i="2" s="1"/>
  <c r="E43" i="2"/>
  <c r="T52" i="2" s="1"/>
  <c r="D43" i="2"/>
  <c r="S52" i="2" s="1"/>
  <c r="C43" i="2"/>
  <c r="J42" i="2"/>
  <c r="Y67" i="2" s="1"/>
  <c r="I42" i="2"/>
  <c r="H42" i="2"/>
  <c r="G42" i="2"/>
  <c r="G51" i="2" s="1"/>
  <c r="F42" i="2"/>
  <c r="E42" i="2"/>
  <c r="D42" i="2"/>
  <c r="D51" i="2" s="1"/>
  <c r="C42" i="2"/>
  <c r="C51" i="2" s="1"/>
  <c r="M40" i="2"/>
  <c r="AB18" i="2" s="1"/>
  <c r="AB40" i="2" s="1"/>
  <c r="L40" i="2"/>
  <c r="K40" i="2"/>
  <c r="Z18" i="2" s="1"/>
  <c r="Z40" i="2" s="1"/>
  <c r="J40" i="2"/>
  <c r="Y18" i="2" s="1"/>
  <c r="Y40" i="2" s="1"/>
  <c r="I40" i="2"/>
  <c r="H40" i="2"/>
  <c r="G40" i="2"/>
  <c r="F40" i="2"/>
  <c r="E40" i="2"/>
  <c r="Y34" i="2"/>
  <c r="X34" i="2"/>
  <c r="W34" i="2"/>
  <c r="V34" i="2"/>
  <c r="U34" i="2"/>
  <c r="T34" i="2"/>
  <c r="S34" i="2"/>
  <c r="R34" i="2"/>
  <c r="J34" i="2"/>
  <c r="I34" i="2"/>
  <c r="H34" i="2"/>
  <c r="G34" i="2"/>
  <c r="F34" i="2"/>
  <c r="E34" i="2"/>
  <c r="D34" i="2"/>
  <c r="C34" i="2"/>
  <c r="Y33" i="2"/>
  <c r="X33" i="2"/>
  <c r="W33" i="2"/>
  <c r="V33" i="2"/>
  <c r="U33" i="2"/>
  <c r="T33" i="2"/>
  <c r="S33" i="2"/>
  <c r="R33" i="2"/>
  <c r="Y32" i="2"/>
  <c r="X32" i="2"/>
  <c r="W32" i="2"/>
  <c r="V32" i="2"/>
  <c r="U32" i="2"/>
  <c r="T32" i="2"/>
  <c r="S32" i="2"/>
  <c r="R32" i="2"/>
  <c r="Y30" i="2"/>
  <c r="X30" i="2"/>
  <c r="W30" i="2"/>
  <c r="V30" i="2"/>
  <c r="U30" i="2"/>
  <c r="T30" i="2"/>
  <c r="S30" i="2"/>
  <c r="R30" i="2"/>
  <c r="J30" i="2"/>
  <c r="I30" i="2"/>
  <c r="H30" i="2"/>
  <c r="G30" i="2"/>
  <c r="F30" i="2"/>
  <c r="E30" i="2"/>
  <c r="D30" i="2"/>
  <c r="C30" i="2"/>
  <c r="Y29" i="2"/>
  <c r="X29" i="2"/>
  <c r="W29" i="2"/>
  <c r="V29" i="2"/>
  <c r="U29" i="2"/>
  <c r="T29" i="2"/>
  <c r="S29" i="2"/>
  <c r="R29" i="2"/>
  <c r="Y28" i="2"/>
  <c r="X28" i="2"/>
  <c r="W28" i="2"/>
  <c r="V28" i="2"/>
  <c r="U28" i="2"/>
  <c r="T28" i="2"/>
  <c r="S28" i="2"/>
  <c r="R28" i="2"/>
  <c r="M28" i="2"/>
  <c r="L28" i="2"/>
  <c r="K28" i="2"/>
  <c r="J28" i="2"/>
  <c r="I28" i="2"/>
  <c r="H28" i="2"/>
  <c r="G28" i="2"/>
  <c r="F28" i="2"/>
  <c r="E28" i="2"/>
  <c r="D28" i="2"/>
  <c r="C28" i="2"/>
  <c r="Y27" i="2"/>
  <c r="X27" i="2"/>
  <c r="W27" i="2"/>
  <c r="W54" i="2" s="1"/>
  <c r="V27" i="2"/>
  <c r="V54" i="2" s="1"/>
  <c r="U27" i="2"/>
  <c r="T27" i="2"/>
  <c r="S27" i="2"/>
  <c r="S55" i="2" s="1"/>
  <c r="R27" i="2"/>
  <c r="R55" i="2" s="1"/>
  <c r="J27" i="2"/>
  <c r="I27" i="2"/>
  <c r="H27" i="2"/>
  <c r="G27" i="2"/>
  <c r="F27" i="2"/>
  <c r="E27" i="2"/>
  <c r="D27" i="2"/>
  <c r="C27" i="2"/>
  <c r="J26" i="2"/>
  <c r="I26" i="2"/>
  <c r="H26" i="2"/>
  <c r="G26" i="2"/>
  <c r="F26" i="2"/>
  <c r="E26" i="2"/>
  <c r="D26" i="2"/>
  <c r="C26" i="2"/>
  <c r="Y24" i="2"/>
  <c r="X24" i="2"/>
  <c r="W24" i="2"/>
  <c r="V24" i="2"/>
  <c r="U24" i="2"/>
  <c r="T24" i="2"/>
  <c r="S24" i="2"/>
  <c r="R24" i="2"/>
  <c r="J23" i="2"/>
  <c r="I23" i="2"/>
  <c r="H23" i="2"/>
  <c r="G23" i="2"/>
  <c r="F23" i="2"/>
  <c r="E23" i="2"/>
  <c r="D23" i="2"/>
  <c r="C23" i="2"/>
  <c r="Y22" i="2"/>
  <c r="X22" i="2"/>
  <c r="W22" i="2"/>
  <c r="V22" i="2"/>
  <c r="U22" i="2"/>
  <c r="T22" i="2"/>
  <c r="S22" i="2"/>
  <c r="R22" i="2"/>
  <c r="H22" i="2"/>
  <c r="AB21" i="2"/>
  <c r="AA21" i="2"/>
  <c r="Z21" i="2"/>
  <c r="Y21" i="2"/>
  <c r="X21" i="2"/>
  <c r="W21" i="2"/>
  <c r="V21" i="2"/>
  <c r="U21" i="2"/>
  <c r="T21" i="2"/>
  <c r="S21" i="2"/>
  <c r="R21" i="2"/>
  <c r="M21" i="2"/>
  <c r="M22" i="2" s="1"/>
  <c r="L21" i="2"/>
  <c r="AA49" i="2" s="1"/>
  <c r="I21" i="2"/>
  <c r="I22" i="2" s="1"/>
  <c r="H21" i="2"/>
  <c r="W49" i="2" s="1"/>
  <c r="G21" i="2"/>
  <c r="V49" i="2" s="1"/>
  <c r="F21" i="2"/>
  <c r="E21" i="2"/>
  <c r="T49" i="2" s="1"/>
  <c r="D21" i="2"/>
  <c r="S49" i="2" s="1"/>
  <c r="C21" i="2"/>
  <c r="C22" i="2" s="1"/>
  <c r="M20" i="2"/>
  <c r="L20" i="2"/>
  <c r="L22" i="2" s="1"/>
  <c r="K20" i="2"/>
  <c r="J20" i="2"/>
  <c r="Y53" i="2" s="1"/>
  <c r="I20" i="2"/>
  <c r="H20" i="2"/>
  <c r="G20" i="2"/>
  <c r="G22" i="2" s="1"/>
  <c r="F20" i="2"/>
  <c r="U53" i="2" s="1"/>
  <c r="E20" i="2"/>
  <c r="D20" i="2"/>
  <c r="D22" i="2" s="1"/>
  <c r="C20" i="2"/>
  <c r="AA18" i="2"/>
  <c r="AA40" i="2" s="1"/>
  <c r="X18" i="2"/>
  <c r="X40" i="2" s="1"/>
  <c r="W18" i="2"/>
  <c r="W40" i="2" s="1"/>
  <c r="V18" i="2"/>
  <c r="V40" i="2" s="1"/>
  <c r="U18" i="2"/>
  <c r="U40" i="2" s="1"/>
  <c r="T18" i="2"/>
  <c r="T40" i="2" s="1"/>
  <c r="R18" i="2"/>
  <c r="R40" i="2" s="1"/>
  <c r="D18" i="2"/>
  <c r="C18" i="2" s="1"/>
  <c r="C40" i="2" s="1"/>
  <c r="C14" i="2"/>
  <c r="M65" i="2" s="1"/>
  <c r="J53" i="1"/>
  <c r="I53" i="1"/>
  <c r="H53" i="1"/>
  <c r="G53" i="1"/>
  <c r="F53" i="1"/>
  <c r="E53" i="1"/>
  <c r="D53" i="1"/>
  <c r="C53" i="1"/>
  <c r="J52" i="1"/>
  <c r="I52" i="1"/>
  <c r="H52" i="1"/>
  <c r="G52" i="1"/>
  <c r="F52" i="1"/>
  <c r="E52" i="1"/>
  <c r="D52" i="1"/>
  <c r="C52" i="1"/>
  <c r="J51" i="1"/>
  <c r="I51" i="1"/>
  <c r="H51" i="1"/>
  <c r="H54" i="1" s="1"/>
  <c r="G51" i="1"/>
  <c r="F51" i="1"/>
  <c r="E51" i="1"/>
  <c r="D51" i="1"/>
  <c r="C51" i="1"/>
  <c r="E48" i="1"/>
  <c r="J47" i="1"/>
  <c r="I47" i="1"/>
  <c r="H47" i="1"/>
  <c r="G47" i="1"/>
  <c r="F47" i="1"/>
  <c r="E47" i="1"/>
  <c r="D47" i="1"/>
  <c r="C47" i="1"/>
  <c r="J46" i="1"/>
  <c r="I46" i="1"/>
  <c r="H46" i="1"/>
  <c r="H48" i="1" s="1"/>
  <c r="G46" i="1"/>
  <c r="F46" i="1"/>
  <c r="F48" i="1" s="1"/>
  <c r="E46" i="1"/>
  <c r="D46" i="1"/>
  <c r="D48" i="1" s="1"/>
  <c r="C46" i="1"/>
  <c r="J45" i="1"/>
  <c r="I45" i="1"/>
  <c r="H45" i="1"/>
  <c r="G45" i="1"/>
  <c r="F45" i="1"/>
  <c r="E45" i="1"/>
  <c r="D45" i="1"/>
  <c r="C45" i="1"/>
  <c r="J44" i="1"/>
  <c r="I44" i="1"/>
  <c r="H44" i="1"/>
  <c r="G44" i="1"/>
  <c r="F44" i="1"/>
  <c r="E44" i="1"/>
  <c r="D44" i="1"/>
  <c r="C44" i="1"/>
  <c r="J43" i="1"/>
  <c r="I43" i="1"/>
  <c r="H43" i="1"/>
  <c r="G43" i="1"/>
  <c r="F43" i="1"/>
  <c r="E43" i="1"/>
  <c r="D43" i="1"/>
  <c r="C43" i="1"/>
  <c r="J42" i="1"/>
  <c r="I42" i="1"/>
  <c r="H42" i="1"/>
  <c r="G42" i="1"/>
  <c r="F42" i="1"/>
  <c r="E42" i="1"/>
  <c r="D42" i="1"/>
  <c r="C42" i="1"/>
  <c r="J41" i="1"/>
  <c r="I41" i="1"/>
  <c r="H41" i="1"/>
  <c r="G41" i="1"/>
  <c r="F41" i="1"/>
  <c r="E41" i="1"/>
  <c r="D41" i="1"/>
  <c r="C41" i="1"/>
  <c r="J40" i="1"/>
  <c r="I40" i="1"/>
  <c r="H40" i="1"/>
  <c r="G40" i="1"/>
  <c r="F40" i="1"/>
  <c r="E40" i="1"/>
  <c r="D40" i="1"/>
  <c r="C40" i="1"/>
  <c r="J37" i="1"/>
  <c r="I37" i="1"/>
  <c r="H37" i="1"/>
  <c r="G37" i="1"/>
  <c r="F37" i="1"/>
  <c r="E37" i="1"/>
  <c r="D37" i="1"/>
  <c r="C37" i="1"/>
  <c r="J36" i="1"/>
  <c r="I36" i="1"/>
  <c r="H36" i="1"/>
  <c r="G36" i="1"/>
  <c r="F36" i="1"/>
  <c r="E36" i="1"/>
  <c r="D36" i="1"/>
  <c r="C36" i="1"/>
  <c r="J35" i="1"/>
  <c r="I35" i="1"/>
  <c r="H35" i="1"/>
  <c r="G35" i="1"/>
  <c r="F35" i="1"/>
  <c r="E35" i="1"/>
  <c r="D35" i="1"/>
  <c r="C35" i="1"/>
  <c r="J34" i="1"/>
  <c r="I34" i="1"/>
  <c r="H34" i="1"/>
  <c r="G34" i="1"/>
  <c r="F34" i="1"/>
  <c r="E34" i="1"/>
  <c r="D34" i="1"/>
  <c r="C34" i="1"/>
  <c r="J33" i="1"/>
  <c r="I33" i="1"/>
  <c r="H33" i="1"/>
  <c r="G33" i="1"/>
  <c r="F33" i="1"/>
  <c r="E33" i="1"/>
  <c r="D33" i="1"/>
  <c r="C33" i="1"/>
  <c r="J32" i="1"/>
  <c r="I32" i="1"/>
  <c r="H32" i="1"/>
  <c r="G32" i="1"/>
  <c r="F32" i="1"/>
  <c r="E32" i="1"/>
  <c r="D32" i="1"/>
  <c r="C32" i="1"/>
  <c r="J31" i="1"/>
  <c r="I31" i="1"/>
  <c r="H31" i="1"/>
  <c r="G31" i="1"/>
  <c r="F31" i="1"/>
  <c r="E31" i="1"/>
  <c r="D31" i="1"/>
  <c r="C31" i="1"/>
  <c r="J30" i="1"/>
  <c r="I30" i="1"/>
  <c r="H30" i="1"/>
  <c r="G30" i="1"/>
  <c r="F30" i="1"/>
  <c r="Q38" i="1" s="1"/>
  <c r="E30" i="1"/>
  <c r="D30" i="1"/>
  <c r="C30" i="1"/>
  <c r="J29" i="1"/>
  <c r="I29" i="1"/>
  <c r="H29" i="1"/>
  <c r="G29" i="1"/>
  <c r="G38" i="1" s="1"/>
  <c r="F29" i="1"/>
  <c r="E29" i="1"/>
  <c r="D29" i="1"/>
  <c r="C29" i="1"/>
  <c r="U23" i="1"/>
  <c r="T23" i="1"/>
  <c r="S23" i="1"/>
  <c r="R23" i="1"/>
  <c r="Q23" i="1"/>
  <c r="P23" i="1"/>
  <c r="O23" i="1"/>
  <c r="N23" i="1"/>
  <c r="U22" i="1"/>
  <c r="T22" i="1"/>
  <c r="S22" i="1"/>
  <c r="R22" i="1"/>
  <c r="Q22" i="1"/>
  <c r="P22" i="1"/>
  <c r="O22" i="1"/>
  <c r="N22" i="1"/>
  <c r="J22" i="1"/>
  <c r="I22" i="1"/>
  <c r="H22" i="1"/>
  <c r="G22" i="1"/>
  <c r="F22" i="1"/>
  <c r="E22" i="1"/>
  <c r="D22" i="1"/>
  <c r="C22" i="1"/>
  <c r="J21" i="1"/>
  <c r="I21" i="1"/>
  <c r="H21" i="1"/>
  <c r="H21" i="3" s="1"/>
  <c r="G21" i="1"/>
  <c r="F21" i="1"/>
  <c r="F21" i="3" s="1"/>
  <c r="E21" i="1"/>
  <c r="E21" i="3" s="1"/>
  <c r="D21" i="1"/>
  <c r="C21" i="1"/>
  <c r="U20" i="1"/>
  <c r="T20" i="1"/>
  <c r="S20" i="1"/>
  <c r="R20" i="1"/>
  <c r="Q20" i="1"/>
  <c r="P20" i="1"/>
  <c r="O20" i="1"/>
  <c r="N20" i="1"/>
  <c r="U19" i="1"/>
  <c r="T19" i="1"/>
  <c r="S19" i="1"/>
  <c r="R19" i="1"/>
  <c r="Q19" i="1"/>
  <c r="P19" i="1"/>
  <c r="O19" i="1"/>
  <c r="N19" i="1"/>
  <c r="U17" i="1"/>
  <c r="T17" i="1"/>
  <c r="S17" i="1"/>
  <c r="R17" i="1"/>
  <c r="Q17" i="1"/>
  <c r="P17" i="1"/>
  <c r="O17" i="1"/>
  <c r="N17" i="1"/>
  <c r="J17" i="1"/>
  <c r="I17" i="1"/>
  <c r="H17" i="1"/>
  <c r="H17" i="3" s="1"/>
  <c r="G17" i="1"/>
  <c r="F17" i="1"/>
  <c r="F17" i="3" s="1"/>
  <c r="E17" i="1"/>
  <c r="E17" i="3" s="1"/>
  <c r="D17" i="1"/>
  <c r="D17" i="3" s="1"/>
  <c r="C17" i="1"/>
  <c r="C17" i="3" s="1"/>
  <c r="U16" i="1"/>
  <c r="T16" i="1"/>
  <c r="S16" i="1"/>
  <c r="R16" i="1"/>
  <c r="Q16" i="1"/>
  <c r="P16" i="1"/>
  <c r="O16" i="1"/>
  <c r="N16" i="1"/>
  <c r="J16" i="1"/>
  <c r="J18" i="1" s="1"/>
  <c r="J18" i="3" s="1"/>
  <c r="I16" i="1"/>
  <c r="I18" i="1" s="1"/>
  <c r="I18" i="3" s="1"/>
  <c r="H16" i="1"/>
  <c r="H18" i="1" s="1"/>
  <c r="H18" i="3" s="1"/>
  <c r="G16" i="1"/>
  <c r="G18" i="1" s="1"/>
  <c r="G18" i="3" s="1"/>
  <c r="F16" i="1"/>
  <c r="F16" i="3" s="1"/>
  <c r="E16" i="1"/>
  <c r="E16" i="3" s="1"/>
  <c r="D16" i="1"/>
  <c r="C16" i="1"/>
  <c r="C16" i="3" s="1"/>
  <c r="U14" i="1"/>
  <c r="T14" i="1"/>
  <c r="T42" i="1" s="1"/>
  <c r="S14" i="1"/>
  <c r="S41" i="1" s="1"/>
  <c r="R14" i="1"/>
  <c r="R41" i="1" s="1"/>
  <c r="Q14" i="1"/>
  <c r="Q42" i="1" s="1"/>
  <c r="P14" i="1"/>
  <c r="P41" i="1" s="1"/>
  <c r="O14" i="1"/>
  <c r="N14" i="1"/>
  <c r="N42" i="1" s="1"/>
  <c r="J14" i="1"/>
  <c r="I14" i="1"/>
  <c r="H14" i="1"/>
  <c r="H14" i="3" s="1"/>
  <c r="G14" i="1"/>
  <c r="F14" i="1"/>
  <c r="F14" i="3" s="1"/>
  <c r="E14" i="1"/>
  <c r="E14" i="3" s="1"/>
  <c r="D14" i="1"/>
  <c r="D14" i="3" s="1"/>
  <c r="C14" i="1"/>
  <c r="C14" i="3" s="1"/>
  <c r="J13" i="1"/>
  <c r="I13" i="1"/>
  <c r="I13" i="3" s="1"/>
  <c r="H13" i="1"/>
  <c r="H13" i="3" s="1"/>
  <c r="G13" i="1"/>
  <c r="G13" i="3" s="1"/>
  <c r="F13" i="1"/>
  <c r="F13" i="3" s="1"/>
  <c r="E13" i="1"/>
  <c r="E13" i="3" s="1"/>
  <c r="D13" i="1"/>
  <c r="C13" i="1"/>
  <c r="C13" i="3" s="1"/>
  <c r="U12" i="1"/>
  <c r="T12" i="1"/>
  <c r="S12" i="1"/>
  <c r="R12" i="1"/>
  <c r="Q12" i="1"/>
  <c r="P12" i="1"/>
  <c r="O12" i="1"/>
  <c r="N12" i="1"/>
  <c r="U10" i="1"/>
  <c r="T10" i="1"/>
  <c r="S10" i="1"/>
  <c r="R10" i="1"/>
  <c r="Q10" i="1"/>
  <c r="P10" i="1"/>
  <c r="O10" i="1"/>
  <c r="N10" i="1"/>
  <c r="J10" i="1"/>
  <c r="J10" i="3" s="1"/>
  <c r="I10" i="1"/>
  <c r="H10" i="1"/>
  <c r="G10" i="1"/>
  <c r="F10" i="1"/>
  <c r="E10" i="1"/>
  <c r="D10" i="1"/>
  <c r="C10" i="1"/>
  <c r="U9" i="1"/>
  <c r="T9" i="1"/>
  <c r="S9" i="1"/>
  <c r="R9" i="1"/>
  <c r="Q9" i="1"/>
  <c r="P9" i="1"/>
  <c r="O9" i="1"/>
  <c r="N9" i="1"/>
  <c r="E9" i="1"/>
  <c r="P31" i="1" s="1"/>
  <c r="D9" i="1"/>
  <c r="D9" i="3" s="1"/>
  <c r="C9" i="1"/>
  <c r="N31" i="1" s="1"/>
  <c r="J8" i="1"/>
  <c r="U37" i="1" s="1"/>
  <c r="I8" i="1"/>
  <c r="I8" i="3" s="1"/>
  <c r="H8" i="1"/>
  <c r="H8" i="3" s="1"/>
  <c r="G8" i="1"/>
  <c r="G8" i="3" s="1"/>
  <c r="F8" i="1"/>
  <c r="F8" i="3" s="1"/>
  <c r="E8" i="1"/>
  <c r="D8" i="1"/>
  <c r="C8" i="1"/>
  <c r="C8" i="3" s="1"/>
  <c r="U7" i="1"/>
  <c r="T7" i="1"/>
  <c r="S7" i="1"/>
  <c r="R7" i="1"/>
  <c r="Q7" i="1"/>
  <c r="P7" i="1"/>
  <c r="O7" i="1"/>
  <c r="N7" i="1"/>
  <c r="J7" i="1"/>
  <c r="U30" i="1" s="1"/>
  <c r="I7" i="1"/>
  <c r="T30" i="1" s="1"/>
  <c r="H7" i="1"/>
  <c r="G7" i="1"/>
  <c r="R30" i="1" s="1"/>
  <c r="F7" i="1"/>
  <c r="E7" i="1"/>
  <c r="P30" i="1" s="1"/>
  <c r="D7" i="1"/>
  <c r="O35" i="1" s="1"/>
  <c r="C7" i="1"/>
  <c r="S5" i="1"/>
  <c r="Q5" i="1"/>
  <c r="P5" i="1"/>
  <c r="O5" i="1"/>
  <c r="N5" i="1"/>
  <c r="J5" i="1"/>
  <c r="J5" i="3" s="1"/>
  <c r="I5" i="1"/>
  <c r="I5" i="3" s="1"/>
  <c r="H5" i="1"/>
  <c r="G5" i="1"/>
  <c r="G5" i="3" s="1"/>
  <c r="F5" i="1"/>
  <c r="F5" i="3" s="1"/>
  <c r="E5" i="1"/>
  <c r="E5" i="3" s="1"/>
  <c r="D5" i="1"/>
  <c r="D5" i="3" s="1"/>
  <c r="C5" i="1"/>
  <c r="C5" i="3" s="1"/>
  <c r="G38" i="3" l="1"/>
  <c r="D10" i="3"/>
  <c r="U5" i="1"/>
  <c r="F23" i="3"/>
  <c r="F24" i="3"/>
  <c r="F7" i="3"/>
  <c r="F11" i="3"/>
  <c r="J9" i="1"/>
  <c r="F10" i="3"/>
  <c r="J14" i="3"/>
  <c r="J17" i="3"/>
  <c r="F18" i="1"/>
  <c r="F18" i="3" s="1"/>
  <c r="J21" i="3"/>
  <c r="F22" i="3"/>
  <c r="J29" i="3"/>
  <c r="G33" i="3"/>
  <c r="C34" i="3"/>
  <c r="U35" i="1"/>
  <c r="T36" i="1"/>
  <c r="Q37" i="1"/>
  <c r="L25" i="2"/>
  <c r="AA44" i="2"/>
  <c r="G24" i="3"/>
  <c r="G7" i="3"/>
  <c r="G11" i="3"/>
  <c r="G23" i="3"/>
  <c r="R35" i="1"/>
  <c r="G22" i="3"/>
  <c r="C30" i="3"/>
  <c r="S30" i="1"/>
  <c r="O31" i="1"/>
  <c r="J32" i="3"/>
  <c r="D34" i="3"/>
  <c r="C35" i="3"/>
  <c r="C36" i="3"/>
  <c r="U36" i="1"/>
  <c r="R37" i="1"/>
  <c r="S38" i="1"/>
  <c r="H49" i="1"/>
  <c r="G10" i="3"/>
  <c r="H5" i="3"/>
  <c r="H27" i="1"/>
  <c r="H24" i="3"/>
  <c r="H7" i="3"/>
  <c r="H23" i="3"/>
  <c r="H11" i="3"/>
  <c r="S35" i="1"/>
  <c r="D8" i="3"/>
  <c r="O36" i="1"/>
  <c r="H10" i="3"/>
  <c r="D13" i="3"/>
  <c r="O42" i="1"/>
  <c r="D16" i="3"/>
  <c r="H22" i="3"/>
  <c r="C27" i="1"/>
  <c r="D30" i="3"/>
  <c r="S37" i="1"/>
  <c r="I49" i="1"/>
  <c r="R44" i="2"/>
  <c r="C25" i="2"/>
  <c r="J68" i="2"/>
  <c r="Y60" i="2"/>
  <c r="I24" i="3"/>
  <c r="I7" i="3"/>
  <c r="I11" i="3"/>
  <c r="I23" i="3"/>
  <c r="T40" i="1"/>
  <c r="E8" i="3"/>
  <c r="P36" i="1"/>
  <c r="I10" i="3"/>
  <c r="I22" i="3"/>
  <c r="D27" i="1"/>
  <c r="D37" i="3"/>
  <c r="T37" i="1"/>
  <c r="J49" i="1"/>
  <c r="I48" i="1"/>
  <c r="C82" i="2"/>
  <c r="Z48" i="2"/>
  <c r="J22" i="3"/>
  <c r="E27" i="1"/>
  <c r="C31" i="3"/>
  <c r="G34" i="3"/>
  <c r="O40" i="1"/>
  <c r="G48" i="1"/>
  <c r="S44" i="2"/>
  <c r="D25" i="2"/>
  <c r="D82" i="2"/>
  <c r="D69" i="2"/>
  <c r="G16" i="3"/>
  <c r="C21" i="3"/>
  <c r="F27" i="1"/>
  <c r="C29" i="3"/>
  <c r="C38" i="1"/>
  <c r="C37" i="3" s="1"/>
  <c r="G30" i="3"/>
  <c r="R38" i="1"/>
  <c r="R39" i="1" s="1"/>
  <c r="D31" i="3"/>
  <c r="G35" i="3"/>
  <c r="G36" i="3"/>
  <c r="D38" i="1"/>
  <c r="P40" i="1"/>
  <c r="S55" i="1"/>
  <c r="S53" i="1"/>
  <c r="S45" i="1"/>
  <c r="G54" i="1"/>
  <c r="T53" i="2"/>
  <c r="U43" i="2"/>
  <c r="T43" i="2"/>
  <c r="E22" i="2"/>
  <c r="T50" i="2"/>
  <c r="H16" i="3"/>
  <c r="D21" i="3"/>
  <c r="G27" i="1"/>
  <c r="C32" i="3"/>
  <c r="I34" i="3"/>
  <c r="G37" i="3"/>
  <c r="Q40" i="1"/>
  <c r="N41" i="1"/>
  <c r="P42" i="1"/>
  <c r="S46" i="1"/>
  <c r="C9" i="3"/>
  <c r="N74" i="1"/>
  <c r="N75" i="1" s="1"/>
  <c r="I16" i="3"/>
  <c r="I27" i="1"/>
  <c r="E38" i="1"/>
  <c r="E32" i="3" s="1"/>
  <c r="I30" i="3"/>
  <c r="T38" i="1"/>
  <c r="T39" i="1" s="1"/>
  <c r="J34" i="3"/>
  <c r="I35" i="3"/>
  <c r="I38" i="1"/>
  <c r="R40" i="1"/>
  <c r="O41" i="1"/>
  <c r="R42" i="1"/>
  <c r="V44" i="2"/>
  <c r="T54" i="2"/>
  <c r="T55" i="2"/>
  <c r="E9" i="3"/>
  <c r="P74" i="1"/>
  <c r="P75" i="1" s="1"/>
  <c r="J27" i="1"/>
  <c r="F38" i="1"/>
  <c r="F31" i="3" s="1"/>
  <c r="J30" i="3"/>
  <c r="U38" i="1"/>
  <c r="U39" i="1" s="1"/>
  <c r="G31" i="3"/>
  <c r="C33" i="3"/>
  <c r="J35" i="3"/>
  <c r="J36" i="3"/>
  <c r="J38" i="1"/>
  <c r="C49" i="1"/>
  <c r="S40" i="1"/>
  <c r="Q41" i="1"/>
  <c r="S42" i="1"/>
  <c r="I25" i="2"/>
  <c r="X44" i="2"/>
  <c r="J24" i="3"/>
  <c r="J7" i="3"/>
  <c r="J11" i="3"/>
  <c r="J23" i="3"/>
  <c r="F9" i="1"/>
  <c r="U42" i="1"/>
  <c r="U41" i="1"/>
  <c r="R5" i="1"/>
  <c r="C23" i="3"/>
  <c r="C7" i="3"/>
  <c r="C11" i="3"/>
  <c r="C24" i="3"/>
  <c r="N76" i="1"/>
  <c r="G9" i="1"/>
  <c r="C10" i="3"/>
  <c r="C12" i="1"/>
  <c r="G14" i="3"/>
  <c r="C15" i="1"/>
  <c r="C15" i="3" s="1"/>
  <c r="G17" i="3"/>
  <c r="C18" i="1"/>
  <c r="C18" i="3" s="1"/>
  <c r="G21" i="3"/>
  <c r="C22" i="3"/>
  <c r="G29" i="3"/>
  <c r="O30" i="1"/>
  <c r="D33" i="3"/>
  <c r="Q36" i="1"/>
  <c r="J37" i="3"/>
  <c r="N38" i="1"/>
  <c r="U40" i="1"/>
  <c r="T41" i="1"/>
  <c r="G49" i="1"/>
  <c r="H9" i="1"/>
  <c r="D18" i="1"/>
  <c r="D18" i="3" s="1"/>
  <c r="D22" i="3"/>
  <c r="H38" i="1"/>
  <c r="H35" i="3" s="1"/>
  <c r="I31" i="3"/>
  <c r="G32" i="3"/>
  <c r="Q35" i="1"/>
  <c r="R36" i="1"/>
  <c r="O37" i="1"/>
  <c r="O38" i="1"/>
  <c r="E49" i="1"/>
  <c r="M25" i="2"/>
  <c r="AB44" i="2"/>
  <c r="H25" i="2"/>
  <c r="W44" i="2"/>
  <c r="J8" i="3"/>
  <c r="J13" i="3"/>
  <c r="J16" i="3"/>
  <c r="D23" i="3"/>
  <c r="D11" i="3"/>
  <c r="D24" i="3"/>
  <c r="O76" i="1"/>
  <c r="D7" i="3"/>
  <c r="D12" i="1"/>
  <c r="T5" i="1"/>
  <c r="E23" i="3"/>
  <c r="E24" i="3"/>
  <c r="E7" i="3"/>
  <c r="E11" i="3"/>
  <c r="P76" i="1"/>
  <c r="P35" i="1"/>
  <c r="I9" i="1"/>
  <c r="E10" i="3"/>
  <c r="E12" i="1"/>
  <c r="I14" i="3"/>
  <c r="E15" i="1"/>
  <c r="E15" i="3" s="1"/>
  <c r="I17" i="3"/>
  <c r="E18" i="1"/>
  <c r="E18" i="3" s="1"/>
  <c r="I21" i="3"/>
  <c r="E22" i="3"/>
  <c r="I29" i="3"/>
  <c r="Q30" i="1"/>
  <c r="J31" i="3"/>
  <c r="F33" i="3"/>
  <c r="T35" i="1"/>
  <c r="S36" i="1"/>
  <c r="P37" i="1"/>
  <c r="P38" i="1"/>
  <c r="P39" i="1" s="1"/>
  <c r="O74" i="1"/>
  <c r="O75" i="1" s="1"/>
  <c r="Z53" i="2"/>
  <c r="Z50" i="2"/>
  <c r="Z52" i="2"/>
  <c r="Z43" i="2"/>
  <c r="Z47" i="2"/>
  <c r="K21" i="2"/>
  <c r="K22" i="2"/>
  <c r="Z55" i="2"/>
  <c r="G25" i="2"/>
  <c r="U48" i="2"/>
  <c r="N48" i="6"/>
  <c r="I36" i="3"/>
  <c r="I54" i="1"/>
  <c r="U34" i="1" s="1"/>
  <c r="AB55" i="2"/>
  <c r="D40" i="2"/>
  <c r="S18" i="2" s="1"/>
  <c r="S40" i="2" s="1"/>
  <c r="V52" i="2"/>
  <c r="AB43" i="2"/>
  <c r="W51" i="2"/>
  <c r="J51" i="2"/>
  <c r="C64" i="2"/>
  <c r="C68" i="2" s="1"/>
  <c r="C69" i="2" s="1"/>
  <c r="AB53" i="2"/>
  <c r="U67" i="2"/>
  <c r="K78" i="6"/>
  <c r="J54" i="1"/>
  <c r="Z34" i="2"/>
  <c r="X51" i="2"/>
  <c r="V55" i="2"/>
  <c r="E64" i="2"/>
  <c r="E24" i="6"/>
  <c r="E48" i="6" s="1"/>
  <c r="D29" i="3"/>
  <c r="I33" i="3"/>
  <c r="E34" i="3"/>
  <c r="H37" i="3"/>
  <c r="C48" i="1"/>
  <c r="O34" i="1" s="1"/>
  <c r="R53" i="2"/>
  <c r="F22" i="2"/>
  <c r="H51" i="2"/>
  <c r="H80" i="2" s="1"/>
  <c r="X52" i="2"/>
  <c r="Y51" i="2"/>
  <c r="AA48" i="2"/>
  <c r="W55" i="2"/>
  <c r="C80" i="2"/>
  <c r="I64" i="2"/>
  <c r="I68" i="2" s="1"/>
  <c r="H48" i="6"/>
  <c r="G24" i="6"/>
  <c r="G48" i="6" s="1"/>
  <c r="G79" i="6" s="1"/>
  <c r="F78" i="6"/>
  <c r="J33" i="3"/>
  <c r="F34" i="3"/>
  <c r="I37" i="3"/>
  <c r="S53" i="2"/>
  <c r="S54" i="2"/>
  <c r="I51" i="2"/>
  <c r="Y52" i="2"/>
  <c r="AB48" i="2"/>
  <c r="F64" i="2"/>
  <c r="F68" i="2" s="1"/>
  <c r="D80" i="2"/>
  <c r="D81" i="2"/>
  <c r="D63" i="2"/>
  <c r="K65" i="2"/>
  <c r="I24" i="6"/>
  <c r="I48" i="6" s="1"/>
  <c r="I79" i="6" s="1"/>
  <c r="S43" i="2"/>
  <c r="U47" i="2"/>
  <c r="R50" i="2"/>
  <c r="G64" i="2"/>
  <c r="G68" i="2" s="1"/>
  <c r="G69" i="2" s="1"/>
  <c r="S50" i="2"/>
  <c r="L65" i="2"/>
  <c r="U55" i="2"/>
  <c r="H68" i="2"/>
  <c r="Q24" i="6"/>
  <c r="C54" i="1"/>
  <c r="V53" i="2"/>
  <c r="W48" i="2"/>
  <c r="W47" i="2"/>
  <c r="AA51" i="2"/>
  <c r="U50" i="2"/>
  <c r="G80" i="2"/>
  <c r="R67" i="2"/>
  <c r="U60" i="2"/>
  <c r="D49" i="1"/>
  <c r="D54" i="1"/>
  <c r="W53" i="2"/>
  <c r="V43" i="2"/>
  <c r="X48" i="2"/>
  <c r="X47" i="2"/>
  <c r="Y50" i="2"/>
  <c r="V50" i="2"/>
  <c r="G63" i="2"/>
  <c r="E54" i="1"/>
  <c r="J21" i="2"/>
  <c r="X55" i="2"/>
  <c r="X54" i="2"/>
  <c r="R52" i="2"/>
  <c r="R47" i="2"/>
  <c r="W43" i="2"/>
  <c r="Y47" i="2"/>
  <c r="R48" i="2"/>
  <c r="AB50" i="2"/>
  <c r="W50" i="2"/>
  <c r="K64" i="2"/>
  <c r="W67" i="2"/>
  <c r="W59" i="2"/>
  <c r="S60" i="2"/>
  <c r="J48" i="1"/>
  <c r="F49" i="1"/>
  <c r="F54" i="1"/>
  <c r="Q55" i="1" s="1"/>
  <c r="Y55" i="2"/>
  <c r="S47" i="2"/>
  <c r="X43" i="2"/>
  <c r="T51" i="2"/>
  <c r="R54" i="2"/>
  <c r="L64" i="2"/>
  <c r="X60" i="2"/>
  <c r="G81" i="2"/>
  <c r="G78" i="6"/>
  <c r="T47" i="2"/>
  <c r="U51" i="2"/>
  <c r="K63" i="2"/>
  <c r="F48" i="6"/>
  <c r="K48" i="6"/>
  <c r="K79" i="6" s="1"/>
  <c r="H78" i="6"/>
  <c r="N78" i="6"/>
  <c r="AA53" i="2"/>
  <c r="AA50" i="2"/>
  <c r="AA43" i="2"/>
  <c r="AA55" i="2"/>
  <c r="AB51" i="2"/>
  <c r="AB49" i="2"/>
  <c r="E51" i="2"/>
  <c r="U52" i="2"/>
  <c r="AB47" i="2"/>
  <c r="F51" i="2"/>
  <c r="AB52" i="2"/>
  <c r="Y54" i="2"/>
  <c r="L63" i="2"/>
  <c r="X67" i="2"/>
  <c r="X59" i="2"/>
  <c r="V60" i="2"/>
  <c r="G82" i="2"/>
  <c r="H13" i="4"/>
  <c r="I12" i="4"/>
  <c r="I13" i="4" s="1"/>
  <c r="C24" i="6"/>
  <c r="C48" i="6" s="1"/>
  <c r="C81" i="2"/>
  <c r="E63" i="2"/>
  <c r="R49" i="2"/>
  <c r="M63" i="2"/>
  <c r="I80" i="2" l="1"/>
  <c r="I81" i="2"/>
  <c r="I82" i="2"/>
  <c r="I69" i="2"/>
  <c r="W74" i="2"/>
  <c r="H29" i="2"/>
  <c r="H38" i="2"/>
  <c r="H9" i="3"/>
  <c r="S74" i="1"/>
  <c r="S31" i="1"/>
  <c r="H12" i="1"/>
  <c r="D38" i="3"/>
  <c r="H27" i="3"/>
  <c r="S27" i="1"/>
  <c r="T59" i="2"/>
  <c r="T67" i="2"/>
  <c r="R34" i="1"/>
  <c r="E12" i="3"/>
  <c r="P64" i="1"/>
  <c r="E25" i="1"/>
  <c r="AB74" i="2"/>
  <c r="M38" i="2"/>
  <c r="M29" i="2"/>
  <c r="H31" i="3"/>
  <c r="J38" i="3"/>
  <c r="J56" i="1"/>
  <c r="I38" i="3"/>
  <c r="S74" i="2"/>
  <c r="D29" i="2"/>
  <c r="D38" i="2"/>
  <c r="Q53" i="1"/>
  <c r="I32" i="3"/>
  <c r="H34" i="3"/>
  <c r="H49" i="3"/>
  <c r="E54" i="3"/>
  <c r="P46" i="1"/>
  <c r="E55" i="1"/>
  <c r="U44" i="2"/>
  <c r="F25" i="2"/>
  <c r="D54" i="3"/>
  <c r="D55" i="1"/>
  <c r="O46" i="1"/>
  <c r="H32" i="3"/>
  <c r="Q34" i="1"/>
  <c r="T44" i="2"/>
  <c r="E25" i="2"/>
  <c r="F30" i="3"/>
  <c r="E36" i="3"/>
  <c r="E82" i="2"/>
  <c r="E80" i="2"/>
  <c r="I9" i="3"/>
  <c r="T74" i="1"/>
  <c r="T31" i="1"/>
  <c r="I12" i="1"/>
  <c r="R60" i="2"/>
  <c r="F37" i="3"/>
  <c r="E33" i="3"/>
  <c r="D32" i="3"/>
  <c r="H55" i="1"/>
  <c r="E27" i="3"/>
  <c r="P27" i="1"/>
  <c r="E35" i="3"/>
  <c r="S39" i="1"/>
  <c r="E81" i="2"/>
  <c r="J54" i="3"/>
  <c r="J55" i="1"/>
  <c r="U46" i="1"/>
  <c r="E31" i="3"/>
  <c r="F54" i="3"/>
  <c r="F55" i="1"/>
  <c r="Q46" i="1"/>
  <c r="Q45" i="1"/>
  <c r="V67" i="2"/>
  <c r="V59" i="2"/>
  <c r="S59" i="2"/>
  <c r="S67" i="2"/>
  <c r="P45" i="1"/>
  <c r="E30" i="3"/>
  <c r="D36" i="3"/>
  <c r="O45" i="1"/>
  <c r="F82" i="2"/>
  <c r="F69" i="2"/>
  <c r="F81" i="2"/>
  <c r="F80" i="2"/>
  <c r="Y49" i="2"/>
  <c r="J22" i="2"/>
  <c r="C55" i="1"/>
  <c r="N46" i="1"/>
  <c r="C54" i="3"/>
  <c r="H30" i="3"/>
  <c r="I29" i="2"/>
  <c r="X74" i="2"/>
  <c r="I38" i="2"/>
  <c r="H36" i="3"/>
  <c r="C38" i="3"/>
  <c r="C56" i="1"/>
  <c r="R55" i="1"/>
  <c r="R53" i="1"/>
  <c r="R45" i="1"/>
  <c r="D27" i="3"/>
  <c r="O27" i="1"/>
  <c r="D35" i="3"/>
  <c r="H81" i="2"/>
  <c r="H69" i="2"/>
  <c r="H82" i="2"/>
  <c r="I54" i="3"/>
  <c r="I55" i="1"/>
  <c r="I49" i="3" s="1"/>
  <c r="T46" i="1"/>
  <c r="H29" i="3"/>
  <c r="P53" i="1"/>
  <c r="O53" i="1"/>
  <c r="V74" i="2"/>
  <c r="G29" i="2"/>
  <c r="G38" i="2"/>
  <c r="H56" i="1"/>
  <c r="H38" i="3"/>
  <c r="E38" i="3"/>
  <c r="E56" i="1"/>
  <c r="P55" i="1"/>
  <c r="G55" i="1"/>
  <c r="G49" i="3" s="1"/>
  <c r="R46" i="1"/>
  <c r="G54" i="3"/>
  <c r="F27" i="3"/>
  <c r="Q27" i="1"/>
  <c r="R74" i="2"/>
  <c r="C29" i="2"/>
  <c r="C38" i="2"/>
  <c r="C27" i="3"/>
  <c r="N27" i="1"/>
  <c r="O55" i="1"/>
  <c r="E49" i="3"/>
  <c r="F9" i="3"/>
  <c r="Q74" i="1"/>
  <c r="Q31" i="1"/>
  <c r="F12" i="1"/>
  <c r="E29" i="3"/>
  <c r="J48" i="3"/>
  <c r="U55" i="1"/>
  <c r="U53" i="1"/>
  <c r="U45" i="1"/>
  <c r="K25" i="2"/>
  <c r="Z44" i="2"/>
  <c r="C12" i="3"/>
  <c r="N64" i="1"/>
  <c r="C25" i="1"/>
  <c r="N56" i="1" s="1"/>
  <c r="I27" i="3"/>
  <c r="T27" i="1"/>
  <c r="G27" i="3"/>
  <c r="R27" i="1"/>
  <c r="E37" i="3"/>
  <c r="I48" i="3"/>
  <c r="T45" i="1"/>
  <c r="T55" i="1"/>
  <c r="T53" i="1"/>
  <c r="H33" i="3"/>
  <c r="T34" i="1"/>
  <c r="J9" i="3"/>
  <c r="U31" i="1"/>
  <c r="J12" i="1"/>
  <c r="U74" i="1"/>
  <c r="E68" i="2"/>
  <c r="E69" i="2" s="1"/>
  <c r="T60" i="2"/>
  <c r="P34" i="1"/>
  <c r="Z49" i="2"/>
  <c r="Z51" i="2"/>
  <c r="D12" i="3"/>
  <c r="O64" i="1"/>
  <c r="D25" i="1"/>
  <c r="D15" i="1"/>
  <c r="D15" i="3" s="1"/>
  <c r="F49" i="3"/>
  <c r="F38" i="3"/>
  <c r="F56" i="1"/>
  <c r="C48" i="3"/>
  <c r="N45" i="1"/>
  <c r="N55" i="1"/>
  <c r="N53" i="1"/>
  <c r="O39" i="1"/>
  <c r="C49" i="3"/>
  <c r="F29" i="3"/>
  <c r="F36" i="3"/>
  <c r="J49" i="3"/>
  <c r="Q39" i="1"/>
  <c r="Y48" i="2"/>
  <c r="H79" i="6"/>
  <c r="J80" i="2"/>
  <c r="J81" i="2"/>
  <c r="J82" i="2"/>
  <c r="J69" i="2"/>
  <c r="F32" i="3"/>
  <c r="G9" i="3"/>
  <c r="R74" i="1"/>
  <c r="R31" i="1"/>
  <c r="G12" i="1"/>
  <c r="J27" i="3"/>
  <c r="U27" i="1"/>
  <c r="S34" i="1"/>
  <c r="F35" i="3"/>
  <c r="AA74" i="2"/>
  <c r="L38" i="2"/>
  <c r="L29" i="2"/>
  <c r="G31" i="2" l="1"/>
  <c r="V83" i="2"/>
  <c r="V84" i="2" s="1"/>
  <c r="V85" i="2" s="1"/>
  <c r="I12" i="3"/>
  <c r="T64" i="1"/>
  <c r="I25" i="1"/>
  <c r="I15" i="1"/>
  <c r="I15" i="3" s="1"/>
  <c r="X75" i="2"/>
  <c r="X45" i="2"/>
  <c r="X19" i="2"/>
  <c r="X23" i="2" s="1"/>
  <c r="I39" i="2"/>
  <c r="X68" i="2"/>
  <c r="S75" i="1"/>
  <c r="S76" i="1" s="1"/>
  <c r="F12" i="3"/>
  <c r="Q64" i="1"/>
  <c r="F25" i="1"/>
  <c r="F15" i="1"/>
  <c r="F15" i="3" s="1"/>
  <c r="T75" i="1"/>
  <c r="T76" i="1" s="1"/>
  <c r="M30" i="2"/>
  <c r="AB22" i="2" s="1"/>
  <c r="AB83" i="2"/>
  <c r="AB84" i="2" s="1"/>
  <c r="AB85" i="2" s="1"/>
  <c r="I31" i="2"/>
  <c r="X83" i="2"/>
  <c r="X84" i="2" s="1"/>
  <c r="X85" i="2" s="1"/>
  <c r="AB75" i="2"/>
  <c r="AB45" i="2"/>
  <c r="M39" i="2"/>
  <c r="AB61" i="2" s="1"/>
  <c r="AB19" i="2"/>
  <c r="W75" i="2"/>
  <c r="W45" i="2"/>
  <c r="W19" i="2"/>
  <c r="W23" i="2" s="1"/>
  <c r="H39" i="2"/>
  <c r="W68" i="2"/>
  <c r="N48" i="1"/>
  <c r="U75" i="1"/>
  <c r="U76" i="1" s="1"/>
  <c r="Q75" i="1"/>
  <c r="Q76" i="1" s="1"/>
  <c r="D55" i="3"/>
  <c r="D58" i="3"/>
  <c r="D50" i="3"/>
  <c r="D48" i="3"/>
  <c r="D41" i="3"/>
  <c r="D53" i="3"/>
  <c r="D42" i="3"/>
  <c r="D43" i="3"/>
  <c r="D46" i="3"/>
  <c r="D45" i="3"/>
  <c r="D52" i="3"/>
  <c r="D47" i="3"/>
  <c r="D51" i="3"/>
  <c r="D40" i="3"/>
  <c r="D44" i="3"/>
  <c r="H31" i="2"/>
  <c r="W83" i="2"/>
  <c r="W84" i="2" s="1"/>
  <c r="W85" i="2" s="1"/>
  <c r="R45" i="2"/>
  <c r="R19" i="2"/>
  <c r="R23" i="2" s="1"/>
  <c r="R75" i="2"/>
  <c r="C39" i="2"/>
  <c r="R68" i="2"/>
  <c r="G58" i="3"/>
  <c r="G50" i="3"/>
  <c r="G52" i="3"/>
  <c r="G55" i="3"/>
  <c r="G43" i="3"/>
  <c r="G42" i="3"/>
  <c r="G47" i="3"/>
  <c r="G51" i="3"/>
  <c r="G56" i="1"/>
  <c r="G46" i="3"/>
  <c r="G40" i="3"/>
  <c r="G45" i="3"/>
  <c r="G44" i="3"/>
  <c r="G53" i="3"/>
  <c r="G41" i="3"/>
  <c r="S75" i="2"/>
  <c r="S45" i="2"/>
  <c r="D39" i="2"/>
  <c r="S19" i="2"/>
  <c r="S23" i="2" s="1"/>
  <c r="E25" i="3"/>
  <c r="P32" i="1"/>
  <c r="P65" i="1"/>
  <c r="E26" i="1"/>
  <c r="P6" i="1"/>
  <c r="P48" i="1"/>
  <c r="P56" i="1"/>
  <c r="I58" i="3"/>
  <c r="I50" i="3"/>
  <c r="I55" i="3"/>
  <c r="I44" i="3"/>
  <c r="I45" i="3"/>
  <c r="I47" i="3"/>
  <c r="I40" i="3"/>
  <c r="I51" i="3"/>
  <c r="I43" i="3"/>
  <c r="I41" i="3"/>
  <c r="I52" i="3"/>
  <c r="I53" i="3"/>
  <c r="I42" i="3"/>
  <c r="I46" i="3"/>
  <c r="S68" i="2"/>
  <c r="F55" i="3"/>
  <c r="F58" i="3"/>
  <c r="F50" i="3"/>
  <c r="F44" i="3"/>
  <c r="F51" i="3"/>
  <c r="F48" i="3"/>
  <c r="F41" i="3"/>
  <c r="F47" i="3"/>
  <c r="F43" i="3"/>
  <c r="F45" i="3"/>
  <c r="F52" i="3"/>
  <c r="F42" i="3"/>
  <c r="F40" i="3"/>
  <c r="F53" i="3"/>
  <c r="F46" i="3"/>
  <c r="H58" i="3"/>
  <c r="H50" i="3"/>
  <c r="H55" i="3"/>
  <c r="H45" i="3"/>
  <c r="H41" i="3"/>
  <c r="H42" i="3"/>
  <c r="H43" i="3"/>
  <c r="H46" i="3"/>
  <c r="H47" i="3"/>
  <c r="H40" i="3"/>
  <c r="H48" i="3"/>
  <c r="H52" i="3"/>
  <c r="H53" i="3"/>
  <c r="H44" i="3"/>
  <c r="H54" i="3"/>
  <c r="H51" i="3"/>
  <c r="U74" i="2"/>
  <c r="F29" i="2"/>
  <c r="F38" i="2"/>
  <c r="D31" i="2"/>
  <c r="S83" i="2"/>
  <c r="S84" i="2" s="1"/>
  <c r="S85" i="2" s="1"/>
  <c r="L30" i="2"/>
  <c r="AA22" i="2" s="1"/>
  <c r="AA83" i="2"/>
  <c r="AA84" i="2" s="1"/>
  <c r="AA85" i="2" s="1"/>
  <c r="D25" i="3"/>
  <c r="O65" i="1"/>
  <c r="D26" i="1"/>
  <c r="O32" i="1"/>
  <c r="O6" i="1"/>
  <c r="O48" i="1"/>
  <c r="O56" i="1"/>
  <c r="C55" i="3"/>
  <c r="C58" i="3"/>
  <c r="C50" i="3"/>
  <c r="C40" i="3"/>
  <c r="C53" i="3"/>
  <c r="C41" i="3"/>
  <c r="C44" i="3"/>
  <c r="C42" i="3"/>
  <c r="C43" i="3"/>
  <c r="C52" i="3"/>
  <c r="C46" i="3"/>
  <c r="C51" i="3"/>
  <c r="C47" i="3"/>
  <c r="C45" i="3"/>
  <c r="Z74" i="2"/>
  <c r="K38" i="2"/>
  <c r="K29" i="2"/>
  <c r="G48" i="3"/>
  <c r="J25" i="2"/>
  <c r="Y44" i="2"/>
  <c r="I56" i="1"/>
  <c r="G12" i="3"/>
  <c r="R64" i="1"/>
  <c r="G25" i="1"/>
  <c r="G15" i="1"/>
  <c r="G15" i="3" s="1"/>
  <c r="J12" i="3"/>
  <c r="U64" i="1"/>
  <c r="J25" i="1"/>
  <c r="J15" i="1"/>
  <c r="J15" i="3" s="1"/>
  <c r="R75" i="1"/>
  <c r="R76" i="1" s="1"/>
  <c r="D49" i="3"/>
  <c r="E55" i="3"/>
  <c r="E58" i="3"/>
  <c r="E50" i="3"/>
  <c r="E53" i="3"/>
  <c r="E48" i="3"/>
  <c r="E51" i="3"/>
  <c r="E52" i="3"/>
  <c r="E45" i="3"/>
  <c r="E41" i="3"/>
  <c r="E42" i="3"/>
  <c r="E43" i="3"/>
  <c r="E44" i="3"/>
  <c r="E46" i="3"/>
  <c r="E40" i="3"/>
  <c r="E47" i="3"/>
  <c r="D56" i="1"/>
  <c r="T74" i="2"/>
  <c r="E29" i="2"/>
  <c r="E38" i="2"/>
  <c r="AA75" i="2"/>
  <c r="AA45" i="2"/>
  <c r="L39" i="2"/>
  <c r="AA61" i="2" s="1"/>
  <c r="AA19" i="2"/>
  <c r="AA23" i="2" s="1"/>
  <c r="C25" i="3"/>
  <c r="N65" i="1"/>
  <c r="C26" i="1"/>
  <c r="N32" i="1"/>
  <c r="N6" i="1"/>
  <c r="C31" i="2"/>
  <c r="R83" i="2"/>
  <c r="R84" i="2" s="1"/>
  <c r="R85" i="2" s="1"/>
  <c r="V75" i="2"/>
  <c r="V45" i="2"/>
  <c r="V19" i="2"/>
  <c r="V23" i="2" s="1"/>
  <c r="G39" i="2"/>
  <c r="V68" i="2"/>
  <c r="J58" i="3"/>
  <c r="J50" i="3"/>
  <c r="J55" i="3"/>
  <c r="J40" i="3"/>
  <c r="J45" i="3"/>
  <c r="J41" i="3"/>
  <c r="J46" i="3"/>
  <c r="J42" i="3"/>
  <c r="J53" i="3"/>
  <c r="J43" i="3"/>
  <c r="J51" i="3"/>
  <c r="J44" i="3"/>
  <c r="J47" i="3"/>
  <c r="J52" i="3"/>
  <c r="H12" i="3"/>
  <c r="S64" i="1"/>
  <c r="H25" i="1"/>
  <c r="H15" i="1"/>
  <c r="H15" i="3" s="1"/>
  <c r="E31" i="2" l="1"/>
  <c r="T83" i="2"/>
  <c r="T84" i="2" s="1"/>
  <c r="T85" i="2" s="1"/>
  <c r="G25" i="3"/>
  <c r="R65" i="1"/>
  <c r="G26" i="1"/>
  <c r="R6" i="1"/>
  <c r="R32" i="1"/>
  <c r="R56" i="1"/>
  <c r="R48" i="1"/>
  <c r="W61" i="2"/>
  <c r="W69" i="2"/>
  <c r="V61" i="2"/>
  <c r="V69" i="2"/>
  <c r="T75" i="2"/>
  <c r="T45" i="2"/>
  <c r="T19" i="2"/>
  <c r="T23" i="2" s="1"/>
  <c r="E39" i="2"/>
  <c r="T68" i="2"/>
  <c r="H25" i="3"/>
  <c r="S65" i="1"/>
  <c r="H26" i="1"/>
  <c r="S6" i="1"/>
  <c r="S32" i="1"/>
  <c r="S48" i="1"/>
  <c r="S56" i="1"/>
  <c r="N8" i="1"/>
  <c r="N11" i="1" s="1"/>
  <c r="U75" i="2"/>
  <c r="U45" i="2"/>
  <c r="U19" i="2"/>
  <c r="U23" i="2" s="1"/>
  <c r="F39" i="2"/>
  <c r="U68" i="2"/>
  <c r="F31" i="2"/>
  <c r="U83" i="2"/>
  <c r="U84" i="2" s="1"/>
  <c r="U85" i="2" s="1"/>
  <c r="X69" i="2"/>
  <c r="X61" i="2"/>
  <c r="C26" i="3"/>
  <c r="N47" i="1"/>
  <c r="N57" i="1"/>
  <c r="O8" i="1"/>
  <c r="O11" i="1" s="1"/>
  <c r="X62" i="2"/>
  <c r="X70" i="2"/>
  <c r="X25" i="2"/>
  <c r="X46" i="2"/>
  <c r="R70" i="2"/>
  <c r="R46" i="2"/>
  <c r="R62" i="2"/>
  <c r="R25" i="2"/>
  <c r="P8" i="1"/>
  <c r="P11" i="1" s="1"/>
  <c r="Y74" i="2"/>
  <c r="J38" i="2"/>
  <c r="J29" i="2"/>
  <c r="D26" i="3"/>
  <c r="O57" i="1"/>
  <c r="O47" i="1"/>
  <c r="E26" i="3"/>
  <c r="P57" i="1"/>
  <c r="P47" i="1"/>
  <c r="R69" i="2"/>
  <c r="R61" i="2"/>
  <c r="M31" i="2"/>
  <c r="G9" i="2" s="1"/>
  <c r="M66" i="2" s="1"/>
  <c r="I25" i="3"/>
  <c r="T65" i="1"/>
  <c r="T32" i="1"/>
  <c r="T6" i="1"/>
  <c r="I26" i="1"/>
  <c r="T56" i="1"/>
  <c r="T48" i="1"/>
  <c r="V70" i="2"/>
  <c r="V46" i="2"/>
  <c r="V62" i="2"/>
  <c r="V25" i="2"/>
  <c r="AA62" i="2"/>
  <c r="AA25" i="2"/>
  <c r="AA46" i="2"/>
  <c r="W62" i="2"/>
  <c r="W70" i="2"/>
  <c r="W46" i="2"/>
  <c r="W25" i="2"/>
  <c r="J25" i="3"/>
  <c r="U65" i="1"/>
  <c r="U6" i="1"/>
  <c r="U32" i="1"/>
  <c r="J26" i="1"/>
  <c r="U56" i="1"/>
  <c r="U48" i="1"/>
  <c r="K30" i="2"/>
  <c r="Z22" i="2" s="1"/>
  <c r="K31" i="2"/>
  <c r="E9" i="2" s="1"/>
  <c r="K66" i="2" s="1"/>
  <c r="Z83" i="2"/>
  <c r="Z84" i="2" s="1"/>
  <c r="Z85" i="2" s="1"/>
  <c r="Z75" i="2"/>
  <c r="Z19" i="2"/>
  <c r="Z23" i="2" s="1"/>
  <c r="Z45" i="2"/>
  <c r="K39" i="2"/>
  <c r="Z61" i="2" s="1"/>
  <c r="L31" i="2"/>
  <c r="F9" i="2" s="1"/>
  <c r="L66" i="2" s="1"/>
  <c r="S70" i="2"/>
  <c r="S62" i="2"/>
  <c r="S46" i="2"/>
  <c r="S25" i="2"/>
  <c r="F25" i="3"/>
  <c r="Q32" i="1"/>
  <c r="Q65" i="1"/>
  <c r="Q6" i="1"/>
  <c r="F26" i="1"/>
  <c r="Q48" i="1"/>
  <c r="Q56" i="1"/>
  <c r="S69" i="2"/>
  <c r="S61" i="2"/>
  <c r="AB23" i="2"/>
  <c r="P66" i="1" l="1"/>
  <c r="P58" i="1"/>
  <c r="P13" i="1"/>
  <c r="P49" i="1"/>
  <c r="P33" i="1"/>
  <c r="N66" i="1"/>
  <c r="N58" i="1"/>
  <c r="N49" i="1"/>
  <c r="N13" i="1"/>
  <c r="N33" i="1"/>
  <c r="O66" i="1"/>
  <c r="O58" i="1"/>
  <c r="O49" i="1"/>
  <c r="O13" i="1"/>
  <c r="O33" i="1"/>
  <c r="F26" i="3"/>
  <c r="Q47" i="1"/>
  <c r="Q57" i="1"/>
  <c r="AA60" i="2"/>
  <c r="L68" i="2"/>
  <c r="AA59" i="2"/>
  <c r="S64" i="2"/>
  <c r="S71" i="2"/>
  <c r="S72" i="2"/>
  <c r="S63" i="2"/>
  <c r="S31" i="2"/>
  <c r="S35" i="2" s="1"/>
  <c r="S76" i="2"/>
  <c r="Y45" i="2"/>
  <c r="J39" i="2"/>
  <c r="Y75" i="2"/>
  <c r="Y19" i="2"/>
  <c r="Y23" i="2" s="1"/>
  <c r="Y68" i="2"/>
  <c r="S8" i="1"/>
  <c r="S11" i="1" s="1"/>
  <c r="Q11" i="1"/>
  <c r="Q8" i="1"/>
  <c r="H26" i="3"/>
  <c r="S47" i="1"/>
  <c r="S57" i="1"/>
  <c r="I26" i="3"/>
  <c r="T47" i="1"/>
  <c r="T57" i="1"/>
  <c r="X76" i="2"/>
  <c r="X64" i="2"/>
  <c r="X71" i="2"/>
  <c r="X72" i="2"/>
  <c r="X63" i="2"/>
  <c r="X31" i="2"/>
  <c r="X35" i="2" s="1"/>
  <c r="U61" i="2"/>
  <c r="U69" i="2"/>
  <c r="R8" i="1"/>
  <c r="R11" i="1" s="1"/>
  <c r="W76" i="2"/>
  <c r="W64" i="2"/>
  <c r="W71" i="2"/>
  <c r="W63" i="2"/>
  <c r="W31" i="2"/>
  <c r="W35" i="2" s="1"/>
  <c r="W72" i="2"/>
  <c r="AA63" i="2"/>
  <c r="AA64" i="2"/>
  <c r="AA76" i="2"/>
  <c r="AA31" i="2"/>
  <c r="AA35" i="2" s="1"/>
  <c r="T69" i="2"/>
  <c r="T61" i="2"/>
  <c r="G26" i="3"/>
  <c r="R57" i="1"/>
  <c r="R47" i="1"/>
  <c r="T70" i="2"/>
  <c r="T62" i="2"/>
  <c r="T46" i="2"/>
  <c r="T25" i="2"/>
  <c r="Z60" i="2"/>
  <c r="K68" i="2"/>
  <c r="Z59" i="2"/>
  <c r="J31" i="2"/>
  <c r="D9" i="2" s="1"/>
  <c r="Y83" i="2"/>
  <c r="Y84" i="2" s="1"/>
  <c r="Y85" i="2" s="1"/>
  <c r="J26" i="3"/>
  <c r="U47" i="1"/>
  <c r="U57" i="1"/>
  <c r="AB60" i="2"/>
  <c r="M68" i="2"/>
  <c r="AB59" i="2"/>
  <c r="Z62" i="2"/>
  <c r="Z25" i="2"/>
  <c r="Z46" i="2"/>
  <c r="U46" i="2"/>
  <c r="U62" i="2"/>
  <c r="U25" i="2"/>
  <c r="U70" i="2"/>
  <c r="V72" i="2"/>
  <c r="V76" i="2"/>
  <c r="V63" i="2"/>
  <c r="V64" i="2"/>
  <c r="V31" i="2"/>
  <c r="V35" i="2" s="1"/>
  <c r="V71" i="2"/>
  <c r="T8" i="1"/>
  <c r="T11" i="1"/>
  <c r="AB62" i="2"/>
  <c r="AB46" i="2"/>
  <c r="AB25" i="2"/>
  <c r="U8" i="1"/>
  <c r="U11" i="1" s="1"/>
  <c r="R63" i="2"/>
  <c r="R64" i="2"/>
  <c r="R71" i="2"/>
  <c r="R72" i="2"/>
  <c r="R31" i="2"/>
  <c r="R35" i="2" s="1"/>
  <c r="S66" i="1" l="1"/>
  <c r="S58" i="1"/>
  <c r="S49" i="1"/>
  <c r="S33" i="1"/>
  <c r="S13" i="1"/>
  <c r="U49" i="1"/>
  <c r="U66" i="1"/>
  <c r="U58" i="1"/>
  <c r="U33" i="1"/>
  <c r="U13" i="1"/>
  <c r="R49" i="1"/>
  <c r="R66" i="1"/>
  <c r="R33" i="1"/>
  <c r="R58" i="1"/>
  <c r="R13" i="1"/>
  <c r="T64" i="2"/>
  <c r="T71" i="2"/>
  <c r="T72" i="2"/>
  <c r="T63" i="2"/>
  <c r="T31" i="2"/>
  <c r="T35" i="2" s="1"/>
  <c r="T76" i="2"/>
  <c r="N59" i="1"/>
  <c r="N50" i="1"/>
  <c r="N15" i="1"/>
  <c r="Q66" i="1"/>
  <c r="Q58" i="1"/>
  <c r="Q49" i="1"/>
  <c r="Q33" i="1"/>
  <c r="Q13" i="1"/>
  <c r="U71" i="2"/>
  <c r="U72" i="2"/>
  <c r="U76" i="2"/>
  <c r="U63" i="2"/>
  <c r="U31" i="2"/>
  <c r="U35" i="2" s="1"/>
  <c r="U64" i="2"/>
  <c r="Y62" i="2"/>
  <c r="Y25" i="2"/>
  <c r="Y70" i="2"/>
  <c r="Y46" i="2"/>
  <c r="Y61" i="2"/>
  <c r="Y69" i="2"/>
  <c r="T49" i="1"/>
  <c r="T66" i="1"/>
  <c r="T58" i="1"/>
  <c r="T33" i="1"/>
  <c r="T13" i="1"/>
  <c r="P67" i="1"/>
  <c r="P50" i="1"/>
  <c r="P15" i="1"/>
  <c r="P59" i="1"/>
  <c r="AB63" i="2"/>
  <c r="AB64" i="2"/>
  <c r="AB76" i="2"/>
  <c r="AB31" i="2"/>
  <c r="AB35" i="2" s="1"/>
  <c r="Z76" i="2"/>
  <c r="Z63" i="2"/>
  <c r="Z64" i="2"/>
  <c r="Z31" i="2"/>
  <c r="Z35" i="2" s="1"/>
  <c r="K42" i="2" s="1"/>
  <c r="Z72" i="2" s="1"/>
  <c r="O50" i="1"/>
  <c r="O59" i="1"/>
  <c r="O67" i="1"/>
  <c r="O15" i="1"/>
  <c r="R59" i="1" l="1"/>
  <c r="R67" i="1"/>
  <c r="R50" i="1"/>
  <c r="R15" i="1"/>
  <c r="N51" i="1"/>
  <c r="N18" i="1"/>
  <c r="N60" i="1"/>
  <c r="Q59" i="1"/>
  <c r="Q50" i="1"/>
  <c r="Q67" i="1"/>
  <c r="Q15" i="1"/>
  <c r="S59" i="1"/>
  <c r="S67" i="1"/>
  <c r="S50" i="1"/>
  <c r="S15" i="1"/>
  <c r="T59" i="1"/>
  <c r="T67" i="1"/>
  <c r="T15" i="1"/>
  <c r="T50" i="1"/>
  <c r="U59" i="1"/>
  <c r="U67" i="1"/>
  <c r="U50" i="1"/>
  <c r="U15" i="1"/>
  <c r="O60" i="1"/>
  <c r="O51" i="1"/>
  <c r="O18" i="1"/>
  <c r="L42" i="2"/>
  <c r="K51" i="2"/>
  <c r="Z67" i="2"/>
  <c r="Z68" i="2"/>
  <c r="Z69" i="2"/>
  <c r="Z70" i="2"/>
  <c r="Z71" i="2"/>
  <c r="P60" i="1"/>
  <c r="P51" i="1"/>
  <c r="P18" i="1"/>
  <c r="Y76" i="2"/>
  <c r="Y63" i="2"/>
  <c r="Y71" i="2"/>
  <c r="Y72" i="2"/>
  <c r="Y64" i="2"/>
  <c r="Y31" i="2"/>
  <c r="Y35" i="2" s="1"/>
  <c r="N61" i="1" l="1"/>
  <c r="N52" i="1"/>
  <c r="N21" i="1"/>
  <c r="N24" i="1" s="1"/>
  <c r="N25" i="1" s="1"/>
  <c r="R51" i="1"/>
  <c r="R60" i="1"/>
  <c r="R18" i="1"/>
  <c r="S51" i="1"/>
  <c r="S60" i="1"/>
  <c r="S18" i="1"/>
  <c r="P61" i="1"/>
  <c r="P52" i="1"/>
  <c r="P21" i="1"/>
  <c r="P24" i="1" s="1"/>
  <c r="P25" i="1" s="1"/>
  <c r="T51" i="1"/>
  <c r="T18" i="1"/>
  <c r="T60" i="1"/>
  <c r="U51" i="1"/>
  <c r="U60" i="1"/>
  <c r="U18" i="1"/>
  <c r="Q51" i="1"/>
  <c r="Q60" i="1"/>
  <c r="Q18" i="1"/>
  <c r="K82" i="2"/>
  <c r="K69" i="2"/>
  <c r="K80" i="2"/>
  <c r="K81" i="2"/>
  <c r="L51" i="2"/>
  <c r="M42" i="2"/>
  <c r="AA68" i="2"/>
  <c r="AA69" i="2"/>
  <c r="AA67" i="2"/>
  <c r="AA70" i="2"/>
  <c r="AA71" i="2"/>
  <c r="AA72" i="2"/>
  <c r="O61" i="1"/>
  <c r="O52" i="1"/>
  <c r="O21" i="1"/>
  <c r="O24" i="1" s="1"/>
  <c r="O25" i="1" s="1"/>
  <c r="R52" i="1" l="1"/>
  <c r="R61" i="1"/>
  <c r="R21" i="1"/>
  <c r="R24" i="1" s="1"/>
  <c r="R25" i="1" s="1"/>
  <c r="Q61" i="1"/>
  <c r="Q52" i="1"/>
  <c r="Q21" i="1"/>
  <c r="Q24" i="1" s="1"/>
  <c r="Q25" i="1" s="1"/>
  <c r="S61" i="1"/>
  <c r="S52" i="1"/>
  <c r="S21" i="1"/>
  <c r="S24" i="1" s="1"/>
  <c r="S25" i="1" s="1"/>
  <c r="U61" i="1"/>
  <c r="U52" i="1"/>
  <c r="U21" i="1"/>
  <c r="U24" i="1" s="1"/>
  <c r="U25" i="1" s="1"/>
  <c r="M51" i="2"/>
  <c r="AB69" i="2"/>
  <c r="AB67" i="2"/>
  <c r="AB68" i="2"/>
  <c r="AB70" i="2"/>
  <c r="AB72" i="2"/>
  <c r="AB71" i="2"/>
  <c r="L82" i="2"/>
  <c r="L69" i="2"/>
  <c r="L80" i="2"/>
  <c r="L81" i="2"/>
  <c r="T61" i="1"/>
  <c r="T52" i="1"/>
  <c r="T21" i="1"/>
  <c r="T24" i="1" s="1"/>
  <c r="T25" i="1" s="1"/>
  <c r="M82" i="2" l="1"/>
  <c r="M69" i="2"/>
  <c r="M80" i="2"/>
  <c r="M81" i="2"/>
</calcChain>
</file>

<file path=xl/comments1.xml><?xml version="1.0" encoding="utf-8"?>
<comments xmlns="http://schemas.openxmlformats.org/spreadsheetml/2006/main">
  <authors>
    <author>Cuong Tran Chi</author>
  </authors>
  <commentList>
    <comment ref="A21" authorId="0">
      <text>
        <r>
          <rPr>
            <sz val="11"/>
            <color theme="1"/>
            <rFont val="Calibri"/>
            <family val="2"/>
            <scheme val="minor"/>
          </rPr>
          <t>Cuong Tran Chi:
Nhập số dương</t>
        </r>
      </text>
    </comment>
    <comment ref="A23" authorId="0">
      <text>
        <r>
          <rPr>
            <sz val="11"/>
            <color theme="1"/>
            <rFont val="Calibri"/>
            <family val="2"/>
            <scheme val="minor"/>
          </rPr>
          <t>Cuong Tran Chi:
Bao gồm dự phòng giảm giá hàng tồn kho, và dự phòng trong chi phí quản lý doanh nghiệp</t>
        </r>
      </text>
    </comment>
  </commentList>
</comments>
</file>

<file path=xl/comments2.xml><?xml version="1.0" encoding="utf-8"?>
<comments xmlns="http://schemas.openxmlformats.org/spreadsheetml/2006/main">
  <authors>
    <author>tc={CA33ADA7-9B94-4E8B-8C10-C8F1A917657A}</author>
    <author>Cuong Tran Chi</author>
  </authors>
  <commentList>
    <comment ref="AD55" author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Dạ em đang dùng fsa này cho phụ lục, nếu có điều chỉnh gì các anh cho em biết nha</t>
        </r>
      </text>
    </comment>
    <comment ref="A59" authorId="1">
      <text>
        <r>
          <rPr>
            <sz val="11"/>
            <color theme="1"/>
            <rFont val="Calibri"/>
            <family val="2"/>
            <scheme val="minor"/>
          </rPr>
          <t>Cuong Tran Chi:
only for SBT</t>
        </r>
      </text>
    </comment>
  </commentList>
</comments>
</file>

<file path=xl/comments3.xml><?xml version="1.0" encoding="utf-8"?>
<comments xmlns="http://schemas.openxmlformats.org/spreadsheetml/2006/main">
  <authors>
    <author>Cuong Tran</author>
  </authors>
  <commentList>
    <comment ref="G5" authorId="0">
      <text>
        <r>
          <rPr>
            <sz val="11"/>
            <color theme="1"/>
            <rFont val="Calibri"/>
            <family val="2"/>
            <scheme val="minor"/>
          </rPr>
          <t>Cuong Tran:
trung bình số ngày phải thu</t>
        </r>
      </text>
    </comment>
    <comment ref="G6" authorId="0">
      <text>
        <r>
          <rPr>
            <sz val="11"/>
            <color theme="1"/>
            <rFont val="Calibri"/>
            <family val="2"/>
            <scheme val="minor"/>
          </rPr>
          <t>Cuong Tran:
số ngày cuối kỳ</t>
        </r>
      </text>
    </comment>
  </commentList>
</comments>
</file>

<file path=xl/sharedStrings.xml><?xml version="1.0" encoding="utf-8"?>
<sst xmlns="http://schemas.openxmlformats.org/spreadsheetml/2006/main" count="963" uniqueCount="624">
  <si>
    <t>Company</t>
  </si>
  <si>
    <t>VIC</t>
  </si>
  <si>
    <t>Analyst</t>
  </si>
  <si>
    <t>Day</t>
  </si>
  <si>
    <t>PROFIT/LOSS</t>
  </si>
  <si>
    <t>YE  31 Dec</t>
  </si>
  <si>
    <t xml:space="preserve">CASH FLOW </t>
  </si>
  <si>
    <t>VND Millions</t>
  </si>
  <si>
    <t>EBITDA</t>
  </si>
  <si>
    <t>Sales</t>
  </si>
  <si>
    <t>Other Non-Cash charges</t>
  </si>
  <si>
    <t>Cost of Goods Sold</t>
  </si>
  <si>
    <t>Other FFO adjustments</t>
  </si>
  <si>
    <t>Gross Profit</t>
  </si>
  <si>
    <t>Total Interest Paid</t>
  </si>
  <si>
    <t>SG and A Expenses</t>
  </si>
  <si>
    <t>Total Tax Paid</t>
  </si>
  <si>
    <t>Other Operating items</t>
  </si>
  <si>
    <t>Funds from Operations (FFO)</t>
  </si>
  <si>
    <t>EBIT (Operating Profit)</t>
  </si>
  <si>
    <t xml:space="preserve">Changes in Net Working Capital </t>
  </si>
  <si>
    <t>Non-operating Items</t>
  </si>
  <si>
    <t>Operating Cash Flow (OCF)</t>
  </si>
  <si>
    <t>Total Interest Expense</t>
  </si>
  <si>
    <t>Purchases Fixed assets, intangible assets</t>
  </si>
  <si>
    <t>Interest income and other financial Income / expenses</t>
  </si>
  <si>
    <t>Free Operating Cash Flow (FOCF)</t>
  </si>
  <si>
    <t>Profit before Tax</t>
  </si>
  <si>
    <t xml:space="preserve">Interest, Dividend  and FX results </t>
  </si>
  <si>
    <t>Taxation</t>
  </si>
  <si>
    <t>Total Dividend Paid</t>
  </si>
  <si>
    <t>Profit after Tax</t>
  </si>
  <si>
    <t>Discretionary Cash Flow (DCF)</t>
  </si>
  <si>
    <t>Disposals Fixed assets, intangible assets</t>
  </si>
  <si>
    <t>For info (included in operating profit)</t>
  </si>
  <si>
    <t>Acquisitions, Investments net of Divestments</t>
  </si>
  <si>
    <t>Depreciation</t>
  </si>
  <si>
    <t>Prefinancing Cash Flow</t>
  </si>
  <si>
    <t>Amortisation</t>
  </si>
  <si>
    <t>Net Debt Drawings / Repayments</t>
  </si>
  <si>
    <t>Impairments</t>
  </si>
  <si>
    <t>Share Issues / Repurchases</t>
  </si>
  <si>
    <t>Operating Leases</t>
  </si>
  <si>
    <t>Net Cash Flow</t>
  </si>
  <si>
    <t>Check</t>
  </si>
  <si>
    <t>EBITDAR</t>
  </si>
  <si>
    <t>BALANCE SHEET</t>
  </si>
  <si>
    <t>RATIOS</t>
  </si>
  <si>
    <t>Cash and Marketable Securities</t>
  </si>
  <si>
    <t>Business Risk:</t>
  </si>
  <si>
    <t>Trade Debtors (Accounts Receivable)</t>
  </si>
  <si>
    <t>Sale growth</t>
  </si>
  <si>
    <t>NA</t>
  </si>
  <si>
    <t>Stock (Inventory) #</t>
  </si>
  <si>
    <t>Gross Profit / Sales</t>
  </si>
  <si>
    <t>Prepayment to Suppliers</t>
  </si>
  <si>
    <t>EBITDA / Sales</t>
  </si>
  <si>
    <t>Prepaid Expenses</t>
  </si>
  <si>
    <t>FFO / Sales</t>
  </si>
  <si>
    <t>Other debtors and other assets</t>
  </si>
  <si>
    <t>ROC</t>
  </si>
  <si>
    <t>Investments and assets for sale</t>
  </si>
  <si>
    <t>Trade Debtors days on hand</t>
  </si>
  <si>
    <t>Net Fixed Assets</t>
  </si>
  <si>
    <t>Inventory days on hand</t>
  </si>
  <si>
    <t>Intangible Assets</t>
  </si>
  <si>
    <t>Trade Creditor days on hand</t>
  </si>
  <si>
    <t>Assets</t>
  </si>
  <si>
    <t>Net Working Capital</t>
  </si>
  <si>
    <t>Average NWC / Sales</t>
  </si>
  <si>
    <t>Trade Creditors (Accounts Payable)</t>
  </si>
  <si>
    <t>Sales / Net Fixed Assets</t>
  </si>
  <si>
    <t>Accrued Expenses</t>
  </si>
  <si>
    <t>Gross Capex Tang and Intang Assets / Depr and Amort</t>
  </si>
  <si>
    <t>Customers advances</t>
  </si>
  <si>
    <t>Gross Capital Expenditure / Sales</t>
  </si>
  <si>
    <t>Short-term Deferred Income</t>
  </si>
  <si>
    <t>Other Creditors and Provisions</t>
  </si>
  <si>
    <t>Gross Debt</t>
  </si>
  <si>
    <t>Tax Payable</t>
  </si>
  <si>
    <t>Debt / Equity</t>
  </si>
  <si>
    <t>Short Term Debt*</t>
  </si>
  <si>
    <t>Equity / Total Liabilities</t>
  </si>
  <si>
    <t>Existing Long Term Debt and Financial Leases</t>
  </si>
  <si>
    <t>Adj Debt / EBITDAR *</t>
  </si>
  <si>
    <t>Total Debt</t>
  </si>
  <si>
    <t>Debt / EBTDA</t>
  </si>
  <si>
    <t>Total Liabilities</t>
  </si>
  <si>
    <t>FFO / Debt</t>
  </si>
  <si>
    <t>CFO / Debt</t>
  </si>
  <si>
    <t>Share Capital and Reserves</t>
  </si>
  <si>
    <t>FOCF / Debt</t>
  </si>
  <si>
    <t>Retained Earnings</t>
  </si>
  <si>
    <t>DCF / Debt</t>
  </si>
  <si>
    <t>Minority Interest</t>
  </si>
  <si>
    <t>Debt / (Debt + Equity)</t>
  </si>
  <si>
    <t>Total Equity</t>
  </si>
  <si>
    <t>Net Debt</t>
  </si>
  <si>
    <t>Liabilities and Equity</t>
  </si>
  <si>
    <t>Net Debt / Equity</t>
  </si>
  <si>
    <t>Cross check</t>
  </si>
  <si>
    <t>Net Debt / EBITDA</t>
  </si>
  <si>
    <t>Adj Net Debt / EBITDAR *</t>
  </si>
  <si>
    <t>* Including Current Portion of Long Term Debt</t>
  </si>
  <si>
    <t>FFO / Net Debt</t>
  </si>
  <si>
    <t xml:space="preserve"># including Stockpiled Inventory (non-current) </t>
  </si>
  <si>
    <t>CFO / Net Debt</t>
  </si>
  <si>
    <t>FOCF / Net Debt</t>
  </si>
  <si>
    <t>DCF / Net Debt</t>
  </si>
  <si>
    <t>Gross Interest</t>
  </si>
  <si>
    <t>EBIT / Interest Expense</t>
  </si>
  <si>
    <t>EBITDA / Interest Expense</t>
  </si>
  <si>
    <t>(FFO + Interest paid) / Interest paid</t>
  </si>
  <si>
    <t>Debt Service Coverage Ratio**</t>
  </si>
  <si>
    <t>* Debt adjusted for op lease by 8x annual op lease expense</t>
  </si>
  <si>
    <t>**(FOCF + Interest paid) / (Interest paid + CPLTD due)</t>
  </si>
  <si>
    <t>BREAKEVEN ANALYSIS</t>
  </si>
  <si>
    <t>Fixed costs</t>
  </si>
  <si>
    <t>Breakeven Sales</t>
  </si>
  <si>
    <t>Margin of safety</t>
  </si>
  <si>
    <t>Assumption</t>
  </si>
  <si>
    <t>Effective tax rate</t>
  </si>
  <si>
    <t>Gross margin</t>
  </si>
  <si>
    <t>Original profit after tax</t>
  </si>
  <si>
    <t>% Phải thu ngắn hạn khách hàng + Trả trước người bán</t>
  </si>
  <si>
    <t>Đầu tư nắm giữ đến ngày đáo hạn</t>
  </si>
  <si>
    <t>1st Test: revenue drop</t>
  </si>
  <si>
    <t>Test revene reduction</t>
  </si>
  <si>
    <t>Change in profit after tax</t>
  </si>
  <si>
    <t>2nd test: No capital injection</t>
  </si>
  <si>
    <t>Capital injection plan</t>
  </si>
  <si>
    <t>Capital injection successful rate</t>
  </si>
  <si>
    <t>Deduction in capital</t>
  </si>
  <si>
    <t>Test year</t>
  </si>
  <si>
    <t xml:space="preserve">  Total Interest Paid</t>
  </si>
  <si>
    <t xml:space="preserve">  Total Tax Paid</t>
  </si>
  <si>
    <t>Funds from Operations</t>
  </si>
  <si>
    <t xml:space="preserve">-   </t>
  </si>
  <si>
    <t xml:space="preserve"> -   </t>
  </si>
  <si>
    <t>Operating Cash Flow</t>
  </si>
  <si>
    <t>Other non-operating items</t>
  </si>
  <si>
    <t>Acquisitions , Investments net of Divestments</t>
  </si>
  <si>
    <t xml:space="preserve">Cash Flow before Financing </t>
  </si>
  <si>
    <t>Net Debt Drawings / Repayments (exclude UPAS L/C)</t>
  </si>
  <si>
    <t>Share  Issues / Repurchases</t>
  </si>
  <si>
    <t>Customer advances, Defferred Income days</t>
  </si>
  <si>
    <t>Prepayment to Suppliers days</t>
  </si>
  <si>
    <t>Net Working Capital / Sales</t>
  </si>
  <si>
    <t>Financial Risk:</t>
  </si>
  <si>
    <t>UPAS L/C</t>
  </si>
  <si>
    <t>FFO adj for interest and Lease payments / Adj Debt</t>
  </si>
  <si>
    <t>CFO minus Capex / Total Debt</t>
  </si>
  <si>
    <t>CFO / Total Debt</t>
  </si>
  <si>
    <t>FFO adj for interest and Lease payments / Adj Net Debt</t>
  </si>
  <si>
    <t>CFO minus Capex / Total Net Debt</t>
  </si>
  <si>
    <t>CFO / Total Net Debt</t>
  </si>
  <si>
    <t>Finished Goods</t>
  </si>
  <si>
    <t>Merchandise</t>
  </si>
  <si>
    <t>Goods in transit</t>
  </si>
  <si>
    <t>Debt Service Coverage Ratio***</t>
  </si>
  <si>
    <t>** Maintenance capex assumed to be in line with depreciation</t>
  </si>
  <si>
    <t>Commitment with shareholders</t>
  </si>
  <si>
    <t>***(Operating Cash Flow -Tax - Depreciation, Amortisation) / (Interest paid + CPLTD due)</t>
  </si>
  <si>
    <t>Short-term debt / total assets</t>
  </si>
  <si>
    <t>Short-term debt + L/C / Total assets</t>
  </si>
  <si>
    <t>Equity / Total Assets</t>
  </si>
  <si>
    <t>Giả định</t>
  </si>
  <si>
    <t>VÒNG QUAY KHOẢN MỤC TÀI SẢN LƯU ĐỘNG</t>
  </si>
  <si>
    <t>III. Activity Ratios</t>
  </si>
  <si>
    <t>III. Khả năng hoạt động</t>
  </si>
  <si>
    <t>Ngày Phải thu</t>
  </si>
  <si>
    <t>Số ngày trả trước nhà cung cấp</t>
  </si>
  <si>
    <t>Days Inventory Outstading</t>
  </si>
  <si>
    <t>Ngày Tồn kho</t>
  </si>
  <si>
    <t>Payable Days</t>
  </si>
  <si>
    <t>Số ngày khách hàng trả trước</t>
  </si>
  <si>
    <t>Current accounts receivables</t>
  </si>
  <si>
    <t xml:space="preserve">Các khoản phải thu ngắn hạn    </t>
  </si>
  <si>
    <t>MVND</t>
  </si>
  <si>
    <t>Other Current accounts receivables</t>
  </si>
  <si>
    <t>Other payables</t>
  </si>
  <si>
    <t>Các khoản phải trả, phải nộp ngắn hạn khác</t>
  </si>
  <si>
    <t>Phải trả dài hạn khác</t>
  </si>
  <si>
    <t>ADJ Other payables</t>
  </si>
  <si>
    <t>Minus Interest paid</t>
  </si>
  <si>
    <t>Minus Tax paid</t>
  </si>
  <si>
    <t>Funds from Operations after Interest and Tax</t>
  </si>
  <si>
    <t>+/- Change in Accounts Receivable (Debtors)</t>
  </si>
  <si>
    <t>+/- Change in Inventory (Stock)</t>
  </si>
  <si>
    <t>+/- Accounts Payable (Creditors)</t>
  </si>
  <si>
    <t>Changes in Net Working Capital</t>
  </si>
  <si>
    <t>Net Operating Cash Flow</t>
  </si>
  <si>
    <t>+/- Change in Capital expenditure and Disposals of fixed assets</t>
  </si>
  <si>
    <t>+/- Change in Overdraft and Short-term Debt</t>
  </si>
  <si>
    <t>+/- Change in Long Term Debt</t>
  </si>
  <si>
    <t>+/- Change in Share Capital</t>
  </si>
  <si>
    <t>TOTAL Change in Cash</t>
  </si>
  <si>
    <t>Opening balance Cash</t>
  </si>
  <si>
    <t>Change in Cash</t>
  </si>
  <si>
    <t>Closing balance Cash</t>
  </si>
  <si>
    <t>Other non-cash adjustments (some significant numbers only)</t>
  </si>
  <si>
    <t>Finance cost - net</t>
  </si>
  <si>
    <t>Provision</t>
  </si>
  <si>
    <t xml:space="preserve">Share of results of investments accounted for using the equity method </t>
  </si>
  <si>
    <t>Provision / Payments to pension scheme, employee benefits (net)</t>
  </si>
  <si>
    <t>Results from derivative instruments</t>
  </si>
  <si>
    <t xml:space="preserve">(Profit)/loss on sale of property, plant and equipment </t>
  </si>
  <si>
    <t>Payments in respect of restructuring</t>
  </si>
  <si>
    <t>Unrealised foreign exchange (gains) losses</t>
  </si>
  <si>
    <t>SBT</t>
  </si>
  <si>
    <t>I. Cash and cash equivalents</t>
  </si>
  <si>
    <t>1. Cash</t>
  </si>
  <si>
    <t>2.  Cash equivalents</t>
  </si>
  <si>
    <t>II. Short-term investment</t>
  </si>
  <si>
    <t xml:space="preserve">1. Held-to-maturity investments </t>
  </si>
  <si>
    <t>III. Current account receivables</t>
  </si>
  <si>
    <t>1. Trade receivables</t>
  </si>
  <si>
    <t>2. Advances to suppliers</t>
  </si>
  <si>
    <t>3. Interco</t>
  </si>
  <si>
    <t>4. Other receivables</t>
  </si>
  <si>
    <t>5. Provision for doubtful debts</t>
  </si>
  <si>
    <t>6. Shortage of assets awaiting resolution</t>
  </si>
  <si>
    <t>IV. Inventories</t>
  </si>
  <si>
    <t>1. Inventories</t>
  </si>
  <si>
    <t>2. Provision for obsolete inventories</t>
  </si>
  <si>
    <t xml:space="preserve">V. Other current assets </t>
  </si>
  <si>
    <t>1. Short-term prepaid expenses</t>
  </si>
  <si>
    <t>2. VAT deductibles</t>
  </si>
  <si>
    <t>3. Tax and other receivables from the State</t>
  </si>
  <si>
    <t>4.    Other current assets</t>
  </si>
  <si>
    <t>ASSETS</t>
  </si>
  <si>
    <t xml:space="preserve">B. NON-CURRENT ASSETS </t>
  </si>
  <si>
    <t xml:space="preserve">      I. Non-current receivables</t>
  </si>
  <si>
    <t>1. Non-current trade-receivables</t>
  </si>
  <si>
    <t>2. Non-current advance to suppliers</t>
  </si>
  <si>
    <t>Cumulative</t>
  </si>
  <si>
    <t>3. Non-current lending principal receivables</t>
  </si>
  <si>
    <t>Các khoản phải thu ngắn hạn</t>
  </si>
  <si>
    <t>4. Other non-current receivables</t>
  </si>
  <si>
    <t>Phải thu ngắn hạn của khach hàng</t>
  </si>
  <si>
    <t>V.03</t>
  </si>
  <si>
    <t>5. Provision for non-current doubtful debts</t>
  </si>
  <si>
    <t>Trả trước cho người bán ngắn hạn</t>
  </si>
  <si>
    <t>V.04</t>
  </si>
  <si>
    <t>II. Fixed assets</t>
  </si>
  <si>
    <t>Phải thu về cho vay ngắn hạn</t>
  </si>
  <si>
    <t>V.05</t>
  </si>
  <si>
    <t>1. Tangible fixed assets</t>
  </si>
  <si>
    <t>Phải thu ngắn hạn khác</t>
  </si>
  <si>
    <t>V.06</t>
  </si>
  <si>
    <t>Cost</t>
  </si>
  <si>
    <t>Dự phòng phải thu ngắn hạn khó đòi</t>
  </si>
  <si>
    <t>Accumulated depreciation</t>
  </si>
  <si>
    <t>Tài sản thiếu chờ xử lý</t>
  </si>
  <si>
    <t>4.  Intangible fixed assets</t>
  </si>
  <si>
    <t>Accumulated amortisation</t>
  </si>
  <si>
    <t>Tài sản ngắn hạn khác</t>
  </si>
  <si>
    <t>III. Long-term assets in progress</t>
  </si>
  <si>
    <t>1. Construction in progress</t>
  </si>
  <si>
    <t>Thuế GTGT được khấu trừ</t>
  </si>
  <si>
    <t>V.14</t>
  </si>
  <si>
    <t>IV.LONG-TERM FINANCIAL INVESTMENTS</t>
  </si>
  <si>
    <t>Thuế và các khoản khác phải thu Nhà Nước</t>
  </si>
  <si>
    <t>1. Investments in Subsidiaries</t>
  </si>
  <si>
    <t>2. Investments in cooperation</t>
  </si>
  <si>
    <t>3. Investments in Others</t>
  </si>
  <si>
    <t xml:space="preserve">V. Other long-term assets </t>
  </si>
  <si>
    <t>Các khoản phải thu dài hạn</t>
  </si>
  <si>
    <t>1. Long-term prepaid expenses</t>
  </si>
  <si>
    <t>Phải thu về cho vay dài hạn</t>
  </si>
  <si>
    <t>2. Deferred tax assets</t>
  </si>
  <si>
    <t>Phải thu dài hạn khác</t>
  </si>
  <si>
    <t>3. Goodwill</t>
  </si>
  <si>
    <t>TOTAL ASSETS</t>
  </si>
  <si>
    <t>RESOURCES</t>
  </si>
  <si>
    <t>A. LIABILITIES</t>
  </si>
  <si>
    <t>I. Current liabilities</t>
  </si>
  <si>
    <t>1. Trade payables</t>
  </si>
  <si>
    <t>2. Advances from customers</t>
  </si>
  <si>
    <t>Nợ ngắn hạn</t>
  </si>
  <si>
    <t>3. Statutory obligations</t>
  </si>
  <si>
    <t>Phải trả người bán ngắn hạn</t>
  </si>
  <si>
    <t>4. Payables to employees</t>
  </si>
  <si>
    <t>Người mua trả tiền trước ngắn hạn</t>
  </si>
  <si>
    <t xml:space="preserve">5. Accrued expenses </t>
  </si>
  <si>
    <t>Thuế và các khoản phải nộp nhà nước</t>
  </si>
  <si>
    <t>6. Intercompany payables</t>
  </si>
  <si>
    <t>phải trả người lao động</t>
  </si>
  <si>
    <t>7. Short-term deferred revenue</t>
  </si>
  <si>
    <t>Chi phí phải trả ngắn hạn</t>
  </si>
  <si>
    <t>8. Other payables</t>
  </si>
  <si>
    <t>Trích trước chi phí xây dựng</t>
  </si>
  <si>
    <t>9. Short-term loans and borrowings</t>
  </si>
  <si>
    <t>Lãi vay, lãi trái phiếu</t>
  </si>
  <si>
    <t>10. Bonus and welfare fund</t>
  </si>
  <si>
    <t>Chi phí phải trả khác</t>
  </si>
  <si>
    <t>II. Non-current liabilities</t>
  </si>
  <si>
    <t>long term payable</t>
  </si>
  <si>
    <t>Phải trả ngắn hạn khác</t>
  </si>
  <si>
    <t>1. Long term deferred revenue</t>
  </si>
  <si>
    <t>Vay và nợ thuê tài chính ngắn hạn</t>
  </si>
  <si>
    <t xml:space="preserve">2. Other long-term liabilities </t>
  </si>
  <si>
    <t>Quỹ khen thưởng phúc lợi</t>
  </si>
  <si>
    <t>3. Long-term loans and debts</t>
  </si>
  <si>
    <t xml:space="preserve">deferred tax payable </t>
  </si>
  <si>
    <t>Nợ dài hạn</t>
  </si>
  <si>
    <t>B. OWNERS’ EQUITY</t>
  </si>
  <si>
    <t>Chi phí phải trả dài hạn</t>
  </si>
  <si>
    <t>I. Capital</t>
  </si>
  <si>
    <t>1. Share capital</t>
  </si>
  <si>
    <t>2. Share premium</t>
  </si>
  <si>
    <t>3. Treasury shares</t>
  </si>
  <si>
    <t>Doanh thu chưa thực hiện dài hạn</t>
  </si>
  <si>
    <t>4. Investment and development fund</t>
  </si>
  <si>
    <t>5. Undistributed earnings</t>
  </si>
  <si>
    <t>Vay và nợ thuê tài chính dài hạn</t>
  </si>
  <si>
    <t>- Undistributed earnings up to end of prior year</t>
  </si>
  <si>
    <t>Thuế thu nhập hoãn lại phải trả</t>
  </si>
  <si>
    <t>- Undistributed earnings of current year</t>
  </si>
  <si>
    <t>6. Minorities interest</t>
  </si>
  <si>
    <t xml:space="preserve">TOTAL LIABILITIES AND OWNERS’ EQUITY </t>
  </si>
  <si>
    <t>BẢNG CÂN ĐỐI KẾ TOÁN</t>
  </si>
  <si>
    <t>Note</t>
  </si>
  <si>
    <t>2018</t>
  </si>
  <si>
    <t>2019</t>
  </si>
  <si>
    <t>2020</t>
  </si>
  <si>
    <t>2021</t>
  </si>
  <si>
    <t>2022</t>
  </si>
  <si>
    <t>TS</t>
  </si>
  <si>
    <t>TÀI SẢN</t>
  </si>
  <si>
    <t>A. TÀI SẢN NGẮN HẠN (100=110+120+130+140+150)</t>
  </si>
  <si>
    <t>I. Tiền và các khoản tương đương tiền</t>
  </si>
  <si>
    <t xml:space="preserve">  1.Tiền </t>
  </si>
  <si>
    <t xml:space="preserve">  2. Các khoản tương đương tiền</t>
  </si>
  <si>
    <t>II. Đầu tư tài chính ngắn hạn (120 = 121 + 122 + 123)</t>
  </si>
  <si>
    <t>1. Chứng khoán kinh doanh</t>
  </si>
  <si>
    <t>2. Dự phòng giảm giá chứng khoán kinh doanh (*) (2)</t>
  </si>
  <si>
    <t>3. Đầu tư nắm giữ đến ngày đáo hạn</t>
  </si>
  <si>
    <t>III. Các khoản phải thu ngắn hạn</t>
  </si>
  <si>
    <t xml:space="preserve">1. Phải thu ngắn hạn của khách hàng </t>
  </si>
  <si>
    <t>2. Trả trước cho người bán ngắn hạn</t>
  </si>
  <si>
    <t xml:space="preserve">  3. Phải thu nội bộ ngắn hạn</t>
  </si>
  <si>
    <t xml:space="preserve">  4. Phải thu theo tiến độ kế hoạch hợp đồng xây dựng</t>
  </si>
  <si>
    <t>5. Phải thu về cho vay ngắn hạn</t>
  </si>
  <si>
    <t>6. Phải thu ngắn hạn khác</t>
  </si>
  <si>
    <t>7. Dự phòng phải thu ngắn hạn khó đòi (*)</t>
  </si>
  <si>
    <t>8. Tài sản thiếu chờ xử lý</t>
  </si>
  <si>
    <t>IV. Hàng tồn kho</t>
  </si>
  <si>
    <t>1. Hàng tồn kho</t>
  </si>
  <si>
    <t xml:space="preserve">  2. Dự phòng giảm giá hàng tồn kho (*)</t>
  </si>
  <si>
    <t>V. Tài sản ngắn hạn khác (150=151+152+…+155)</t>
  </si>
  <si>
    <t xml:space="preserve">  1. Chi phí trả trước ngắn hạn </t>
  </si>
  <si>
    <t xml:space="preserve">  2. Thuế GTGT được khấu trừ</t>
  </si>
  <si>
    <t>3. Thuế và các khoản khác phải thu Nhà nước</t>
  </si>
  <si>
    <t>4. Giao dịch mua bán lại trái phiếu Chính phủ</t>
  </si>
  <si>
    <t>5. Tài sản ngắn hạn khác</t>
  </si>
  <si>
    <t>B - TÀI SẢN DÀI HẠN (200=210+220+230+240+250+260)</t>
  </si>
  <si>
    <t>I- Các khoản phải thu dài hạn (210 = 211 + 212 +….+ 216 + 219)</t>
  </si>
  <si>
    <t>1. Phải thu dài hạn của khách hàng</t>
  </si>
  <si>
    <t>2. Trả trước cho người bán dài hạn</t>
  </si>
  <si>
    <t>3. Vốn kinh doanh ở đơn vị trực thuộc</t>
  </si>
  <si>
    <t>4. Phải thu nội bộ dài hạn</t>
  </si>
  <si>
    <t>5. Phải thu về cho vay dài hạn</t>
  </si>
  <si>
    <t>6. Phải thu dài hạn khác</t>
  </si>
  <si>
    <t>7. Dự phòng phải thu dài hạn khó đòi (*)</t>
  </si>
  <si>
    <t>II. Tài sản cố định ( 220 = 221 + 224 + 227)</t>
  </si>
  <si>
    <t xml:space="preserve">  1. Tài sản cố định hữu hình</t>
  </si>
  <si>
    <t xml:space="preserve">      - Nguyên giá</t>
  </si>
  <si>
    <t xml:space="preserve">      - Giá trị hao mòn luỹ kế (*)</t>
  </si>
  <si>
    <t xml:space="preserve">  2. Tài sản cố định thuê tài chính</t>
  </si>
  <si>
    <t xml:space="preserve">  3. Tài sản cố định vô hình</t>
  </si>
  <si>
    <t>III. Bất động sản đầu tư (230 = 231 + 232)</t>
  </si>
  <si>
    <t>- Nguyên giá</t>
  </si>
  <si>
    <t>- Giá trị hao mòn lũy kế (*)</t>
  </si>
  <si>
    <t>IV. Tài sản dang dở dài hạn (240 = 241 + 242)</t>
  </si>
  <si>
    <t xml:space="preserve">1. Chi phí sản xuất, kinh doanh dở dang dài hạn </t>
  </si>
  <si>
    <t>2. Chi phí xây dựng cơ bản dở dang</t>
  </si>
  <si>
    <t>V. Đầu tư tài chính dài hạn (250 = 251 + …+ 255)</t>
  </si>
  <si>
    <t xml:space="preserve">  1. Đầu tư vào công ty con </t>
  </si>
  <si>
    <t xml:space="preserve">  2. Đầu tư vào công ty liên kết, liên doanh</t>
  </si>
  <si>
    <t>3. Đầu tư khác vào đơn vị khác</t>
  </si>
  <si>
    <t>4. Dự phòng đầu tư tài chính dài hạn (*)</t>
  </si>
  <si>
    <t>5. Đầu tư nắm giữ đến ngày đáo hạn</t>
  </si>
  <si>
    <t>V. Tài sản dài hạn khác (260 = 261 + 262 + 263 + 268)</t>
  </si>
  <si>
    <t xml:space="preserve">  1. Chi phí trả trước dài hạn</t>
  </si>
  <si>
    <t xml:space="preserve">  2. Tài sản thuế thu nhập hoãn lại</t>
  </si>
  <si>
    <t>3. Thiết bị, vật tư, phụ tùng thay thế dài hạn</t>
  </si>
  <si>
    <t>4. Tài sản dài hạn khác</t>
  </si>
  <si>
    <t>5. Lợi thế thương mại</t>
  </si>
  <si>
    <t>TỔNG CỘNG TÀI SẢN (270 = 100 + 200)</t>
  </si>
  <si>
    <t>C - NỢ PHẢI TRẢ (300= 310 + 330)</t>
  </si>
  <si>
    <t>I. Nợ ngắn hạn</t>
  </si>
  <si>
    <t>1. Phải trả người bán ngắn hạn</t>
  </si>
  <si>
    <t>2. Người mua trả tiền trước ngắn hạn</t>
  </si>
  <si>
    <t>3. Thuế và các khoản phải nộp Nhà nước</t>
  </si>
  <si>
    <t>4. Phải trả người lao động</t>
  </si>
  <si>
    <t>5. Chi phí phải trả ngắn hạn</t>
  </si>
  <si>
    <t>6. Phải trả nội bộ ngắn hạn</t>
  </si>
  <si>
    <t>7. Phải trả theo tiến độ kế hoạch hợp đồng xây dựng</t>
  </si>
  <si>
    <t xml:space="preserve">8. Doanh thu chưa thực hiện ngắn hạn </t>
  </si>
  <si>
    <t>9. Phải trả ngắn hạn khác</t>
  </si>
  <si>
    <t>10. Vay và nợ thuê tài chính ngắn hạn</t>
  </si>
  <si>
    <t xml:space="preserve">11. Dự phòng phải trả ngắn hạn </t>
  </si>
  <si>
    <t xml:space="preserve">12. Quỹ khen thưởng, phúc lợi </t>
  </si>
  <si>
    <t>13. Quỹ bình ổn giá</t>
  </si>
  <si>
    <t>14. Giao dịch mua bán lại trái phiếu Chính phủ</t>
  </si>
  <si>
    <t>II. Nợ dài hạn</t>
  </si>
  <si>
    <t>1. Phải trả người bán dài hạn</t>
  </si>
  <si>
    <t>2. Người mua trả tiền trước dài hạn</t>
  </si>
  <si>
    <t>3. Chi phí phải trả dài hạn</t>
  </si>
  <si>
    <t>4. Phải trả nội bộ về vốn kinh doanh</t>
  </si>
  <si>
    <t>5. Phải trả nội bộ dài hạn</t>
  </si>
  <si>
    <t xml:space="preserve">6. Doanh thu chưa thực hiện dài hạn </t>
  </si>
  <si>
    <t>7. Phải trả dài hạn khác</t>
  </si>
  <si>
    <t xml:space="preserve">8. Vay và nợ thuê tài chính dài hạn </t>
  </si>
  <si>
    <t>9. Trái phiếu chuyển đổi</t>
  </si>
  <si>
    <t>10. Cổ phiếu ưu đãi</t>
  </si>
  <si>
    <t xml:space="preserve">11. Thuế thu nhập hoãn lại phải trả </t>
  </si>
  <si>
    <t xml:space="preserve">12. Dự phòng phải trả dài hạn </t>
  </si>
  <si>
    <t>13. Quỹ phát triển khoa học và công nghệ</t>
  </si>
  <si>
    <t>D - VỐN CHỦ SỞ HỮU (400=410+430)</t>
  </si>
  <si>
    <t>I. Vốn chủ sở hữu</t>
  </si>
  <si>
    <t>1. Vốn góp của chủ sở hữu (411 = 411a + 411b)</t>
  </si>
  <si>
    <t>411a</t>
  </si>
  <si>
    <t xml:space="preserve"> - Cổ phiếu phổ thông có quyền biểu quyết</t>
  </si>
  <si>
    <t>411b</t>
  </si>
  <si>
    <t xml:space="preserve"> - Cổ phiếu ưu đãi</t>
  </si>
  <si>
    <t>2. Thặng dư vốn cổ phần</t>
  </si>
  <si>
    <t>3. Quyền chọn chuyển đổi trái phiếu</t>
  </si>
  <si>
    <t xml:space="preserve">4. Vốn khác của chủ sở hữu </t>
  </si>
  <si>
    <t>5. Cổ phiếu quỹ (*)</t>
  </si>
  <si>
    <t>6. Chênh lệch đánh giá lại tài sản</t>
  </si>
  <si>
    <t>7. Chênh lệch tỷ giá hối đoái</t>
  </si>
  <si>
    <t>8. Quỹ đầu tư phát triển</t>
  </si>
  <si>
    <t>9. Quỹ hỗ trợ sắp xếp doanh nghiệp</t>
  </si>
  <si>
    <t>10. Quỹ khác thuộc vốn chủ sở hữu</t>
  </si>
  <si>
    <t>11. Lợi nhuận sau thuế chưa phân phối (421 =421a + 421b)</t>
  </si>
  <si>
    <t>421a</t>
  </si>
  <si>
    <t xml:space="preserve"> - LNST chưa phân phối lũy kế đến cuối kỳ trước</t>
  </si>
  <si>
    <t>421b</t>
  </si>
  <si>
    <t xml:space="preserve"> - LNST chưa phân phối kỳ này</t>
  </si>
  <si>
    <t>Lợi ích cổ động không kiểm soát</t>
  </si>
  <si>
    <t>II. Nguồn kinh phí và quỹ khác</t>
  </si>
  <si>
    <t>1. Nguồn kinh phí</t>
  </si>
  <si>
    <t>2. Nguồn kinh phí đó hình thành TSCĐ</t>
  </si>
  <si>
    <t>TỔNG CỘNG NGUỒN VỐN (440 = 300 + 400)</t>
  </si>
  <si>
    <t>1. Revenues from sales and services rendered</t>
  </si>
  <si>
    <t>01</t>
  </si>
  <si>
    <t>Total Revenue</t>
  </si>
  <si>
    <t>02</t>
  </si>
  <si>
    <t>2. Revenue deductions</t>
  </si>
  <si>
    <t>10</t>
  </si>
  <si>
    <t xml:space="preserve">3. Net revenues from sales and services rendered </t>
  </si>
  <si>
    <t>11</t>
  </si>
  <si>
    <t>4. Costs of goods sold</t>
  </si>
  <si>
    <t>20</t>
  </si>
  <si>
    <t xml:space="preserve">5. Gross revenues from sales and services rendered </t>
  </si>
  <si>
    <t>21</t>
  </si>
  <si>
    <t>6. Financial Income</t>
  </si>
  <si>
    <t>22</t>
  </si>
  <si>
    <t>7. Financial Expenses</t>
  </si>
  <si>
    <t>23</t>
  </si>
  <si>
    <t>In Which: Interest expenses</t>
  </si>
  <si>
    <t>Lãi lỗ trong cty liên doanh liên kết</t>
  </si>
  <si>
    <t>25</t>
  </si>
  <si>
    <t>8. Selling Expenses</t>
  </si>
  <si>
    <t>26</t>
  </si>
  <si>
    <t>9. General administration expenses</t>
  </si>
  <si>
    <t>30</t>
  </si>
  <si>
    <t>10. Net profits from operating activities</t>
  </si>
  <si>
    <t>31</t>
  </si>
  <si>
    <t>11. Other Income</t>
  </si>
  <si>
    <t>32</t>
  </si>
  <si>
    <t>12. Other Expenses</t>
  </si>
  <si>
    <t>40</t>
  </si>
  <si>
    <t>13. Other profits</t>
  </si>
  <si>
    <t>50</t>
  </si>
  <si>
    <t xml:space="preserve">14. Total net profit before tax </t>
  </si>
  <si>
    <t>51</t>
  </si>
  <si>
    <t>15. Current corporate income tax expenses</t>
  </si>
  <si>
    <t>52</t>
  </si>
  <si>
    <t>16. Deferred corporate income tax expenses</t>
  </si>
  <si>
    <t>=- Payable Deferred Income Tax</t>
  </si>
  <si>
    <t>=- Receivable Deferred Income Tax</t>
  </si>
  <si>
    <t>60</t>
  </si>
  <si>
    <t>17. Profits after enterprise income tax</t>
  </si>
  <si>
    <t>18. Basic earnings per share (*)</t>
  </si>
  <si>
    <t>19. Diluted earnings per share (*)</t>
  </si>
  <si>
    <t>KẾT QUẢ HOẠT ĐỘNG KINH DOANH</t>
  </si>
  <si>
    <t>1. Doanh thu bán hàng và cung cấp dịch vụ</t>
  </si>
  <si>
    <t>2. Các khoản giảm trừ doanh thu</t>
  </si>
  <si>
    <t>3. Doanh thu thuần về bán hàng và cung cấp dịch vụ (10=01-02)</t>
  </si>
  <si>
    <t>4. Giá vốn hàng bán</t>
  </si>
  <si>
    <t>5. Lợi nhuận gộp về bán hàng và cung cấp dịch vụ (20 = 10 - 11)</t>
  </si>
  <si>
    <t>Gross profit</t>
  </si>
  <si>
    <t>6. Doanh thu hoạt động tài chính</t>
  </si>
  <si>
    <t>7. Chi phí tài chính</t>
  </si>
  <si>
    <t xml:space="preserve">  - Trong đó: Chi phí lãi vay </t>
  </si>
  <si>
    <t>Lãi trong công ty liên kết</t>
  </si>
  <si>
    <t>8. Chi phí bán hàng</t>
  </si>
  <si>
    <t xml:space="preserve">9. Chi phí quản lý doanh nghiệp      </t>
  </si>
  <si>
    <t>10 Lợi nhuận thuần từ hoạt động kinh doanh {30 = 20 + (21 - 22) - (24 + 25)}</t>
  </si>
  <si>
    <t>11. Thu nhập khác</t>
  </si>
  <si>
    <t>12. Chi phí khác</t>
  </si>
  <si>
    <t>13. Lợi nhuận khác (40 = 31 - 32)</t>
  </si>
  <si>
    <t>14. Tổng lợi nhuận kế toán trước thuế (50 = 30 + 40)</t>
  </si>
  <si>
    <t>15. Chi phí thuế TNDN hiện hành</t>
  </si>
  <si>
    <t>16. Chi phí thuế TNDN hoãn lại</t>
  </si>
  <si>
    <t>17. Lợi nhuận sau thuế thu nhập doanh nghiệp (60 = 50 – 51 - 52)</t>
  </si>
  <si>
    <t>lợi nhuận cty mẹ</t>
  </si>
  <si>
    <t>lợi ích cổ đông không kiểm soát</t>
  </si>
  <si>
    <t>70</t>
  </si>
  <si>
    <t>18. Lãi cơ bản trên cổ phiếu (*)</t>
  </si>
  <si>
    <t>71</t>
  </si>
  <si>
    <t>19. Lãi suy giảm trên cổ phiếu</t>
  </si>
  <si>
    <t>I. CASH FLOWS FROM OPERATING ACTIVITIES</t>
  </si>
  <si>
    <t>Net profit (loss) before tax</t>
  </si>
  <si>
    <t>Adjustments for:</t>
  </si>
  <si>
    <t>Depreciation and amortisation</t>
  </si>
  <si>
    <t>Provisions</t>
  </si>
  <si>
    <t>(Profits) losses from investing activities</t>
  </si>
  <si>
    <t>(Lãi) lỗ từ mua công ty con</t>
  </si>
  <si>
    <t>(Lãi) lỗ từ thanh lý khoản đầu tư dài hạn khác</t>
  </si>
  <si>
    <t>Phân bổ lợi thế thương mại</t>
  </si>
  <si>
    <t>Cổ tức nhận từ công ty liên doanh, liên kết</t>
  </si>
  <si>
    <t>(Lãi) lỗ từ thanh lý tài sản cố định</t>
  </si>
  <si>
    <t>Lãi tiền gửi</t>
  </si>
  <si>
    <t>Lãi cổ tức</t>
  </si>
  <si>
    <t>Interest expense</t>
  </si>
  <si>
    <t>Other adjustments</t>
  </si>
  <si>
    <t>Operating income (loss) before changes in working capital</t>
  </si>
  <si>
    <t>(Increase) decrease in receivables</t>
  </si>
  <si>
    <t>(Increase) decrease in inventories</t>
  </si>
  <si>
    <t>Increase (decrease) in payables</t>
  </si>
  <si>
    <t>(Increase) decrease in prepaid expenses</t>
  </si>
  <si>
    <t>(Increase) decrease in trading securities</t>
  </si>
  <si>
    <t>Interest paid</t>
  </si>
  <si>
    <t>Enterprise income tax paid</t>
  </si>
  <si>
    <t>Other cash inflows from operating activities</t>
  </si>
  <si>
    <t>Other cash outflows from operating activities</t>
  </si>
  <si>
    <t>Net cash flows from (used in) operating activities</t>
  </si>
  <si>
    <t>II.  CASH FLOWS FROM INVESTING  ACTIVITIES</t>
  </si>
  <si>
    <t>Purchase and construction of fixed assets and other long-term assets</t>
  </si>
  <si>
    <t>Proceeds from disposals of fixed assets and other long-term assets</t>
  </si>
  <si>
    <t>Loans to other entities and payments for purchase of debt instruments of other entities</t>
  </si>
  <si>
    <t>Collections from borrowers and proceeds from sale of debt instruments of other entities</t>
  </si>
  <si>
    <t>Payments for investments in other entities</t>
  </si>
  <si>
    <t>Proceeds from sale of investments in other entities</t>
  </si>
  <si>
    <t>Interest and dividends received</t>
  </si>
  <si>
    <t>Net cash flows from (used in) investing activities</t>
  </si>
  <si>
    <t xml:space="preserve">III. CASH FLOWS FROM FINANCING  ACTIVITIES </t>
  </si>
  <si>
    <t>Capital contribution and issuance of shares</t>
  </si>
  <si>
    <t>Capital redemption</t>
  </si>
  <si>
    <t>Borrowings received</t>
  </si>
  <si>
    <t>Borrowings repaid</t>
  </si>
  <si>
    <t>Finance lease principal paid</t>
  </si>
  <si>
    <t>Dividends paid</t>
  </si>
  <si>
    <t>CF</t>
  </si>
  <si>
    <t>cash begin</t>
  </si>
  <si>
    <t>cash end</t>
  </si>
  <si>
    <t>BÁO CÁO LƯU CHUYỂN TIỀN TỆ (Gián tiếp)</t>
  </si>
  <si>
    <t>I. Lưu chuyển tiền từ hoạt động kinh doanh</t>
  </si>
  <si>
    <t>1. Lợi nhuận trước thuế</t>
  </si>
  <si>
    <t>2. Điều chỉnh cho các khoản</t>
  </si>
  <si>
    <t xml:space="preserve">    - Khấu hao TSCĐ và BĐSĐT</t>
  </si>
  <si>
    <t>03</t>
  </si>
  <si>
    <t xml:space="preserve">    - Các khoản dự phòng</t>
  </si>
  <si>
    <t>04</t>
  </si>
  <si>
    <t xml:space="preserve">    - Lãi, lỗ chênh lệch tỷ giá hối đoái do đánh giá lại các khoản mục tiền tệ có gốc ngoại tệ</t>
  </si>
  <si>
    <t>05</t>
  </si>
  <si>
    <t xml:space="preserve">    - Lãi, lỗ từ hoạt động đầu tư</t>
  </si>
  <si>
    <t>06</t>
  </si>
  <si>
    <t xml:space="preserve">    - Chi phí lãi vay </t>
  </si>
  <si>
    <t>07</t>
  </si>
  <si>
    <t xml:space="preserve">- Các khoản điều chỉnh khác </t>
  </si>
  <si>
    <t>08</t>
  </si>
  <si>
    <t>3. Lợi nhuận từ hoạt động kinh doanh trước thay đổi vốn  lưu động</t>
  </si>
  <si>
    <t>09</t>
  </si>
  <si>
    <t xml:space="preserve">    - Tăng, giảm các khoản phải thu</t>
  </si>
  <si>
    <t xml:space="preserve">    - Tăng, giảm hàng tồn kho</t>
  </si>
  <si>
    <t xml:space="preserve">    - Tăng, giảm các khoản phải trả (Không kể lãi vay phải trả, thuế thu nhập doanh nghiệp phải nộp)</t>
  </si>
  <si>
    <t xml:space="preserve">    - Tăng, giảm chi phí trả trước </t>
  </si>
  <si>
    <t xml:space="preserve">    - Tăng, giảm chứng khoán kinh doanh</t>
  </si>
  <si>
    <t xml:space="preserve">    - Tiền lãi vay đã trả</t>
  </si>
  <si>
    <t xml:space="preserve">    - Thuế thu nhập doanh nghiệp đã nộp</t>
  </si>
  <si>
    <t xml:space="preserve">    - Tiền thu khác từ hoạt động kinh doanh</t>
  </si>
  <si>
    <t xml:space="preserve">    - Tiền chi khác cho hoạt động kinh doanh</t>
  </si>
  <si>
    <t>Lưu chuyển tiền thuần từ hoạt động kinh doanh</t>
  </si>
  <si>
    <t>II. Lưu chuyển tiền từ hoạt động đầu tư</t>
  </si>
  <si>
    <t>1.Tiền chi để mua sắm, xây dựng TSCĐ và các tài sản dài hạn khác</t>
  </si>
  <si>
    <t>2.Tiền thu từ thanh lý, nhượng bán TSCĐ và các tài sản dài hạn khác</t>
  </si>
  <si>
    <t>3.Tiền chi cho vay, mua các công cụ nợ của đơn vị khác</t>
  </si>
  <si>
    <t>4.Tiền thu hồi cho vay, bán lại các công cụ nợ của đơn vị khác</t>
  </si>
  <si>
    <t>5.Tiền chi đầu tư góp vốn vào đơn vị khác</t>
  </si>
  <si>
    <t>6.Tiền thu hồi đầu tư góp vốn vào đơn vị khác</t>
  </si>
  <si>
    <t>7.Tiền thu lãi cho vay, cổ tức và lợi nhuận được chia</t>
  </si>
  <si>
    <t>Lưu chuyển tiền thuần từ hoạt động đầu tư</t>
  </si>
  <si>
    <t>III. Lưu chuyển tiền từ hoạt động tài chính</t>
  </si>
  <si>
    <t>1.Tiền thu từ phát hành cổ phiếu, nhận vốn góp của chủ sở hữu</t>
  </si>
  <si>
    <t>2.Tiền chi trả vốn góp cho các chủ sở hữu, mua lại cổ phiếu của doanh nghiệp đã phát hành</t>
  </si>
  <si>
    <t>3.Tiền thu từ đi vay</t>
  </si>
  <si>
    <t>4.Tiền trả nợ gốc vay</t>
  </si>
  <si>
    <t>5.Tiền trả nợ gốc thuê tài chính</t>
  </si>
  <si>
    <t>6. Cổ tức, lợi nhuận đã trả cho chủ sở hữu</t>
  </si>
  <si>
    <t>Lưu chuyển tiền thuần từ hoạt động tài chính</t>
  </si>
  <si>
    <t>Lưu chuyển tiền thuần trong kỳ (50=20+30+40)</t>
  </si>
  <si>
    <t>Tiền và tương đương tiền đầu kỳ</t>
  </si>
  <si>
    <t>Ảnh hưởng của thay đổi tỷ giá hối đoái quy đổi ngoại tệ</t>
  </si>
  <si>
    <t>Tiền và tương đương tiền cuối kỳ (70=50+60+61)</t>
  </si>
  <si>
    <t>BÁO CÁO LƯU CHUYỂN TIỀN TỆ (Trực tiếp)</t>
  </si>
  <si>
    <t>1. Tiền thu từ bán hàng, cung cấp dịch vụ và doanh thu khác</t>
  </si>
  <si>
    <t>2. Tiền chi trả cho người cung cấp hàng hóa và dịch vụ</t>
  </si>
  <si>
    <t>3. Tiền chi trả cho người lao động</t>
  </si>
  <si>
    <t>4. Tiền lãi vay đã trả</t>
  </si>
  <si>
    <t>5. Thuế thu nhập doanh nghiệp đã nộp</t>
  </si>
  <si>
    <t>6. Tiền thu khác từ hoạt động kinh doanh</t>
  </si>
  <si>
    <t>7. Tiền chi khác cho hoạt động kinh doanh</t>
  </si>
  <si>
    <t>1. Tiền thu từ phát hành cổ phiếu, nhận vốn góp của chủ sở hữu</t>
  </si>
  <si>
    <t xml:space="preserve">2. Tiền trả lại vốn góp cho các chủ sở hữu, mua lại cổ phiếu  của doanh nghiệp đã phát hành   </t>
  </si>
  <si>
    <t>3. Tiền thu từ đi vay</t>
  </si>
  <si>
    <t>4. Tiền trả nợ gốc vay</t>
  </si>
  <si>
    <t>5. Tiền trả nợ gốc thuê tài chính</t>
  </si>
  <si>
    <t>Lưu chuyển tiền thuần trong kỳ (50 = 20+30+40)</t>
  </si>
  <si>
    <t>Tiền và tương đương tiền cuối kỳ (70 = 50+60+61)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</si>
</sst>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43" formatCode="_(* #,##0.00_);_(* \(#,##0.00\);_(* &quot;-&quot;??_);_(@_)"/>
    <numFmt numFmtId="164" formatCode="#,##0.0;[Red]\(#,##0.0\)"/>
    <numFmt numFmtId="165" formatCode="#,##0;\(#,##0\)"/>
    <numFmt numFmtId="166" formatCode="0_ ;\-0\ "/>
    <numFmt numFmtId="167" formatCode="#,##0;[Red]\(#,##0\)"/>
    <numFmt numFmtId="168" formatCode="_-* #,##0.0_-;\-* #,##0.0_-;_-* &quot;-&quot;??_-;_-@_-"/>
    <numFmt numFmtId="169" formatCode="#,##0.0;\(#,##0.0\)"/>
    <numFmt numFmtId="170" formatCode="_(* #,##0_);_(* \(#,##0\);_(* &quot;-&quot;??_);_(@_)"/>
    <numFmt numFmtId="171" formatCode="#,##0.0_);[Red]\(#,##0.0\)"/>
    <numFmt numFmtId="172" formatCode="#,##0.000000;\(#,##0.000000\)"/>
    <numFmt numFmtId="173" formatCode="0.0%"/>
    <numFmt numFmtId="174" formatCode="#,##0.00;\(#,##0.00\)"/>
    <numFmt numFmtId="175" formatCode="_-* #,##0.00_-;\-* #,##0.00_-;_-* &quot;-&quot;??_-;_-@_-"/>
  </numFmts>
  <fonts count="76">
    <font>
      <sz val="11"/>
      <color theme="1"/>
      <name val="Calibri"/>
      <family val="2"/>
      <scheme val="minor"/>
    </font>
    <font>
      <sz val="10"/>
      <color theme="1"/>
      <name val="Lato"/>
      <family val="2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17"/>
      <name val="Calibri"/>
      <family val="2"/>
    </font>
    <font>
      <sz val="10"/>
      <name val="Arial"/>
      <family val="2"/>
    </font>
    <font>
      <i/>
      <sz val="10"/>
      <name val="Arial"/>
      <family val="2"/>
    </font>
    <font>
      <b/>
      <sz val="9"/>
      <color rgb="FFFFFFFF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Microsoft Sans Serif"/>
      <family val="2"/>
    </font>
    <font>
      <b/>
      <i/>
      <sz val="10"/>
      <name val="Arial"/>
      <family val="2"/>
    </font>
    <font>
      <b/>
      <i/>
      <sz val="10"/>
      <color theme="1"/>
      <name val="Arial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8"/>
      <name val="Verdana"/>
      <family val="2"/>
    </font>
    <font>
      <b/>
      <sz val="18"/>
      <name val="Arial"/>
      <family val="2"/>
    </font>
    <font>
      <b/>
      <sz val="18"/>
      <color rgb="FFFF0000"/>
      <name val="Arial"/>
      <family val="2"/>
    </font>
    <font>
      <sz val="10"/>
      <color rgb="FFFF0000"/>
      <name val="Arial"/>
      <family val="2"/>
    </font>
    <font>
      <b/>
      <sz val="11"/>
      <color theme="0"/>
      <name val="Arial"/>
      <family val="2"/>
    </font>
    <font>
      <i/>
      <sz val="8"/>
      <name val="Arial"/>
      <family val="2"/>
    </font>
    <font>
      <sz val="8"/>
      <color indexed="63"/>
      <name val="Arial"/>
      <family val="2"/>
    </font>
    <font>
      <i/>
      <sz val="10"/>
      <color theme="1"/>
      <name val="Arial"/>
      <family val="2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i/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indexed="8"/>
      <name val="Calibri"/>
      <family val="1"/>
      <scheme val="minor"/>
    </font>
    <font>
      <b/>
      <i/>
      <sz val="2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4"/>
      <color indexed="8"/>
      <name val="Calibri"/>
      <family val="1"/>
      <scheme val="minor"/>
    </font>
    <font>
      <b/>
      <sz val="11"/>
      <color theme="1"/>
      <name val="Calibri Light"/>
      <family val="1"/>
      <scheme val="major"/>
    </font>
    <font>
      <sz val="11"/>
      <color theme="1"/>
      <name val="Calibri Light"/>
      <family val="1"/>
      <scheme val="major"/>
    </font>
    <font>
      <sz val="11"/>
      <name val="Calibri Light"/>
      <family val="1"/>
      <scheme val="major"/>
    </font>
    <font>
      <i/>
      <sz val="11"/>
      <name val="Calibri Light"/>
      <family val="1"/>
      <scheme val="major"/>
    </font>
    <font>
      <sz val="11"/>
      <color rgb="FF000000"/>
      <name val="Calibri Light"/>
      <family val="1"/>
      <scheme val="major"/>
    </font>
    <font>
      <b/>
      <i/>
      <sz val="14"/>
      <color indexed="8"/>
      <name val="Calibri"/>
      <family val="1"/>
      <scheme val="minor"/>
    </font>
    <font>
      <b/>
      <sz val="14"/>
      <color indexed="8"/>
      <name val="Calibri"/>
      <family val="2"/>
      <scheme val="minor"/>
    </font>
    <font>
      <i/>
      <sz val="11"/>
      <color indexed="8"/>
      <name val="Calibri"/>
      <family val="1"/>
      <scheme val="minor"/>
    </font>
    <font>
      <i/>
      <sz val="11"/>
      <color theme="1"/>
      <name val="Calibri Light"/>
      <family val="1"/>
      <scheme val="major"/>
    </font>
    <font>
      <sz val="11"/>
      <color theme="1"/>
      <name val="Calibri"/>
      <family val="2"/>
      <charset val="163"/>
      <scheme val="minor"/>
    </font>
    <font>
      <b/>
      <sz val="11"/>
      <color rgb="FF000000"/>
      <name val="Calibri"/>
      <family val="2"/>
      <charset val="163"/>
      <scheme val="minor"/>
    </font>
    <font>
      <b/>
      <sz val="11"/>
      <color theme="1"/>
      <name val="Calibri"/>
      <family val="2"/>
      <charset val="163"/>
      <scheme val="minor"/>
    </font>
    <font>
      <b/>
      <sz val="11"/>
      <color indexed="17"/>
      <name val="Calibri"/>
      <family val="2"/>
    </font>
    <font>
      <b/>
      <sz val="11"/>
      <color indexed="8"/>
      <name val="Calibri"/>
      <family val="2"/>
      <charset val="163"/>
      <scheme val="minor"/>
    </font>
    <font>
      <b/>
      <sz val="10"/>
      <name val="Arial"/>
      <family val="2"/>
      <charset val="163"/>
    </font>
    <font>
      <sz val="10"/>
      <name val="Arial"/>
      <family val="2"/>
      <charset val="163"/>
    </font>
    <font>
      <b/>
      <i/>
      <sz val="10"/>
      <name val="Arial"/>
      <family val="2"/>
      <charset val="163"/>
    </font>
    <font>
      <i/>
      <sz val="10"/>
      <name val="Arial"/>
      <family val="2"/>
      <charset val="163"/>
    </font>
    <font>
      <sz val="10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444444"/>
      <name val="Calibri"/>
      <family val="2"/>
      <charset val="1"/>
    </font>
    <font>
      <sz val="10"/>
      <color theme="1"/>
      <name val="Arial"/>
      <family val="2"/>
    </font>
    <font>
      <sz val="11"/>
      <name val="Calibri Light"/>
      <family val="2"/>
      <scheme val="major"/>
    </font>
    <font>
      <sz val="11"/>
      <color theme="1"/>
      <name val="Calibri Light"/>
      <family val="2"/>
      <scheme val="major"/>
    </font>
    <font>
      <b/>
      <sz val="10"/>
      <name val="Lato"/>
      <family val="2"/>
    </font>
    <font>
      <sz val="10"/>
      <name val="Lato"/>
      <family val="2"/>
    </font>
    <font>
      <b/>
      <sz val="10"/>
      <color rgb="FFFF0000"/>
      <name val="Lato"/>
      <family val="2"/>
    </font>
    <font>
      <sz val="10"/>
      <color rgb="FFFF0000"/>
      <name val="Lato"/>
      <family val="2"/>
    </font>
    <font>
      <b/>
      <sz val="10"/>
      <color theme="0"/>
      <name val="Lato"/>
      <family val="2"/>
    </font>
    <font>
      <i/>
      <sz val="10"/>
      <name val="Lato"/>
      <family val="2"/>
    </font>
    <font>
      <b/>
      <i/>
      <sz val="10"/>
      <name val="Lato"/>
      <family val="2"/>
    </font>
    <font>
      <i/>
      <sz val="10"/>
      <color theme="1"/>
      <name val="Lato"/>
      <family val="2"/>
    </font>
    <font>
      <b/>
      <sz val="10"/>
      <color theme="1"/>
      <name val="Lato"/>
      <family val="2"/>
    </font>
    <font>
      <sz val="10"/>
      <color indexed="63"/>
      <name val="Lato"/>
      <family val="2"/>
    </font>
    <font>
      <b/>
      <i/>
      <sz val="20"/>
      <color theme="1"/>
      <name val="Cambria"/>
      <family val="1"/>
    </font>
    <font>
      <sz val="11"/>
      <color theme="1"/>
      <name val="Cambria"/>
      <family val="1"/>
    </font>
    <font>
      <b/>
      <sz val="11"/>
      <color theme="1"/>
      <name val="Cambria"/>
      <family val="1"/>
    </font>
    <font>
      <b/>
      <i/>
      <sz val="11"/>
      <color theme="1"/>
      <name val="Cambria"/>
      <family val="1"/>
    </font>
  </fonts>
  <fills count="20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3366FF"/>
        <bgColor rgb="FF000000"/>
      </patternFill>
    </fill>
    <fill>
      <patternFill patternType="solid">
        <fgColor rgb="FF808080"/>
        <bgColor rgb="FF000000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ABC4EA"/>
        <bgColor rgb="FF000000"/>
      </patternFill>
    </fill>
    <fill>
      <patternFill patternType="solid">
        <fgColor rgb="FFFFC000"/>
        <bgColor indexed="64"/>
      </patternFill>
    </fill>
  </fills>
  <borders count="3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9">
    <xf numFmtId="0" fontId="0" fillId="0" borderId="0"/>
    <xf numFmtId="0" fontId="4" fillId="3" borderId="1"/>
    <xf numFmtId="0" fontId="5" fillId="4" borderId="2"/>
    <xf numFmtId="0" fontId="6" fillId="4" borderId="1"/>
    <xf numFmtId="0" fontId="10" fillId="0" borderId="0">
      <alignment vertical="top"/>
    </xf>
    <xf numFmtId="0" fontId="11" fillId="0" borderId="0"/>
    <xf numFmtId="0" fontId="13" fillId="11" borderId="0">
      <alignment horizontal="right" vertical="center"/>
    </xf>
    <xf numFmtId="0" fontId="14" fillId="12" borderId="0">
      <alignment horizontal="left"/>
    </xf>
    <xf numFmtId="175" fontId="3" fillId="0" borderId="0"/>
    <xf numFmtId="0" fontId="11" fillId="0" borderId="0"/>
    <xf numFmtId="0" fontId="16" fillId="0" borderId="0">
      <alignment vertical="top"/>
    </xf>
    <xf numFmtId="43" fontId="11" fillId="0" borderId="0"/>
    <xf numFmtId="0" fontId="19" fillId="0" borderId="0"/>
    <xf numFmtId="0" fontId="20" fillId="2" borderId="0"/>
    <xf numFmtId="0" fontId="9" fillId="5" borderId="0"/>
    <xf numFmtId="0" fontId="9" fillId="6" borderId="0"/>
    <xf numFmtId="0" fontId="9" fillId="7" borderId="0"/>
    <xf numFmtId="0" fontId="9" fillId="8" borderId="0"/>
    <xf numFmtId="0" fontId="9" fillId="9" borderId="0"/>
    <xf numFmtId="0" fontId="9" fillId="10" borderId="0"/>
    <xf numFmtId="0" fontId="21" fillId="0" borderId="0">
      <alignment vertical="top"/>
    </xf>
    <xf numFmtId="0" fontId="21" fillId="0" borderId="0">
      <alignment vertical="top"/>
    </xf>
    <xf numFmtId="0" fontId="21" fillId="0" borderId="0">
      <alignment vertical="top"/>
    </xf>
    <xf numFmtId="0" fontId="21" fillId="0" borderId="0">
      <alignment vertical="top"/>
    </xf>
    <xf numFmtId="0" fontId="21" fillId="0" borderId="0">
      <alignment vertical="top"/>
    </xf>
    <xf numFmtId="43" fontId="3" fillId="0" borderId="0"/>
    <xf numFmtId="9" fontId="3" fillId="0" borderId="0"/>
    <xf numFmtId="0" fontId="2" fillId="6" borderId="0"/>
    <xf numFmtId="0" fontId="11" fillId="0" borderId="0"/>
  </cellStyleXfs>
  <cellXfs count="315">
    <xf numFmtId="0" fontId="0" fillId="0" borderId="0" xfId="0"/>
    <xf numFmtId="0" fontId="0" fillId="0" borderId="3" xfId="0" applyBorder="1"/>
    <xf numFmtId="0" fontId="0" fillId="0" borderId="3" xfId="0" quotePrefix="1" applyBorder="1"/>
    <xf numFmtId="0" fontId="0" fillId="0" borderId="0" xfId="0" applyAlignment="1">
      <alignment wrapText="1"/>
    </xf>
    <xf numFmtId="0" fontId="8" fillId="0" borderId="0" xfId="0" applyFont="1" applyAlignment="1">
      <alignment wrapText="1"/>
    </xf>
    <xf numFmtId="0" fontId="15" fillId="0" borderId="4" xfId="5" applyFont="1" applyBorder="1" applyAlignment="1">
      <alignment horizontal="left"/>
    </xf>
    <xf numFmtId="0" fontId="17" fillId="0" borderId="4" xfId="5" applyFont="1" applyBorder="1" applyAlignment="1">
      <alignment horizontal="left"/>
    </xf>
    <xf numFmtId="0" fontId="11" fillId="0" borderId="4" xfId="5" applyBorder="1" applyAlignment="1">
      <alignment horizontal="left"/>
    </xf>
    <xf numFmtId="0" fontId="12" fillId="0" borderId="5" xfId="5" applyFont="1" applyBorder="1"/>
    <xf numFmtId="0" fontId="15" fillId="0" borderId="0" xfId="5" applyFont="1" applyAlignment="1">
      <alignment horizontal="left"/>
    </xf>
    <xf numFmtId="0" fontId="17" fillId="0" borderId="0" xfId="5" applyFont="1" applyAlignment="1">
      <alignment horizontal="left"/>
    </xf>
    <xf numFmtId="0" fontId="11" fillId="0" borderId="0" xfId="5" applyAlignment="1">
      <alignment horizontal="left"/>
    </xf>
    <xf numFmtId="0" fontId="15" fillId="0" borderId="5" xfId="5" applyFont="1" applyBorder="1" applyAlignment="1">
      <alignment horizontal="left"/>
    </xf>
    <xf numFmtId="0" fontId="18" fillId="0" borderId="4" xfId="0" applyFont="1" applyBorder="1" applyAlignment="1">
      <alignment horizontal="left"/>
    </xf>
    <xf numFmtId="0" fontId="12" fillId="0" borderId="4" xfId="5" quotePrefix="1" applyFont="1" applyBorder="1" applyAlignment="1">
      <alignment horizontal="left"/>
    </xf>
    <xf numFmtId="0" fontId="15" fillId="0" borderId="5" xfId="5" applyFont="1" applyBorder="1"/>
    <xf numFmtId="0" fontId="8" fillId="0" borderId="0" xfId="0" applyFont="1"/>
    <xf numFmtId="0" fontId="17" fillId="0" borderId="5" xfId="5" applyFont="1" applyBorder="1"/>
    <xf numFmtId="0" fontId="24" fillId="0" borderId="0" xfId="0" applyFont="1"/>
    <xf numFmtId="0" fontId="15" fillId="0" borderId="0" xfId="0" applyFont="1"/>
    <xf numFmtId="3" fontId="0" fillId="0" borderId="0" xfId="0" applyNumberFormat="1"/>
    <xf numFmtId="0" fontId="15" fillId="0" borderId="0" xfId="0" applyFont="1" applyAlignment="1">
      <alignment horizontal="left" indent="1"/>
    </xf>
    <xf numFmtId="0" fontId="11" fillId="0" borderId="0" xfId="0" applyFont="1"/>
    <xf numFmtId="0" fontId="12" fillId="0" borderId="0" xfId="0" applyFont="1"/>
    <xf numFmtId="0" fontId="17" fillId="0" borderId="0" xfId="0" applyFont="1"/>
    <xf numFmtId="1" fontId="0" fillId="0" borderId="0" xfId="0" applyNumberFormat="1"/>
    <xf numFmtId="9" fontId="15" fillId="0" borderId="0" xfId="26" applyFont="1"/>
    <xf numFmtId="9" fontId="11" fillId="0" borderId="0" xfId="26" applyFont="1"/>
    <xf numFmtId="0" fontId="28" fillId="0" borderId="4" xfId="0" applyFont="1" applyBorder="1" applyAlignment="1">
      <alignment horizontal="left"/>
    </xf>
    <xf numFmtId="38" fontId="0" fillId="0" borderId="0" xfId="0" applyNumberFormat="1"/>
    <xf numFmtId="4" fontId="11" fillId="0" borderId="0" xfId="25" applyNumberFormat="1" applyFont="1"/>
    <xf numFmtId="0" fontId="29" fillId="0" borderId="0" xfId="0" applyFont="1"/>
    <xf numFmtId="0" fontId="30" fillId="0" borderId="0" xfId="0" applyFont="1"/>
    <xf numFmtId="0" fontId="29" fillId="16" borderId="0" xfId="0" applyFont="1" applyFill="1"/>
    <xf numFmtId="0" fontId="0" fillId="15" borderId="0" xfId="0" applyFill="1"/>
    <xf numFmtId="3" fontId="8" fillId="0" borderId="0" xfId="0" applyNumberFormat="1" applyFont="1"/>
    <xf numFmtId="43" fontId="0" fillId="0" borderId="0" xfId="0" applyNumberFormat="1"/>
    <xf numFmtId="0" fontId="0" fillId="14" borderId="0" xfId="0" applyFill="1"/>
    <xf numFmtId="0" fontId="12" fillId="0" borderId="0" xfId="5" applyFont="1" applyAlignment="1">
      <alignment horizontal="left"/>
    </xf>
    <xf numFmtId="0" fontId="12" fillId="0" borderId="0" xfId="5" applyFont="1"/>
    <xf numFmtId="0" fontId="28" fillId="0" borderId="0" xfId="0" applyFont="1" applyAlignment="1">
      <alignment horizontal="left"/>
    </xf>
    <xf numFmtId="0" fontId="12" fillId="0" borderId="0" xfId="5" quotePrefix="1" applyFont="1" applyAlignment="1">
      <alignment horizontal="left"/>
    </xf>
    <xf numFmtId="0" fontId="10" fillId="0" borderId="8" xfId="4" applyBorder="1" applyAlignment="1"/>
    <xf numFmtId="0" fontId="32" fillId="0" borderId="8" xfId="4" applyFont="1" applyBorder="1" applyAlignment="1"/>
    <xf numFmtId="0" fontId="34" fillId="0" borderId="8" xfId="4" applyFont="1" applyBorder="1" applyAlignment="1"/>
    <xf numFmtId="0" fontId="10" fillId="0" borderId="0" xfId="4" applyAlignment="1"/>
    <xf numFmtId="0" fontId="35" fillId="14" borderId="9" xfId="0" applyFont="1" applyFill="1" applyBorder="1"/>
    <xf numFmtId="0" fontId="36" fillId="18" borderId="11" xfId="0" applyFont="1" applyFill="1" applyBorder="1" applyAlignment="1">
      <alignment horizontal="right"/>
    </xf>
    <xf numFmtId="0" fontId="37" fillId="0" borderId="3" xfId="4" applyFont="1" applyBorder="1" applyAlignment="1">
      <alignment horizontal="center"/>
    </xf>
    <xf numFmtId="0" fontId="37" fillId="0" borderId="3" xfId="4" applyFont="1" applyBorder="1" applyAlignment="1"/>
    <xf numFmtId="0" fontId="32" fillId="0" borderId="3" xfId="4" applyFont="1" applyBorder="1" applyAlignment="1"/>
    <xf numFmtId="0" fontId="10" fillId="0" borderId="3" xfId="4" applyBorder="1" applyAlignment="1"/>
    <xf numFmtId="0" fontId="34" fillId="0" borderId="12" xfId="4" applyFont="1" applyBorder="1" applyAlignment="1"/>
    <xf numFmtId="0" fontId="43" fillId="0" borderId="13" xfId="4" applyFont="1" applyBorder="1" applyAlignment="1"/>
    <xf numFmtId="0" fontId="38" fillId="0" borderId="6" xfId="0" applyFont="1" applyBorder="1"/>
    <xf numFmtId="0" fontId="43" fillId="0" borderId="3" xfId="4" applyFont="1" applyBorder="1" applyAlignment="1"/>
    <xf numFmtId="0" fontId="44" fillId="0" borderId="3" xfId="4" applyFont="1" applyBorder="1" applyAlignment="1"/>
    <xf numFmtId="0" fontId="45" fillId="0" borderId="3" xfId="4" applyFont="1" applyBorder="1" applyAlignment="1"/>
    <xf numFmtId="0" fontId="34" fillId="0" borderId="3" xfId="4" applyFont="1" applyBorder="1" applyAlignment="1"/>
    <xf numFmtId="0" fontId="48" fillId="0" borderId="0" xfId="0" applyFont="1"/>
    <xf numFmtId="0" fontId="49" fillId="0" borderId="0" xfId="0" applyFont="1" applyAlignment="1">
      <alignment wrapText="1"/>
    </xf>
    <xf numFmtId="43" fontId="49" fillId="0" borderId="0" xfId="0" applyNumberFormat="1" applyFont="1"/>
    <xf numFmtId="0" fontId="49" fillId="0" borderId="0" xfId="0" applyFont="1"/>
    <xf numFmtId="0" fontId="50" fillId="0" borderId="8" xfId="4" applyFont="1" applyBorder="1" applyAlignment="1"/>
    <xf numFmtId="43" fontId="8" fillId="0" borderId="0" xfId="0" applyNumberFormat="1" applyFont="1"/>
    <xf numFmtId="0" fontId="51" fillId="0" borderId="8" xfId="4" applyFont="1" applyBorder="1" applyAlignment="1"/>
    <xf numFmtId="0" fontId="49" fillId="0" borderId="3" xfId="0" applyFont="1" applyBorder="1"/>
    <xf numFmtId="3" fontId="49" fillId="0" borderId="0" xfId="0" applyNumberFormat="1" applyFont="1"/>
    <xf numFmtId="0" fontId="54" fillId="0" borderId="15" xfId="0" applyFont="1" applyBorder="1" applyAlignment="1">
      <alignment vertical="top" wrapText="1"/>
    </xf>
    <xf numFmtId="0" fontId="54" fillId="0" borderId="16" xfId="0" applyFont="1" applyBorder="1" applyAlignment="1">
      <alignment vertical="top" wrapText="1"/>
    </xf>
    <xf numFmtId="0" fontId="54" fillId="0" borderId="17" xfId="0" applyFont="1" applyBorder="1" applyAlignment="1">
      <alignment vertical="top" wrapText="1"/>
    </xf>
    <xf numFmtId="0" fontId="55" fillId="0" borderId="15" xfId="0" applyFont="1" applyBorder="1" applyAlignment="1">
      <alignment vertical="top" wrapText="1"/>
    </xf>
    <xf numFmtId="0" fontId="55" fillId="0" borderId="16" xfId="0" applyFont="1" applyBorder="1" applyAlignment="1">
      <alignment vertical="top" wrapText="1"/>
    </xf>
    <xf numFmtId="0" fontId="55" fillId="0" borderId="17" xfId="0" applyFont="1" applyBorder="1" applyAlignment="1">
      <alignment vertical="top" wrapText="1"/>
    </xf>
    <xf numFmtId="0" fontId="53" fillId="0" borderId="15" xfId="0" applyFont="1" applyBorder="1" applyAlignment="1">
      <alignment vertical="top" wrapText="1"/>
    </xf>
    <xf numFmtId="0" fontId="53" fillId="0" borderId="16" xfId="0" applyFont="1" applyBorder="1" applyAlignment="1">
      <alignment vertical="top" wrapText="1"/>
    </xf>
    <xf numFmtId="0" fontId="53" fillId="0" borderId="17" xfId="0" applyFont="1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15" xfId="0" applyBorder="1" applyAlignment="1">
      <alignment wrapText="1"/>
    </xf>
    <xf numFmtId="0" fontId="0" fillId="0" borderId="16" xfId="0" applyBorder="1" applyAlignment="1">
      <alignment wrapText="1"/>
    </xf>
    <xf numFmtId="0" fontId="0" fillId="0" borderId="17" xfId="0" applyBorder="1" applyAlignment="1">
      <alignment wrapText="1"/>
    </xf>
    <xf numFmtId="0" fontId="52" fillId="0" borderId="15" xfId="0" applyFont="1" applyBorder="1" applyAlignment="1">
      <alignment vertical="top" wrapText="1"/>
    </xf>
    <xf numFmtId="0" fontId="52" fillId="0" borderId="16" xfId="0" applyFont="1" applyBorder="1" applyAlignment="1">
      <alignment vertical="top" wrapText="1"/>
    </xf>
    <xf numFmtId="0" fontId="52" fillId="0" borderId="17" xfId="0" applyFont="1" applyBorder="1" applyAlignment="1">
      <alignment vertical="top" wrapText="1"/>
    </xf>
    <xf numFmtId="0" fontId="7" fillId="0" borderId="0" xfId="0" applyFont="1"/>
    <xf numFmtId="9" fontId="7" fillId="0" borderId="0" xfId="0" applyNumberFormat="1" applyFont="1"/>
    <xf numFmtId="9" fontId="0" fillId="0" borderId="0" xfId="26" applyFont="1"/>
    <xf numFmtId="15" fontId="11" fillId="0" borderId="0" xfId="25" applyNumberFormat="1" applyFont="1" applyAlignment="1">
      <alignment horizontal="left"/>
    </xf>
    <xf numFmtId="0" fontId="57" fillId="0" borderId="0" xfId="0" applyFont="1"/>
    <xf numFmtId="3" fontId="57" fillId="0" borderId="0" xfId="0" applyNumberFormat="1" applyFont="1"/>
    <xf numFmtId="3" fontId="15" fillId="0" borderId="0" xfId="0" applyNumberFormat="1" applyFont="1"/>
    <xf numFmtId="0" fontId="58" fillId="0" borderId="0" xfId="0" applyFont="1"/>
    <xf numFmtId="9" fontId="57" fillId="0" borderId="0" xfId="0" applyNumberFormat="1" applyFont="1"/>
    <xf numFmtId="0" fontId="56" fillId="0" borderId="0" xfId="0" applyFont="1" applyAlignment="1">
      <alignment horizontal="left"/>
    </xf>
    <xf numFmtId="9" fontId="0" fillId="0" borderId="0" xfId="0" applyNumberFormat="1"/>
    <xf numFmtId="9" fontId="24" fillId="0" borderId="0" xfId="25" applyNumberFormat="1" applyFont="1"/>
    <xf numFmtId="9" fontId="4" fillId="3" borderId="1" xfId="1" applyNumberFormat="1"/>
    <xf numFmtId="3" fontId="4" fillId="3" borderId="1" xfId="1" applyNumberFormat="1"/>
    <xf numFmtId="3" fontId="6" fillId="4" borderId="1" xfId="3" applyNumberFormat="1"/>
    <xf numFmtId="9" fontId="11" fillId="0" borderId="0" xfId="25" applyNumberFormat="1" applyFont="1"/>
    <xf numFmtId="9" fontId="5" fillId="4" borderId="2" xfId="2" applyNumberFormat="1"/>
    <xf numFmtId="1" fontId="5" fillId="4" borderId="2" xfId="2" applyNumberFormat="1"/>
    <xf numFmtId="4" fontId="5" fillId="4" borderId="2" xfId="2" applyNumberFormat="1"/>
    <xf numFmtId="0" fontId="8" fillId="0" borderId="18" xfId="0" applyFont="1" applyBorder="1"/>
    <xf numFmtId="0" fontId="0" fillId="0" borderId="18" xfId="0" applyBorder="1"/>
    <xf numFmtId="0" fontId="15" fillId="0" borderId="18" xfId="23" applyFont="1" applyBorder="1" applyAlignment="1"/>
    <xf numFmtId="0" fontId="59" fillId="0" borderId="18" xfId="28" applyFont="1" applyBorder="1" applyAlignment="1">
      <alignment horizontal="center" vertical="center"/>
    </xf>
    <xf numFmtId="1" fontId="0" fillId="0" borderId="18" xfId="0" applyNumberFormat="1" applyBorder="1"/>
    <xf numFmtId="0" fontId="11" fillId="0" borderId="19" xfId="28" applyBorder="1" applyAlignment="1">
      <alignment horizontal="left" indent="1"/>
    </xf>
    <xf numFmtId="0" fontId="11" fillId="0" borderId="20" xfId="28" applyBorder="1" applyAlignment="1">
      <alignment horizontal="left" indent="1"/>
    </xf>
    <xf numFmtId="0" fontId="11" fillId="0" borderId="0" xfId="28" applyAlignment="1">
      <alignment horizontal="left" indent="1"/>
    </xf>
    <xf numFmtId="0" fontId="0" fillId="0" borderId="23" xfId="0" applyBorder="1"/>
    <xf numFmtId="0" fontId="0" fillId="0" borderId="25" xfId="0" applyBorder="1"/>
    <xf numFmtId="0" fontId="0" fillId="0" borderId="26" xfId="0" applyBorder="1"/>
    <xf numFmtId="0" fontId="2" fillId="6" borderId="27" xfId="27" applyBorder="1" applyAlignment="1">
      <alignment horizontal="right"/>
    </xf>
    <xf numFmtId="0" fontId="11" fillId="0" borderId="25" xfId="28" applyBorder="1" applyAlignment="1">
      <alignment vertical="center" wrapText="1"/>
    </xf>
    <xf numFmtId="0" fontId="10" fillId="0" borderId="8" xfId="4" applyBorder="1" applyAlignment="1">
      <alignment horizontal="left"/>
    </xf>
    <xf numFmtId="0" fontId="32" fillId="0" borderId="8" xfId="4" applyFont="1" applyBorder="1" applyAlignment="1">
      <alignment horizontal="left"/>
    </xf>
    <xf numFmtId="0" fontId="1" fillId="0" borderId="0" xfId="0" applyFont="1"/>
    <xf numFmtId="0" fontId="65" fillId="0" borderId="0" xfId="0" applyFont="1"/>
    <xf numFmtId="15" fontId="63" fillId="0" borderId="0" xfId="25" applyNumberFormat="1" applyFont="1" applyAlignment="1">
      <alignment horizontal="left"/>
    </xf>
    <xf numFmtId="38" fontId="1" fillId="0" borderId="0" xfId="0" applyNumberFormat="1" applyFont="1"/>
    <xf numFmtId="0" fontId="62" fillId="0" borderId="0" xfId="0" applyFont="1"/>
    <xf numFmtId="0" fontId="62" fillId="0" borderId="0" xfId="0" applyFont="1" applyAlignment="1">
      <alignment horizontal="left"/>
    </xf>
    <xf numFmtId="0" fontId="63" fillId="0" borderId="0" xfId="0" applyFont="1"/>
    <xf numFmtId="0" fontId="67" fillId="0" borderId="0" xfId="0" applyFont="1"/>
    <xf numFmtId="0" fontId="68" fillId="0" borderId="0" xfId="0" applyFont="1"/>
    <xf numFmtId="0" fontId="69" fillId="0" borderId="0" xfId="0" applyFont="1"/>
    <xf numFmtId="1" fontId="1" fillId="0" borderId="0" xfId="0" applyNumberFormat="1" applyFont="1" applyAlignment="1">
      <alignment horizontal="right"/>
    </xf>
    <xf numFmtId="1" fontId="1" fillId="0" borderId="0" xfId="0" applyNumberFormat="1" applyFont="1"/>
    <xf numFmtId="0" fontId="1" fillId="0" borderId="0" xfId="0" applyFont="1" applyAlignment="1">
      <alignment horizontal="right"/>
    </xf>
    <xf numFmtId="9" fontId="1" fillId="0" borderId="0" xfId="0" applyNumberFormat="1" applyFont="1"/>
    <xf numFmtId="0" fontId="70" fillId="0" borderId="0" xfId="0" applyFont="1"/>
    <xf numFmtId="9" fontId="62" fillId="0" borderId="0" xfId="26" applyFont="1"/>
    <xf numFmtId="9" fontId="63" fillId="0" borderId="0" xfId="25" applyNumberFormat="1" applyFont="1"/>
    <xf numFmtId="9" fontId="63" fillId="0" borderId="0" xfId="26" applyFont="1"/>
    <xf numFmtId="9" fontId="1" fillId="0" borderId="0" xfId="26" applyFont="1"/>
    <xf numFmtId="9" fontId="65" fillId="0" borderId="0" xfId="0" applyNumberFormat="1" applyFont="1"/>
    <xf numFmtId="2" fontId="1" fillId="0" borderId="0" xfId="0" applyNumberFormat="1" applyFont="1"/>
    <xf numFmtId="0" fontId="65" fillId="0" borderId="0" xfId="0" applyFont="1" applyAlignment="1">
      <alignment horizontal="left"/>
    </xf>
    <xf numFmtId="9" fontId="62" fillId="0" borderId="0" xfId="25" applyNumberFormat="1" applyFont="1"/>
    <xf numFmtId="9" fontId="67" fillId="0" borderId="0" xfId="25" applyNumberFormat="1" applyFont="1"/>
    <xf numFmtId="0" fontId="74" fillId="0" borderId="34" xfId="0" applyFont="1" applyBorder="1" applyAlignment="1">
      <alignment horizontal="justify" vertical="center" wrapText="1"/>
    </xf>
    <xf numFmtId="0" fontId="74" fillId="0" borderId="38" xfId="0" applyFont="1" applyBorder="1" applyAlignment="1">
      <alignment horizontal="justify" vertical="center" wrapText="1"/>
    </xf>
    <xf numFmtId="0" fontId="74" fillId="0" borderId="36" xfId="0" applyFont="1" applyBorder="1" applyAlignment="1">
      <alignment horizontal="justify" vertical="center" wrapText="1"/>
    </xf>
    <xf numFmtId="0" fontId="73" fillId="0" borderId="36" xfId="0" applyFont="1" applyBorder="1" applyAlignment="1">
      <alignment horizontal="justify" vertical="center" wrapText="1"/>
    </xf>
    <xf numFmtId="0" fontId="75" fillId="0" borderId="36" xfId="0" applyFont="1" applyBorder="1" applyAlignment="1">
      <alignment horizontal="justify" vertical="center" wrapText="1"/>
    </xf>
    <xf numFmtId="0" fontId="0" fillId="0" borderId="0" xfId="0" applyAlignment="1">
      <alignment horizontal="right"/>
    </xf>
    <xf numFmtId="0" fontId="35" fillId="14" borderId="9" xfId="0" applyFont="1" applyFill="1" applyBorder="1" applyAlignment="1">
      <alignment horizontal="right"/>
    </xf>
    <xf numFmtId="0" fontId="0" fillId="0" borderId="8" xfId="0" applyBorder="1" applyAlignment="1">
      <alignment horizontal="right"/>
    </xf>
    <xf numFmtId="0" fontId="10" fillId="0" borderId="8" xfId="4" applyBorder="1" applyAlignment="1">
      <alignment horizontal="right"/>
    </xf>
    <xf numFmtId="49" fontId="10" fillId="0" borderId="8" xfId="4" applyNumberFormat="1" applyBorder="1" applyAlignment="1">
      <alignment horizontal="right"/>
    </xf>
    <xf numFmtId="0" fontId="33" fillId="0" borderId="0" xfId="0" applyFont="1" applyAlignment="1">
      <alignment horizontal="right"/>
    </xf>
    <xf numFmtId="0" fontId="34" fillId="0" borderId="8" xfId="4" applyFont="1" applyBorder="1" applyAlignment="1">
      <alignment horizontal="right"/>
    </xf>
    <xf numFmtId="0" fontId="72" fillId="14" borderId="9" xfId="0" applyFont="1" applyFill="1" applyBorder="1" applyAlignment="1">
      <alignment horizontal="right"/>
    </xf>
    <xf numFmtId="0" fontId="73" fillId="0" borderId="33" xfId="0" applyFont="1" applyBorder="1" applyAlignment="1">
      <alignment horizontal="right" vertical="center" wrapText="1"/>
    </xf>
    <xf numFmtId="0" fontId="73" fillId="0" borderId="35" xfId="0" applyFont="1" applyBorder="1" applyAlignment="1">
      <alignment horizontal="right" vertical="center" wrapText="1"/>
    </xf>
    <xf numFmtId="0" fontId="75" fillId="0" borderId="35" xfId="0" applyFont="1" applyBorder="1" applyAlignment="1">
      <alignment horizontal="right" vertical="center" wrapText="1"/>
    </xf>
    <xf numFmtId="0" fontId="74" fillId="0" borderId="35" xfId="0" applyFont="1" applyBorder="1" applyAlignment="1">
      <alignment horizontal="right" vertical="center" wrapText="1"/>
    </xf>
    <xf numFmtId="0" fontId="74" fillId="0" borderId="37" xfId="0" applyFont="1" applyBorder="1" applyAlignment="1">
      <alignment horizontal="right" vertical="center" wrapText="1"/>
    </xf>
    <xf numFmtId="0" fontId="0" fillId="0" borderId="0" xfId="0"/>
    <xf numFmtId="0" fontId="0" fillId="14" borderId="10" xfId="0" applyFill="1" applyBorder="1"/>
    <xf numFmtId="0" fontId="39" fillId="14" borderId="14" xfId="0" applyFont="1" applyFill="1" applyBorder="1"/>
    <xf numFmtId="0" fontId="39" fillId="0" borderId="0" xfId="0" applyFont="1"/>
    <xf numFmtId="0" fontId="41" fillId="0" borderId="0" xfId="0" applyFont="1"/>
    <xf numFmtId="0" fontId="46" fillId="0" borderId="0" xfId="0" applyFont="1"/>
    <xf numFmtId="0" fontId="38" fillId="0" borderId="0" xfId="0" applyFont="1"/>
    <xf numFmtId="0" fontId="33" fillId="0" borderId="0" xfId="0" applyFont="1"/>
    <xf numFmtId="0" fontId="73" fillId="14" borderId="10" xfId="0" applyFont="1" applyFill="1" applyBorder="1"/>
    <xf numFmtId="9" fontId="63" fillId="19" borderId="0" xfId="26" applyFont="1" applyFill="1"/>
    <xf numFmtId="9" fontId="3" fillId="0" borderId="0" xfId="26"/>
    <xf numFmtId="0" fontId="1" fillId="19" borderId="0" xfId="0" applyFont="1" applyFill="1"/>
    <xf numFmtId="43" fontId="3" fillId="0" borderId="0" xfId="25"/>
    <xf numFmtId="38" fontId="70" fillId="0" borderId="0" xfId="0" applyNumberFormat="1" applyFont="1"/>
    <xf numFmtId="164" fontId="62" fillId="0" borderId="0" xfId="25" applyNumberFormat="1" applyFont="1"/>
    <xf numFmtId="164" fontId="63" fillId="0" borderId="0" xfId="25" applyNumberFormat="1" applyFont="1"/>
    <xf numFmtId="164" fontId="63" fillId="0" borderId="0" xfId="25" applyNumberFormat="1" applyFont="1" applyAlignment="1">
      <alignment horizontal="left"/>
    </xf>
    <xf numFmtId="164" fontId="64" fillId="0" borderId="0" xfId="25" applyNumberFormat="1" applyFont="1"/>
    <xf numFmtId="164" fontId="65" fillId="0" borderId="0" xfId="25" applyNumberFormat="1" applyFont="1" applyAlignment="1">
      <alignment horizontal="center"/>
    </xf>
    <xf numFmtId="164" fontId="66" fillId="13" borderId="0" xfId="25" applyNumberFormat="1" applyFont="1" applyFill="1"/>
    <xf numFmtId="166" fontId="66" fillId="13" borderId="0" xfId="25" applyNumberFormat="1" applyFont="1" applyFill="1" applyAlignment="1">
      <alignment horizontal="right"/>
    </xf>
    <xf numFmtId="166" fontId="62" fillId="0" borderId="0" xfId="25" applyNumberFormat="1" applyFont="1"/>
    <xf numFmtId="166" fontId="63" fillId="0" borderId="0" xfId="25" applyNumberFormat="1" applyFont="1"/>
    <xf numFmtId="164" fontId="63" fillId="0" borderId="0" xfId="25" applyNumberFormat="1" applyFont="1" applyAlignment="1">
      <alignment horizontal="center"/>
    </xf>
    <xf numFmtId="164" fontId="62" fillId="0" borderId="0" xfId="25" applyNumberFormat="1" applyFont="1" applyAlignment="1">
      <alignment horizontal="left"/>
    </xf>
    <xf numFmtId="165" fontId="62" fillId="0" borderId="0" xfId="25" applyNumberFormat="1" applyFont="1"/>
    <xf numFmtId="164" fontId="63" fillId="0" borderId="0" xfId="25" applyNumberFormat="1" applyFont="1" applyAlignment="1">
      <alignment horizontal="left" indent="1"/>
    </xf>
    <xf numFmtId="164" fontId="1" fillId="0" borderId="0" xfId="25" applyNumberFormat="1" applyFont="1"/>
    <xf numFmtId="165" fontId="63" fillId="0" borderId="0" xfId="25" applyNumberFormat="1" applyFont="1"/>
    <xf numFmtId="164" fontId="67" fillId="0" borderId="0" xfId="25" applyNumberFormat="1" applyFont="1"/>
    <xf numFmtId="171" fontId="1" fillId="0" borderId="0" xfId="0" applyNumberFormat="1" applyFont="1"/>
    <xf numFmtId="164" fontId="1" fillId="0" borderId="0" xfId="25" applyNumberFormat="1" applyFont="1" applyAlignment="1">
      <alignment horizontal="left" indent="1"/>
    </xf>
    <xf numFmtId="165" fontId="62" fillId="0" borderId="0" xfId="0" applyNumberFormat="1" applyFont="1"/>
    <xf numFmtId="164" fontId="68" fillId="0" borderId="0" xfId="25" applyNumberFormat="1" applyFont="1"/>
    <xf numFmtId="165" fontId="67" fillId="0" borderId="0" xfId="25" applyNumberFormat="1" applyFont="1"/>
    <xf numFmtId="164" fontId="62" fillId="0" borderId="7" xfId="25" applyNumberFormat="1" applyFont="1" applyBorder="1"/>
    <xf numFmtId="171" fontId="62" fillId="0" borderId="7" xfId="25" applyNumberFormat="1" applyFont="1" applyBorder="1"/>
    <xf numFmtId="165" fontId="62" fillId="0" borderId="7" xfId="25" applyNumberFormat="1" applyFont="1" applyBorder="1"/>
    <xf numFmtId="165" fontId="69" fillId="0" borderId="0" xfId="0" applyNumberFormat="1" applyFont="1"/>
    <xf numFmtId="166" fontId="62" fillId="0" borderId="0" xfId="25" applyNumberFormat="1" applyFont="1" applyAlignment="1">
      <alignment horizontal="center"/>
    </xf>
    <xf numFmtId="167" fontId="63" fillId="0" borderId="0" xfId="25" applyNumberFormat="1" applyFont="1"/>
    <xf numFmtId="167" fontId="1" fillId="0" borderId="0" xfId="0" applyNumberFormat="1" applyFont="1"/>
    <xf numFmtId="173" fontId="63" fillId="0" borderId="0" xfId="25" applyNumberFormat="1" applyFont="1"/>
    <xf numFmtId="173" fontId="1" fillId="0" borderId="0" xfId="26" applyNumberFormat="1" applyFont="1"/>
    <xf numFmtId="173" fontId="63" fillId="0" borderId="0" xfId="26" applyNumberFormat="1" applyFont="1"/>
    <xf numFmtId="173" fontId="1" fillId="0" borderId="0" xfId="0" applyNumberFormat="1" applyFont="1"/>
    <xf numFmtId="167" fontId="62" fillId="0" borderId="0" xfId="25" applyNumberFormat="1" applyFont="1"/>
    <xf numFmtId="170" fontId="63" fillId="0" borderId="0" xfId="25" applyNumberFormat="1" applyFont="1"/>
    <xf numFmtId="168" fontId="63" fillId="0" borderId="0" xfId="25" applyNumberFormat="1" applyFont="1"/>
    <xf numFmtId="169" fontId="63" fillId="0" borderId="0" xfId="25" applyNumberFormat="1" applyFont="1"/>
    <xf numFmtId="167" fontId="70" fillId="0" borderId="0" xfId="0" applyNumberFormat="1" applyFont="1"/>
    <xf numFmtId="164" fontId="1" fillId="0" borderId="0" xfId="25" quotePrefix="1" applyNumberFormat="1" applyFont="1"/>
    <xf numFmtId="164" fontId="71" fillId="0" borderId="0" xfId="25" applyNumberFormat="1" applyFont="1"/>
    <xf numFmtId="164" fontId="65" fillId="0" borderId="0" xfId="25" applyNumberFormat="1" applyFont="1"/>
    <xf numFmtId="174" fontId="63" fillId="0" borderId="0" xfId="25" applyNumberFormat="1" applyFont="1"/>
    <xf numFmtId="169" fontId="63" fillId="0" borderId="0" xfId="25" applyNumberFormat="1" applyFont="1" applyAlignment="1">
      <alignment horizontal="right"/>
    </xf>
    <xf numFmtId="165" fontId="1" fillId="0" borderId="0" xfId="0" applyNumberFormat="1" applyFont="1"/>
    <xf numFmtId="170" fontId="1" fillId="0" borderId="0" xfId="25" applyNumberFormat="1" applyFont="1"/>
    <xf numFmtId="164" fontId="15" fillId="0" borderId="0" xfId="25" applyNumberFormat="1" applyFont="1"/>
    <xf numFmtId="166" fontId="25" fillId="13" borderId="0" xfId="25" applyNumberFormat="1" applyFont="1" applyFill="1" applyAlignment="1">
      <alignment horizontal="right"/>
    </xf>
    <xf numFmtId="165" fontId="0" fillId="0" borderId="0" xfId="0" applyNumberFormat="1"/>
    <xf numFmtId="164" fontId="24" fillId="0" borderId="0" xfId="25" applyNumberFormat="1" applyFont="1" applyAlignment="1">
      <alignment horizontal="center"/>
    </xf>
    <xf numFmtId="165" fontId="6" fillId="4" borderId="1" xfId="3" applyNumberFormat="1"/>
    <xf numFmtId="170" fontId="4" fillId="3" borderId="1" xfId="1" applyNumberFormat="1" applyAlignment="1">
      <alignment horizontal="center"/>
    </xf>
    <xf numFmtId="172" fontId="0" fillId="0" borderId="0" xfId="0" applyNumberFormat="1"/>
    <xf numFmtId="164" fontId="11" fillId="0" borderId="0" xfId="25" applyNumberFormat="1" applyFont="1"/>
    <xf numFmtId="164" fontId="22" fillId="0" borderId="0" xfId="25" applyNumberFormat="1" applyFont="1"/>
    <xf numFmtId="164" fontId="23" fillId="0" borderId="0" xfId="25" applyNumberFormat="1" applyFont="1"/>
    <xf numFmtId="164" fontId="25" fillId="13" borderId="0" xfId="25" applyNumberFormat="1" applyFont="1" applyFill="1"/>
    <xf numFmtId="166" fontId="15" fillId="0" borderId="0" xfId="25" applyNumberFormat="1" applyFont="1"/>
    <xf numFmtId="166" fontId="11" fillId="0" borderId="0" xfId="25" applyNumberFormat="1" applyFont="1"/>
    <xf numFmtId="164" fontId="11" fillId="0" borderId="0" xfId="25" applyNumberFormat="1" applyFont="1" applyAlignment="1">
      <alignment horizontal="center"/>
    </xf>
    <xf numFmtId="164" fontId="15" fillId="0" borderId="0" xfId="25" applyNumberFormat="1" applyFont="1" applyAlignment="1">
      <alignment horizontal="left" indent="1"/>
    </xf>
    <xf numFmtId="165" fontId="15" fillId="0" borderId="0" xfId="25" applyNumberFormat="1" applyFont="1"/>
    <xf numFmtId="164" fontId="11" fillId="0" borderId="0" xfId="25" applyNumberFormat="1" applyFont="1" applyAlignment="1">
      <alignment horizontal="left" indent="1"/>
    </xf>
    <xf numFmtId="164" fontId="47" fillId="0" borderId="0" xfId="25" applyNumberFormat="1" applyFont="1"/>
    <xf numFmtId="165" fontId="53" fillId="0" borderId="0" xfId="25" applyNumberFormat="1" applyFont="1"/>
    <xf numFmtId="164" fontId="12" fillId="0" borderId="0" xfId="25" applyNumberFormat="1" applyFont="1"/>
    <xf numFmtId="165" fontId="11" fillId="0" borderId="0" xfId="25" applyNumberFormat="1" applyFont="1"/>
    <xf numFmtId="164" fontId="0" fillId="0" borderId="0" xfId="25" applyNumberFormat="1" applyFont="1"/>
    <xf numFmtId="171" fontId="0" fillId="0" borderId="0" xfId="0" applyNumberFormat="1"/>
    <xf numFmtId="165" fontId="12" fillId="0" borderId="0" xfId="0" applyNumberFormat="1" applyFont="1"/>
    <xf numFmtId="164" fontId="15" fillId="0" borderId="7" xfId="25" applyNumberFormat="1" applyFont="1" applyBorder="1"/>
    <xf numFmtId="165" fontId="15" fillId="0" borderId="7" xfId="25" applyNumberFormat="1" applyFont="1" applyBorder="1"/>
    <xf numFmtId="165" fontId="17" fillId="0" borderId="0" xfId="0" applyNumberFormat="1" applyFont="1"/>
    <xf numFmtId="171" fontId="15" fillId="0" borderId="7" xfId="25" applyNumberFormat="1" applyFont="1" applyBorder="1"/>
    <xf numFmtId="164" fontId="17" fillId="0" borderId="0" xfId="25" applyNumberFormat="1" applyFont="1"/>
    <xf numFmtId="165" fontId="12" fillId="0" borderId="0" xfId="25" applyNumberFormat="1" applyFont="1"/>
    <xf numFmtId="167" fontId="0" fillId="0" borderId="0" xfId="0" applyNumberFormat="1"/>
    <xf numFmtId="166" fontId="15" fillId="0" borderId="0" xfId="25" applyNumberFormat="1" applyFont="1" applyAlignment="1">
      <alignment horizontal="center"/>
    </xf>
    <xf numFmtId="167" fontId="11" fillId="0" borderId="0" xfId="25" applyNumberFormat="1" applyFont="1"/>
    <xf numFmtId="167" fontId="15" fillId="0" borderId="0" xfId="25" applyNumberFormat="1" applyFont="1"/>
    <xf numFmtId="168" fontId="11" fillId="0" borderId="0" xfId="25" applyNumberFormat="1" applyFont="1"/>
    <xf numFmtId="167" fontId="57" fillId="0" borderId="0" xfId="0" applyNumberFormat="1" applyFont="1"/>
    <xf numFmtId="169" fontId="11" fillId="0" borderId="0" xfId="25" applyNumberFormat="1" applyFont="1"/>
    <xf numFmtId="169" fontId="5" fillId="4" borderId="2" xfId="2" applyNumberFormat="1"/>
    <xf numFmtId="164" fontId="26" fillId="0" borderId="0" xfId="25" applyNumberFormat="1" applyFont="1"/>
    <xf numFmtId="164" fontId="14" fillId="0" borderId="0" xfId="25" applyNumberFormat="1" applyFont="1"/>
    <xf numFmtId="164" fontId="0" fillId="0" borderId="0" xfId="25" quotePrefix="1" applyNumberFormat="1" applyFont="1"/>
    <xf numFmtId="164" fontId="27" fillId="0" borderId="0" xfId="25" applyNumberFormat="1" applyFont="1"/>
    <xf numFmtId="164" fontId="7" fillId="0" borderId="0" xfId="25" applyNumberFormat="1" applyFont="1"/>
    <xf numFmtId="165" fontId="5" fillId="4" borderId="2" xfId="2" applyNumberFormat="1"/>
    <xf numFmtId="170" fontId="0" fillId="0" borderId="0" xfId="25" applyNumberFormat="1" applyFont="1"/>
    <xf numFmtId="170" fontId="5" fillId="4" borderId="2" xfId="2" applyNumberFormat="1"/>
    <xf numFmtId="172" fontId="1" fillId="0" borderId="0" xfId="0" applyNumberFormat="1" applyFont="1"/>
    <xf numFmtId="165" fontId="67" fillId="0" borderId="0" xfId="0" applyNumberFormat="1" applyFont="1"/>
    <xf numFmtId="166" fontId="25" fillId="13" borderId="18" xfId="25" applyNumberFormat="1" applyFont="1" applyFill="1" applyBorder="1" applyAlignment="1">
      <alignment horizontal="right"/>
    </xf>
    <xf numFmtId="164" fontId="11" fillId="0" borderId="18" xfId="25" applyNumberFormat="1" applyFont="1" applyBorder="1"/>
    <xf numFmtId="170" fontId="2" fillId="6" borderId="18" xfId="27" applyNumberFormat="1" applyBorder="1" applyAlignment="1">
      <alignment horizontal="right"/>
    </xf>
    <xf numFmtId="170" fontId="59" fillId="0" borderId="18" xfId="8" applyNumberFormat="1" applyFont="1" applyBorder="1" applyAlignment="1">
      <alignment horizontal="right"/>
    </xf>
    <xf numFmtId="170" fontId="11" fillId="0" borderId="20" xfId="8" applyNumberFormat="1" applyFont="1" applyBorder="1" applyAlignment="1">
      <alignment horizontal="center"/>
    </xf>
    <xf numFmtId="170" fontId="3" fillId="6" borderId="21" xfId="25" applyNumberFormat="1" applyFill="1" applyBorder="1" applyAlignment="1">
      <alignment horizontal="right"/>
    </xf>
    <xf numFmtId="170" fontId="11" fillId="0" borderId="22" xfId="8" applyNumberFormat="1" applyFont="1" applyBorder="1" applyAlignment="1">
      <alignment horizontal="center"/>
    </xf>
    <xf numFmtId="164" fontId="11" fillId="0" borderId="23" xfId="25" applyNumberFormat="1" applyFont="1" applyBorder="1"/>
    <xf numFmtId="170" fontId="11" fillId="0" borderId="0" xfId="8" applyNumberFormat="1" applyFont="1" applyAlignment="1">
      <alignment horizontal="center"/>
    </xf>
    <xf numFmtId="170" fontId="3" fillId="6" borderId="24" xfId="25" applyNumberFormat="1" applyFill="1" applyBorder="1" applyAlignment="1">
      <alignment horizontal="right"/>
    </xf>
    <xf numFmtId="170" fontId="11" fillId="0" borderId="3" xfId="8" applyNumberFormat="1" applyFont="1" applyBorder="1" applyAlignment="1">
      <alignment horizontal="center"/>
    </xf>
    <xf numFmtId="167" fontId="2" fillId="6" borderId="18" xfId="27" applyNumberFormat="1" applyBorder="1" applyAlignment="1">
      <alignment horizontal="right"/>
    </xf>
    <xf numFmtId="170" fontId="0" fillId="0" borderId="0" xfId="0" applyNumberFormat="1"/>
    <xf numFmtId="170" fontId="0" fillId="0" borderId="3" xfId="0" applyNumberFormat="1" applyBorder="1"/>
    <xf numFmtId="170" fontId="0" fillId="0" borderId="26" xfId="0" applyNumberFormat="1" applyBorder="1"/>
    <xf numFmtId="170" fontId="0" fillId="0" borderId="28" xfId="0" applyNumberFormat="1" applyBorder="1"/>
    <xf numFmtId="170" fontId="3" fillId="6" borderId="29" xfId="25" applyNumberFormat="1" applyFill="1" applyBorder="1"/>
    <xf numFmtId="170" fontId="3" fillId="6" borderId="21" xfId="25" applyNumberFormat="1" applyFill="1" applyBorder="1"/>
    <xf numFmtId="170" fontId="3" fillId="0" borderId="21" xfId="25" applyNumberFormat="1" applyBorder="1" applyAlignment="1">
      <alignment horizontal="right"/>
    </xf>
    <xf numFmtId="170" fontId="3" fillId="0" borderId="30" xfId="25" applyNumberFormat="1" applyBorder="1" applyAlignment="1">
      <alignment horizontal="right"/>
    </xf>
    <xf numFmtId="170" fontId="3" fillId="6" borderId="31" xfId="25" applyNumberFormat="1" applyFill="1" applyBorder="1"/>
    <xf numFmtId="170" fontId="3" fillId="6" borderId="18" xfId="25" applyNumberFormat="1" applyFill="1" applyBorder="1"/>
    <xf numFmtId="170" fontId="3" fillId="6" borderId="18" xfId="25" applyNumberFormat="1" applyFill="1" applyBorder="1" applyAlignment="1">
      <alignment horizontal="right"/>
    </xf>
    <xf numFmtId="170" fontId="3" fillId="0" borderId="18" xfId="25" applyNumberFormat="1" applyBorder="1" applyAlignment="1">
      <alignment horizontal="right"/>
    </xf>
    <xf numFmtId="170" fontId="3" fillId="0" borderId="32" xfId="25" applyNumberFormat="1" applyBorder="1" applyAlignment="1">
      <alignment horizontal="right"/>
    </xf>
    <xf numFmtId="170" fontId="0" fillId="17" borderId="0" xfId="0" applyNumberFormat="1" applyFill="1"/>
    <xf numFmtId="170" fontId="29" fillId="0" borderId="0" xfId="25" applyNumberFormat="1" applyFont="1"/>
    <xf numFmtId="170" fontId="29" fillId="0" borderId="0" xfId="0" applyNumberFormat="1" applyFont="1"/>
    <xf numFmtId="170" fontId="31" fillId="0" borderId="0" xfId="0" applyNumberFormat="1" applyFont="1"/>
    <xf numFmtId="170" fontId="29" fillId="16" borderId="0" xfId="25" applyNumberFormat="1" applyFont="1" applyFill="1"/>
    <xf numFmtId="170" fontId="31" fillId="0" borderId="0" xfId="25" applyNumberFormat="1" applyFont="1"/>
    <xf numFmtId="170" fontId="33" fillId="0" borderId="0" xfId="0" applyNumberFormat="1" applyFont="1"/>
    <xf numFmtId="164" fontId="60" fillId="0" borderId="0" xfId="25" applyNumberFormat="1" applyFont="1"/>
    <xf numFmtId="170" fontId="33" fillId="0" borderId="0" xfId="25" applyNumberFormat="1" applyFont="1"/>
    <xf numFmtId="164" fontId="40" fillId="0" borderId="0" xfId="25" applyNumberFormat="1" applyFont="1"/>
    <xf numFmtId="164" fontId="39" fillId="0" borderId="0" xfId="25" applyNumberFormat="1" applyFont="1"/>
    <xf numFmtId="164" fontId="61" fillId="0" borderId="0" xfId="25" applyNumberFormat="1" applyFont="1"/>
    <xf numFmtId="164" fontId="42" fillId="0" borderId="0" xfId="0" applyNumberFormat="1" applyFont="1"/>
    <xf numFmtId="164" fontId="38" fillId="0" borderId="0" xfId="25" applyNumberFormat="1" applyFont="1"/>
    <xf numFmtId="170" fontId="8" fillId="0" borderId="0" xfId="25" applyNumberFormat="1" applyFont="1"/>
    <xf numFmtId="170" fontId="8" fillId="0" borderId="0" xfId="0" applyNumberFormat="1" applyFont="1"/>
    <xf numFmtId="170" fontId="49" fillId="0" borderId="0" xfId="25" applyNumberFormat="1" applyFont="1"/>
    <xf numFmtId="164" fontId="60" fillId="0" borderId="0" xfId="25" applyNumberFormat="1" applyFont="1" applyAlignment="1">
      <alignment horizontal="left"/>
    </xf>
    <xf numFmtId="164" fontId="61" fillId="0" borderId="0" xfId="25" applyNumberFormat="1" applyFont="1" applyAlignment="1">
      <alignment horizontal="left"/>
    </xf>
    <xf numFmtId="164" fontId="59" fillId="0" borderId="0" xfId="25" applyNumberFormat="1" applyFont="1"/>
    <xf numFmtId="0" fontId="8" fillId="0" borderId="12" xfId="0" applyFont="1" applyBorder="1" applyAlignment="1">
      <alignment horizontal="left"/>
    </xf>
    <xf numFmtId="0" fontId="0" fillId="0" borderId="6" xfId="0" applyBorder="1"/>
  </cellXfs>
  <cellStyles count="29">
    <cellStyle name="60% - Accent1 2" xfId="14"/>
    <cellStyle name="60% - Accent2" xfId="27" builtinId="36"/>
    <cellStyle name="60% - Accent2 2" xfId="15"/>
    <cellStyle name="60% - Accent3 2" xfId="16"/>
    <cellStyle name="60% - Accent4 2" xfId="17"/>
    <cellStyle name="60% - Accent5 2" xfId="18"/>
    <cellStyle name="60% - Accent6 2" xfId="19"/>
    <cellStyle name="Calculation" xfId="3" builtinId="22"/>
    <cellStyle name="Comma" xfId="25" builtinId="3"/>
    <cellStyle name="Comma 10" xfId="11"/>
    <cellStyle name="Comma 2" xfId="8"/>
    <cellStyle name="Input" xfId="1" builtinId="20"/>
    <cellStyle name="Neutral 2" xfId="13"/>
    <cellStyle name="Normal" xfId="0" builtinId="0"/>
    <cellStyle name="Normal - Style1 10" xfId="28"/>
    <cellStyle name="Normal 118" xfId="10"/>
    <cellStyle name="Normal 173" xfId="9"/>
    <cellStyle name="Normal 2" xfId="4"/>
    <cellStyle name="Normal 3" xfId="20"/>
    <cellStyle name="Normal 4" xfId="21"/>
    <cellStyle name="Normal 5" xfId="22"/>
    <cellStyle name="Normal 6" xfId="23"/>
    <cellStyle name="Normal 7" xfId="24"/>
    <cellStyle name="Normal_FS 31 Dec 2006" xfId="5"/>
    <cellStyle name="Output" xfId="2" builtinId="21"/>
    <cellStyle name="Percent" xfId="26" builtinId="5"/>
    <cellStyle name="Single Cell Column Heading" xfId="6"/>
    <cellStyle name="Text Level 2" xfId="7"/>
    <cellStyle name="Title 2" xfId="12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U93"/>
  <sheetViews>
    <sheetView tabSelected="1" topLeftCell="A21" zoomScale="85" zoomScaleNormal="85" workbookViewId="0">
      <selection activeCell="N65" sqref="N65:U65"/>
    </sheetView>
  </sheetViews>
  <sheetFormatPr defaultColWidth="8.6640625" defaultRowHeight="13.2"/>
  <cols>
    <col min="1" max="1" width="32.109375" style="120" customWidth="1"/>
    <col min="2" max="2" width="15.44140625" style="120" customWidth="1"/>
    <col min="3" max="3" width="11" style="120" customWidth="1"/>
    <col min="4" max="5" width="10.44140625" style="120" customWidth="1"/>
    <col min="6" max="6" width="12.33203125" style="120" customWidth="1"/>
    <col min="7" max="9" width="12.5546875" style="120" customWidth="1"/>
    <col min="10" max="10" width="12.33203125" style="120" customWidth="1"/>
    <col min="11" max="11" width="10.109375" style="120" customWidth="1"/>
    <col min="12" max="12" width="39" style="120" bestFit="1" customWidth="1"/>
    <col min="13" max="13" width="8.6640625" style="120" customWidth="1"/>
    <col min="14" max="14" width="11" style="120" bestFit="1" customWidth="1"/>
    <col min="15" max="15" width="20.44140625" style="120" bestFit="1" customWidth="1"/>
    <col min="16" max="16" width="12.5546875" style="120" bestFit="1" customWidth="1"/>
    <col min="17" max="18" width="12" style="120" bestFit="1" customWidth="1"/>
    <col min="19" max="20" width="11" style="120" bestFit="1" customWidth="1"/>
    <col min="21" max="21" width="12.5546875" style="120" bestFit="1" customWidth="1"/>
    <col min="22" max="22" width="8.6640625" style="120" customWidth="1"/>
    <col min="23" max="16384" width="8.6640625" style="120"/>
  </cols>
  <sheetData>
    <row r="1" spans="1:21">
      <c r="A1" s="176" t="s">
        <v>0</v>
      </c>
      <c r="B1" s="176" t="s">
        <v>1</v>
      </c>
    </row>
    <row r="2" spans="1:21">
      <c r="A2" s="177" t="s">
        <v>2</v>
      </c>
      <c r="B2" s="178"/>
      <c r="C2" s="176"/>
      <c r="D2" s="179"/>
      <c r="E2" s="179"/>
      <c r="F2" s="179"/>
      <c r="G2" s="180"/>
      <c r="H2" s="180"/>
      <c r="I2" s="180"/>
      <c r="J2" s="180"/>
      <c r="K2" s="121"/>
    </row>
    <row r="3" spans="1:21">
      <c r="A3" s="177" t="s">
        <v>3</v>
      </c>
      <c r="B3" s="122"/>
      <c r="C3" s="176"/>
      <c r="D3" s="179"/>
      <c r="E3" s="179"/>
      <c r="F3" s="179"/>
      <c r="G3" s="180"/>
      <c r="H3" s="180"/>
      <c r="I3" s="180"/>
      <c r="J3" s="180"/>
      <c r="K3" s="121"/>
    </row>
    <row r="4" spans="1:21">
      <c r="A4" s="177"/>
      <c r="B4" s="122"/>
      <c r="C4" s="176"/>
      <c r="D4" s="179"/>
      <c r="E4" s="179"/>
      <c r="F4" s="179"/>
      <c r="G4" s="180"/>
      <c r="H4" s="180"/>
      <c r="I4" s="180"/>
      <c r="J4" s="180"/>
      <c r="K4" s="121"/>
    </row>
    <row r="5" spans="1:21">
      <c r="A5" s="181" t="s">
        <v>4</v>
      </c>
      <c r="B5" s="181" t="s">
        <v>5</v>
      </c>
      <c r="C5" s="182" t="str">
        <f>+BS.data!E2</f>
        <v>2018</v>
      </c>
      <c r="D5" s="182" t="str">
        <f>+BS.data!F2</f>
        <v>2019</v>
      </c>
      <c r="E5" s="182" t="str">
        <f>+BS.data!G2</f>
        <v>2020</v>
      </c>
      <c r="F5" s="182" t="str">
        <f>+BS.data!H2</f>
        <v>2021</v>
      </c>
      <c r="G5" s="182" t="str">
        <f>+BS.data!I2</f>
        <v>2022</v>
      </c>
      <c r="H5" s="182">
        <f>+BS.data!J2</f>
        <v>0</v>
      </c>
      <c r="I5" s="182">
        <f>+BS.data!K2</f>
        <v>0</v>
      </c>
      <c r="J5" s="182">
        <f>+BS.data!L2</f>
        <v>0</v>
      </c>
      <c r="L5" s="181" t="s">
        <v>6</v>
      </c>
      <c r="M5" s="181"/>
      <c r="N5" s="182" t="str">
        <f t="shared" ref="N5:U5" si="0">C5</f>
        <v>2018</v>
      </c>
      <c r="O5" s="182" t="str">
        <f t="shared" si="0"/>
        <v>2019</v>
      </c>
      <c r="P5" s="182" t="str">
        <f t="shared" si="0"/>
        <v>2020</v>
      </c>
      <c r="Q5" s="182" t="str">
        <f t="shared" si="0"/>
        <v>2021</v>
      </c>
      <c r="R5" s="182" t="str">
        <f t="shared" si="0"/>
        <v>2022</v>
      </c>
      <c r="S5" s="182">
        <f t="shared" si="0"/>
        <v>0</v>
      </c>
      <c r="T5" s="182">
        <f t="shared" si="0"/>
        <v>0</v>
      </c>
      <c r="U5" s="182">
        <f t="shared" si="0"/>
        <v>0</v>
      </c>
    </row>
    <row r="6" spans="1:21">
      <c r="A6" s="183" t="s">
        <v>7</v>
      </c>
      <c r="B6" s="183"/>
      <c r="C6" s="184"/>
      <c r="D6" s="184"/>
      <c r="E6" s="184"/>
      <c r="F6" s="184"/>
      <c r="G6" s="185"/>
      <c r="H6" s="185"/>
      <c r="I6" s="185"/>
      <c r="J6" s="185"/>
      <c r="L6" s="186" t="s">
        <v>8</v>
      </c>
      <c r="M6" s="176"/>
      <c r="N6" s="187">
        <f t="shared" ref="N6:U6" si="1">C25</f>
        <v>16598492</v>
      </c>
      <c r="O6" s="187">
        <f t="shared" si="1"/>
        <v>18963009</v>
      </c>
      <c r="P6" s="187">
        <f t="shared" si="1"/>
        <v>6719667</v>
      </c>
      <c r="Q6" s="187">
        <f t="shared" si="1"/>
        <v>18039966</v>
      </c>
      <c r="R6" s="187">
        <f t="shared" si="1"/>
        <v>10653159</v>
      </c>
      <c r="S6" s="187">
        <f t="shared" si="1"/>
        <v>0</v>
      </c>
      <c r="T6" s="187">
        <f t="shared" si="1"/>
        <v>0</v>
      </c>
      <c r="U6" s="187">
        <f t="shared" si="1"/>
        <v>0</v>
      </c>
    </row>
    <row r="7" spans="1:21" s="124" customFormat="1">
      <c r="A7" s="177" t="s">
        <v>9</v>
      </c>
      <c r="B7" s="177"/>
      <c r="C7" s="123">
        <f>SUMIF(PL.data!$D$3:$D$25, FSA!$A7, PL.data!E$3:E$25)</f>
        <v>121894400</v>
      </c>
      <c r="D7" s="123">
        <f>SUMIF(PL.data!$D$3:$D$25, FSA!$A7, PL.data!F$3:F$25)</f>
        <v>130036014</v>
      </c>
      <c r="E7" s="123">
        <f>SUMIF(PL.data!$D$3:$D$25, FSA!$A7, PL.data!G$3:G$25)</f>
        <v>110490033</v>
      </c>
      <c r="F7" s="123">
        <f>SUMIF(PL.data!$D$3:$D$25, FSA!$A7, PL.data!H$3:H$25)</f>
        <v>125687870</v>
      </c>
      <c r="G7" s="123">
        <f>SUMIF(PL.data!$D$3:$D$25, FSA!$A7, PL.data!I$3:I$25)</f>
        <v>101793582</v>
      </c>
      <c r="H7" s="123">
        <f>SUMIF(PL.data!$D$3:$D$25, FSA!$A7, PL.data!J$3:J$25)</f>
        <v>0</v>
      </c>
      <c r="I7" s="123">
        <f>SUMIF(PL.data!$D$3:$D$25, FSA!$A7, PL.data!K$3:K$25)</f>
        <v>0</v>
      </c>
      <c r="J7" s="123">
        <f>SUMIF(PL.data!$D$3:$D$25, FSA!$A7, PL.data!L$3:L$25)</f>
        <v>0</v>
      </c>
      <c r="L7" s="188" t="s">
        <v>10</v>
      </c>
      <c r="M7" s="189"/>
      <c r="N7" s="190">
        <f t="shared" ref="N7:U7" si="2">C23</f>
        <v>0</v>
      </c>
      <c r="O7" s="190">
        <f t="shared" si="2"/>
        <v>0</v>
      </c>
      <c r="P7" s="190">
        <f t="shared" si="2"/>
        <v>0</v>
      </c>
      <c r="Q7" s="190">
        <f t="shared" si="2"/>
        <v>0</v>
      </c>
      <c r="R7" s="190">
        <f t="shared" si="2"/>
        <v>0</v>
      </c>
      <c r="S7" s="190">
        <f t="shared" si="2"/>
        <v>0</v>
      </c>
      <c r="T7" s="190">
        <f t="shared" si="2"/>
        <v>0</v>
      </c>
      <c r="U7" s="190">
        <f t="shared" si="2"/>
        <v>0</v>
      </c>
    </row>
    <row r="8" spans="1:21">
      <c r="A8" s="177" t="s">
        <v>11</v>
      </c>
      <c r="B8" s="191"/>
      <c r="C8" s="123">
        <f>-SUMIF(PL.data!$D$3:$D$25, FSA!$A8, PL.data!E$3:E$25)</f>
        <v>-92971051</v>
      </c>
      <c r="D8" s="123">
        <f>-SUMIF(PL.data!$D$3:$D$25, FSA!$A8, PL.data!F$3:F$25)</f>
        <v>-92484797</v>
      </c>
      <c r="E8" s="123">
        <f>-SUMIF(PL.data!$D$3:$D$25, FSA!$A8, PL.data!G$3:G$25)</f>
        <v>-93177227</v>
      </c>
      <c r="F8" s="123">
        <f>-SUMIF(PL.data!$D$3:$D$25, FSA!$A8, PL.data!H$3:H$25)</f>
        <v>-91623165</v>
      </c>
      <c r="G8" s="123">
        <f>-SUMIF(PL.data!$D$3:$D$25, FSA!$A8, PL.data!I$3:I$25)</f>
        <v>-87099750</v>
      </c>
      <c r="H8" s="123">
        <f>-SUMIF(PL.data!$D$3:$D$25, FSA!$A8, PL.data!J$3:J$25)</f>
        <v>0</v>
      </c>
      <c r="I8" s="123">
        <f>-SUMIF(PL.data!$D$3:$D$25, FSA!$A8, PL.data!K$3:K$25)</f>
        <v>0</v>
      </c>
      <c r="J8" s="123">
        <f>-SUMIF(PL.data!$D$3:$D$25, FSA!$A8, PL.data!L$3:L$25)</f>
        <v>0</v>
      </c>
      <c r="L8" s="188" t="s">
        <v>12</v>
      </c>
      <c r="M8" s="189"/>
      <c r="N8" s="190">
        <f>CF.data!E12-FSA!N7-FSA!N6</f>
        <v>444080</v>
      </c>
      <c r="O8" s="190">
        <f>CF.data!F12-FSA!O7-FSA!O6</f>
        <v>2319576</v>
      </c>
      <c r="P8" s="190">
        <f>CF.data!G12-FSA!P7-FSA!P6</f>
        <v>14888571</v>
      </c>
      <c r="Q8" s="190">
        <f>CF.data!H12-FSA!Q7-FSA!Q6</f>
        <v>12618862</v>
      </c>
      <c r="R8" s="190">
        <f>CF.data!I12-FSA!R7-FSA!R6</f>
        <v>4296905</v>
      </c>
      <c r="S8" s="190">
        <f>CF.data!J12-FSA!S7-FSA!S6</f>
        <v>0</v>
      </c>
      <c r="T8" s="190">
        <f>CF.data!K12-FSA!T7-FSA!T6</f>
        <v>0</v>
      </c>
      <c r="U8" s="190">
        <f>CF.data!L12-FSA!U7-FSA!U6</f>
        <v>0</v>
      </c>
    </row>
    <row r="9" spans="1:21" s="124" customFormat="1">
      <c r="A9" s="176" t="s">
        <v>13</v>
      </c>
      <c r="B9" s="176"/>
      <c r="C9" s="187">
        <f t="shared" ref="C9:J9" si="3">C7+C8</f>
        <v>28923349</v>
      </c>
      <c r="D9" s="187">
        <f t="shared" si="3"/>
        <v>37551217</v>
      </c>
      <c r="E9" s="187">
        <f t="shared" si="3"/>
        <v>17312806</v>
      </c>
      <c r="F9" s="187">
        <f t="shared" si="3"/>
        <v>34064705</v>
      </c>
      <c r="G9" s="187">
        <f t="shared" si="3"/>
        <v>14693832</v>
      </c>
      <c r="H9" s="187">
        <f t="shared" si="3"/>
        <v>0</v>
      </c>
      <c r="I9" s="187">
        <f t="shared" si="3"/>
        <v>0</v>
      </c>
      <c r="J9" s="187">
        <f t="shared" si="3"/>
        <v>0</v>
      </c>
      <c r="L9" s="188" t="s">
        <v>14</v>
      </c>
      <c r="N9" s="190">
        <f>SUMIF(CF.data!$D$4:$D$43, $L9, CF.data!E$4:E$43)</f>
        <v>-3740381</v>
      </c>
      <c r="O9" s="190">
        <f>SUMIF(CF.data!$D$4:$D$43, $L9, CF.data!F$4:F$43)</f>
        <v>-7221315</v>
      </c>
      <c r="P9" s="190">
        <f>SUMIF(CF.data!$D$4:$D$43, $L9, CF.data!G$4:G$43)</f>
        <v>-10552304</v>
      </c>
      <c r="Q9" s="190">
        <f>SUMIF(CF.data!$D$4:$D$43, $L9, CF.data!H$4:H$43)</f>
        <v>-9217300</v>
      </c>
      <c r="R9" s="190">
        <f>SUMIF(CF.data!$D$4:$D$43, $L9, CF.data!I$4:I$43)</f>
        <v>-10086550</v>
      </c>
      <c r="S9" s="190">
        <f>SUMIF(CF.data!$D$4:$D$43, $L9, CF.data!J$4:J$43)</f>
        <v>0</v>
      </c>
      <c r="T9" s="190">
        <f>SUMIF(CF.data!$D$4:$D$43, $L9, CF.data!K$4:K$43)</f>
        <v>0</v>
      </c>
      <c r="U9" s="190">
        <f>SUMIF(CF.data!$D$4:$D$43, $L9, CF.data!L$4:L$43)</f>
        <v>0</v>
      </c>
    </row>
    <row r="10" spans="1:21">
      <c r="A10" s="177" t="s">
        <v>15</v>
      </c>
      <c r="B10" s="191"/>
      <c r="C10" s="123">
        <f>-SUMIF(PL.data!$D$3:$D$25, FSA!$A10, PL.data!E$3:E$25)</f>
        <v>-17480128</v>
      </c>
      <c r="D10" s="123">
        <f>-SUMIF(PL.data!$D$3:$D$25, FSA!$A10, PL.data!F$3:F$25)</f>
        <v>-26925888</v>
      </c>
      <c r="E10" s="123">
        <f>-SUMIF(PL.data!$D$3:$D$25, FSA!$A10, PL.data!G$3:G$25)</f>
        <v>-20656674</v>
      </c>
      <c r="F10" s="123">
        <f>-SUMIF(PL.data!$D$3:$D$25, FSA!$A10, PL.data!H$3:H$25)</f>
        <v>-30944367</v>
      </c>
      <c r="G10" s="123">
        <f>-SUMIF(PL.data!$D$3:$D$25, FSA!$A10, PL.data!I$3:I$25)</f>
        <v>-25324746</v>
      </c>
      <c r="H10" s="123">
        <f>-SUMIF(PL.data!$D$3:$D$25, FSA!$A10, PL.data!J$3:J$25)</f>
        <v>0</v>
      </c>
      <c r="I10" s="123">
        <f>-SUMIF(PL.data!$D$3:$D$25, FSA!$A10, PL.data!K$3:K$25)</f>
        <v>0</v>
      </c>
      <c r="J10" s="123">
        <f>-SUMIF(PL.data!$D$3:$D$25, FSA!$A10, PL.data!L$3:L$25)</f>
        <v>0</v>
      </c>
      <c r="K10" s="192"/>
      <c r="L10" s="193" t="s">
        <v>16</v>
      </c>
      <c r="N10" s="190">
        <f>SUMIF(CF.data!$D$4:$D$43, $L10, CF.data!E$4:E$43)</f>
        <v>-5760402</v>
      </c>
      <c r="O10" s="190">
        <f>SUMIF(CF.data!$D$4:$D$43, $L10, CF.data!F$4:F$43)</f>
        <v>-7941805</v>
      </c>
      <c r="P10" s="190">
        <f>SUMIF(CF.data!$D$4:$D$43, $L10, CF.data!G$4:G$43)</f>
        <v>-9409698</v>
      </c>
      <c r="Q10" s="190">
        <f>SUMIF(CF.data!$D$4:$D$43, $L10, CF.data!H$4:H$43)</f>
        <v>-10731071</v>
      </c>
      <c r="R10" s="190">
        <f>SUMIF(CF.data!$D$4:$D$43, $L10, CF.data!I$4:I$43)</f>
        <v>-4504574</v>
      </c>
      <c r="S10" s="190">
        <f>SUMIF(CF.data!$D$4:$D$43, $L10, CF.data!J$4:J$43)</f>
        <v>0</v>
      </c>
      <c r="T10" s="190">
        <f>SUMIF(CF.data!$D$4:$D$43, $L10, CF.data!K$4:K$43)</f>
        <v>0</v>
      </c>
      <c r="U10" s="190">
        <f>SUMIF(CF.data!$D$4:$D$43, $L10, CF.data!L$4:L$43)</f>
        <v>0</v>
      </c>
    </row>
    <row r="11" spans="1:21" s="124" customFormat="1">
      <c r="A11" s="126" t="s">
        <v>17</v>
      </c>
      <c r="C11" s="190"/>
      <c r="D11" s="190"/>
      <c r="E11" s="190"/>
      <c r="F11" s="190"/>
      <c r="G11" s="190"/>
      <c r="H11" s="190"/>
      <c r="I11" s="190"/>
      <c r="J11" s="190"/>
      <c r="L11" s="125" t="s">
        <v>18</v>
      </c>
      <c r="N11" s="187">
        <f t="shared" ref="N11:U11" si="4">SUM(N6:N10)</f>
        <v>7541789</v>
      </c>
      <c r="O11" s="187">
        <f t="shared" si="4"/>
        <v>6119465</v>
      </c>
      <c r="P11" s="187">
        <f t="shared" si="4"/>
        <v>1646236</v>
      </c>
      <c r="Q11" s="187">
        <f t="shared" si="4"/>
        <v>10710457</v>
      </c>
      <c r="R11" s="187">
        <f t="shared" si="4"/>
        <v>358940</v>
      </c>
      <c r="S11" s="187">
        <f t="shared" si="4"/>
        <v>0</v>
      </c>
      <c r="T11" s="187">
        <f t="shared" si="4"/>
        <v>0</v>
      </c>
      <c r="U11" s="187">
        <f t="shared" si="4"/>
        <v>0</v>
      </c>
    </row>
    <row r="12" spans="1:21">
      <c r="A12" s="176" t="s">
        <v>19</v>
      </c>
      <c r="B12" s="176"/>
      <c r="C12" s="187">
        <f t="shared" ref="C12:J12" si="5">SUM(C9:C11)</f>
        <v>11443221</v>
      </c>
      <c r="D12" s="187">
        <f t="shared" si="5"/>
        <v>10625329</v>
      </c>
      <c r="E12" s="187">
        <f t="shared" si="5"/>
        <v>-3343868</v>
      </c>
      <c r="F12" s="187">
        <f t="shared" si="5"/>
        <v>3120338</v>
      </c>
      <c r="G12" s="187">
        <f t="shared" si="5"/>
        <v>-10630914</v>
      </c>
      <c r="H12" s="187">
        <f t="shared" si="5"/>
        <v>0</v>
      </c>
      <c r="I12" s="187">
        <f t="shared" si="5"/>
        <v>0</v>
      </c>
      <c r="J12" s="187">
        <f t="shared" si="5"/>
        <v>0</v>
      </c>
      <c r="K12" s="192"/>
      <c r="L12" s="188" t="s">
        <v>20</v>
      </c>
      <c r="M12" s="189"/>
      <c r="N12" s="190">
        <f>SUMIF(CF.data!$D$4:$D$43, $L12, CF.data!E$4:E$43)</f>
        <v>-17538384</v>
      </c>
      <c r="O12" s="190">
        <f>SUMIF(CF.data!$D$4:$D$43, $L12, CF.data!F$4:F$43)</f>
        <v>9312575</v>
      </c>
      <c r="P12" s="190">
        <f>SUMIF(CF.data!$D$4:$D$43, $L12, CF.data!G$4:G$43)</f>
        <v>10666968</v>
      </c>
      <c r="Q12" s="190">
        <f>SUMIF(CF.data!$D$4:$D$43, $L12, CF.data!H$4:H$43)</f>
        <v>-25904516</v>
      </c>
      <c r="R12" s="190">
        <f>SUMIF(CF.data!$D$4:$D$43, $L12, CF.data!I$4:I$43)</f>
        <v>-5747891</v>
      </c>
      <c r="S12" s="190">
        <f>SUMIF(CF.data!$D$4:$D$43, $L12, CF.data!J$4:J$43)</f>
        <v>0</v>
      </c>
      <c r="T12" s="190">
        <f>SUMIF(CF.data!$D$4:$D$43, $L12, CF.data!K$4:K$43)</f>
        <v>0</v>
      </c>
      <c r="U12" s="190">
        <f>SUMIF(CF.data!$D$4:$D$43, $L12, CF.data!L$4:L$43)</f>
        <v>0</v>
      </c>
    </row>
    <row r="13" spans="1:21">
      <c r="A13" s="177" t="s">
        <v>21</v>
      </c>
      <c r="B13" s="176"/>
      <c r="C13" s="123">
        <f>SUMIF(PL.data!$D$3:$D$25, FSA!$A13, PL.data!E$3:E$25)</f>
        <v>-159185</v>
      </c>
      <c r="D13" s="123">
        <f>SUMIF(PL.data!$D$3:$D$25, FSA!$A13, PL.data!F$3:F$25)</f>
        <v>-807425</v>
      </c>
      <c r="E13" s="123">
        <f>SUMIF(PL.data!$D$3:$D$25, FSA!$A13, PL.data!G$3:G$25)</f>
        <v>-977427</v>
      </c>
      <c r="F13" s="123">
        <f>SUMIF(PL.data!$D$3:$D$25, FSA!$A13, PL.data!H$3:H$25)</f>
        <v>-4656123</v>
      </c>
      <c r="G13" s="123">
        <f>SUMIF(PL.data!$D$3:$D$25, FSA!$A13, PL.data!I$3:I$25)</f>
        <v>4664631</v>
      </c>
      <c r="H13" s="123">
        <f>SUMIF(PL.data!$D$3:$D$25, FSA!$A13, PL.data!J$3:J$25)</f>
        <v>0</v>
      </c>
      <c r="I13" s="123">
        <f>SUMIF(PL.data!$D$3:$D$25, FSA!$A13, PL.data!K$3:K$25)</f>
        <v>0</v>
      </c>
      <c r="J13" s="123">
        <f>SUMIF(PL.data!$D$3:$D$25, FSA!$A13, PL.data!L$3:L$25)</f>
        <v>0</v>
      </c>
      <c r="L13" s="176" t="s">
        <v>22</v>
      </c>
      <c r="M13" s="176"/>
      <c r="N13" s="187">
        <f t="shared" ref="N13:U13" si="6">SUM(N11:N12)</f>
        <v>-9996595</v>
      </c>
      <c r="O13" s="187">
        <f t="shared" si="6"/>
        <v>15432040</v>
      </c>
      <c r="P13" s="187">
        <f t="shared" si="6"/>
        <v>12313204</v>
      </c>
      <c r="Q13" s="187">
        <f t="shared" si="6"/>
        <v>-15194059</v>
      </c>
      <c r="R13" s="187">
        <f t="shared" si="6"/>
        <v>-5388951</v>
      </c>
      <c r="S13" s="187">
        <f t="shared" si="6"/>
        <v>0</v>
      </c>
      <c r="T13" s="187">
        <f t="shared" si="6"/>
        <v>0</v>
      </c>
      <c r="U13" s="187">
        <f t="shared" si="6"/>
        <v>0</v>
      </c>
    </row>
    <row r="14" spans="1:21">
      <c r="A14" s="189" t="s">
        <v>23</v>
      </c>
      <c r="B14" s="191"/>
      <c r="C14" s="123">
        <f>-SUMIF(PL.data!$D$3:$D$25, FSA!$A14, PL.data!E$3:E$25)</f>
        <v>-3939282</v>
      </c>
      <c r="D14" s="123">
        <f>-SUMIF(PL.data!$D$3:$D$25, FSA!$A14, PL.data!F$3:F$25)</f>
        <v>-7147357</v>
      </c>
      <c r="E14" s="123">
        <f>-SUMIF(PL.data!$D$3:$D$25, FSA!$A14, PL.data!G$3:G$25)</f>
        <v>-11402385</v>
      </c>
      <c r="F14" s="123">
        <f>-SUMIF(PL.data!$D$3:$D$25, FSA!$A14, PL.data!H$3:H$25)</f>
        <v>-10288893</v>
      </c>
      <c r="G14" s="123">
        <f>-SUMIF(PL.data!$D$3:$D$25, FSA!$A14, PL.data!I$3:I$25)</f>
        <v>-10944221</v>
      </c>
      <c r="H14" s="123">
        <f>-SUMIF(PL.data!$D$3:$D$25, FSA!$A14, PL.data!J$3:J$25)</f>
        <v>0</v>
      </c>
      <c r="I14" s="123">
        <f>-SUMIF(PL.data!$D$3:$D$25, FSA!$A14, PL.data!K$3:K$25)</f>
        <v>0</v>
      </c>
      <c r="J14" s="123">
        <f>-SUMIF(PL.data!$D$3:$D$25, FSA!$A14, PL.data!L$3:L$25)</f>
        <v>0</v>
      </c>
      <c r="L14" s="188" t="s">
        <v>24</v>
      </c>
      <c r="M14" s="191"/>
      <c r="N14" s="190">
        <f>SUMIF(CF.data!$D$4:$D$43, $L14, CF.data!E$4:E$43)</f>
        <v>-43466399</v>
      </c>
      <c r="O14" s="190">
        <f>SUMIF(CF.data!$D$4:$D$43, $L14, CF.data!F$4:F$43)</f>
        <v>-54753075</v>
      </c>
      <c r="P14" s="190">
        <f>SUMIF(CF.data!$D$4:$D$43, $L14, CF.data!G$4:G$43)</f>
        <v>-26294006</v>
      </c>
      <c r="Q14" s="190">
        <f>SUMIF(CF.data!$D$4:$D$43, $L14, CF.data!H$4:H$43)</f>
        <v>-36761127</v>
      </c>
      <c r="R14" s="190">
        <f>SUMIF(CF.data!$D$4:$D$43, $L14, CF.data!I$4:I$43)</f>
        <v>-71838273</v>
      </c>
      <c r="S14" s="190">
        <f>SUMIF(CF.data!$D$4:$D$43, $L14, CF.data!J$4:J$43)</f>
        <v>0</v>
      </c>
      <c r="T14" s="190">
        <f>SUMIF(CF.data!$D$4:$D$43, $L14, CF.data!K$4:K$43)</f>
        <v>0</v>
      </c>
      <c r="U14" s="190">
        <f>SUMIF(CF.data!$D$4:$D$43, $L14, CF.data!L$4:L$43)</f>
        <v>0</v>
      </c>
    </row>
    <row r="15" spans="1:21" s="124" customFormat="1">
      <c r="A15" s="177" t="s">
        <v>25</v>
      </c>
      <c r="B15" s="189"/>
      <c r="C15" s="123">
        <f t="shared" ref="C15:J15" si="7">C16-C12-C13-C14</f>
        <v>6508884</v>
      </c>
      <c r="D15" s="123">
        <f t="shared" si="7"/>
        <v>12966876</v>
      </c>
      <c r="E15" s="123">
        <f t="shared" si="7"/>
        <v>29666235</v>
      </c>
      <c r="F15" s="123">
        <f t="shared" si="7"/>
        <v>14971129</v>
      </c>
      <c r="G15" s="123">
        <f t="shared" si="7"/>
        <v>29666022</v>
      </c>
      <c r="H15" s="123">
        <f t="shared" si="7"/>
        <v>0</v>
      </c>
      <c r="I15" s="123">
        <f t="shared" si="7"/>
        <v>0</v>
      </c>
      <c r="J15" s="123">
        <f t="shared" si="7"/>
        <v>0</v>
      </c>
      <c r="L15" s="176" t="s">
        <v>26</v>
      </c>
      <c r="M15" s="191"/>
      <c r="N15" s="187">
        <f t="shared" ref="N15:U15" si="8">SUM(N13:N14)</f>
        <v>-53462994</v>
      </c>
      <c r="O15" s="187">
        <f t="shared" si="8"/>
        <v>-39321035</v>
      </c>
      <c r="P15" s="187">
        <f t="shared" si="8"/>
        <v>-13980802</v>
      </c>
      <c r="Q15" s="187">
        <f t="shared" si="8"/>
        <v>-51955186</v>
      </c>
      <c r="R15" s="187">
        <f t="shared" si="8"/>
        <v>-77227224</v>
      </c>
      <c r="S15" s="187">
        <f t="shared" si="8"/>
        <v>0</v>
      </c>
      <c r="T15" s="187">
        <f t="shared" si="8"/>
        <v>0</v>
      </c>
      <c r="U15" s="187">
        <f t="shared" si="8"/>
        <v>0</v>
      </c>
    </row>
    <row r="16" spans="1:21">
      <c r="A16" s="176" t="s">
        <v>27</v>
      </c>
      <c r="B16" s="176"/>
      <c r="C16" s="175">
        <f>SUMIF(PL.data!$D$3:$D$25, FSA!$A16, PL.data!E$3:E$25)</f>
        <v>13853638</v>
      </c>
      <c r="D16" s="175">
        <f>SUMIF(PL.data!$D$3:$D$25, FSA!$A16, PL.data!F$3:F$25)</f>
        <v>15637423</v>
      </c>
      <c r="E16" s="175">
        <f>SUMIF(PL.data!$D$3:$D$25, FSA!$A16, PL.data!G$3:G$25)</f>
        <v>13942555</v>
      </c>
      <c r="F16" s="175">
        <f>SUMIF(PL.data!$D$3:$D$25, FSA!$A16, PL.data!H$3:H$25)</f>
        <v>3146451</v>
      </c>
      <c r="G16" s="175">
        <f>SUMIF(PL.data!$D$3:$D$25, FSA!$A16, PL.data!I$3:I$25)</f>
        <v>12755518</v>
      </c>
      <c r="H16" s="175">
        <f>SUMIF(PL.data!$D$3:$D$25, FSA!$A16, PL.data!J$3:J$25)</f>
        <v>0</v>
      </c>
      <c r="I16" s="175">
        <f>SUMIF(PL.data!$D$3:$D$25, FSA!$A16, PL.data!K$3:K$25)</f>
        <v>0</v>
      </c>
      <c r="J16" s="175">
        <f>SUMIF(PL.data!$D$3:$D$25, FSA!$A16, PL.data!L$3:L$25)</f>
        <v>0</v>
      </c>
      <c r="L16" s="188" t="s">
        <v>28</v>
      </c>
      <c r="M16" s="177"/>
      <c r="N16" s="190">
        <f>SUMIF(CF.data!$D$4:$D$43, $L16, CF.data!E$4:E$43)</f>
        <v>1160050</v>
      </c>
      <c r="O16" s="190">
        <f>SUMIF(CF.data!$D$4:$D$43, $L16, CF.data!F$4:F$43)</f>
        <v>762065</v>
      </c>
      <c r="P16" s="190">
        <f>SUMIF(CF.data!$D$4:$D$43, $L16, CF.data!G$4:G$43)</f>
        <v>1123131</v>
      </c>
      <c r="Q16" s="190">
        <f>SUMIF(CF.data!$D$4:$D$43, $L16, CF.data!H$4:H$43)</f>
        <v>1665964</v>
      </c>
      <c r="R16" s="190">
        <f>SUMIF(CF.data!$D$4:$D$43, $L16, CF.data!I$4:I$43)</f>
        <v>5812574</v>
      </c>
      <c r="S16" s="190">
        <f>SUMIF(CF.data!$D$4:$D$43, $L16, CF.data!J$4:J$43)</f>
        <v>0</v>
      </c>
      <c r="T16" s="190">
        <f>SUMIF(CF.data!$D$4:$D$43, $L16, CF.data!K$4:K$43)</f>
        <v>0</v>
      </c>
      <c r="U16" s="190">
        <f>SUMIF(CF.data!$D$4:$D$43, $L16, CF.data!L$4:L$43)</f>
        <v>0</v>
      </c>
    </row>
    <row r="17" spans="1:21" s="124" customFormat="1">
      <c r="A17" s="189" t="s">
        <v>29</v>
      </c>
      <c r="B17" s="191"/>
      <c r="C17" s="123">
        <f>-SUMIF(PL.data!$D$3:$D$25, FSA!$A17, PL.data!E$3:E$25)</f>
        <v>-7662756</v>
      </c>
      <c r="D17" s="123">
        <f>-SUMIF(PL.data!$D$3:$D$25, FSA!$A17, PL.data!F$3:F$25)</f>
        <v>-7920810</v>
      </c>
      <c r="E17" s="123">
        <f>-SUMIF(PL.data!$D$3:$D$25, FSA!$A17, PL.data!G$3:G$25)</f>
        <v>-9396982</v>
      </c>
      <c r="F17" s="123">
        <f>-SUMIF(PL.data!$D$3:$D$25, FSA!$A17, PL.data!H$3:H$25)</f>
        <v>-10704615</v>
      </c>
      <c r="G17" s="123">
        <f>-SUMIF(PL.data!$D$3:$D$25, FSA!$A17, PL.data!I$3:I$25)</f>
        <v>-10711174</v>
      </c>
      <c r="H17" s="123">
        <f>-SUMIF(PL.data!$D$3:$D$25, FSA!$A17, PL.data!J$3:J$25)</f>
        <v>0</v>
      </c>
      <c r="I17" s="123">
        <f>-SUMIF(PL.data!$D$3:$D$25, FSA!$A17, PL.data!K$3:K$25)</f>
        <v>0</v>
      </c>
      <c r="J17" s="123">
        <f>-SUMIF(PL.data!$D$3:$D$25, FSA!$A17, PL.data!L$3:L$25)</f>
        <v>0</v>
      </c>
      <c r="L17" s="193" t="s">
        <v>30</v>
      </c>
      <c r="M17" s="191"/>
      <c r="N17" s="190">
        <f>SUMIF(CF.data!$D$4:$D$43, $L17, CF.data!E$4:E$43)</f>
        <v>-1222822</v>
      </c>
      <c r="O17" s="190">
        <f>SUMIF(CF.data!$D$4:$D$43, $L17, CF.data!F$4:F$43)</f>
        <v>-2188674</v>
      </c>
      <c r="P17" s="190">
        <f>SUMIF(CF.data!$D$4:$D$43, $L17, CF.data!G$4:G$43)</f>
        <v>-7188</v>
      </c>
      <c r="Q17" s="190">
        <f>SUMIF(CF.data!$D$4:$D$43, $L17, CF.data!H$4:H$43)</f>
        <v>-1718207</v>
      </c>
      <c r="R17" s="190">
        <f>SUMIF(CF.data!$D$4:$D$43, $L17, CF.data!I$4:I$43)</f>
        <v>-3382021</v>
      </c>
      <c r="S17" s="190">
        <f>SUMIF(CF.data!$D$4:$D$43, $L17, CF.data!J$4:J$43)</f>
        <v>0</v>
      </c>
      <c r="T17" s="190">
        <f>SUMIF(CF.data!$D$4:$D$43, $L17, CF.data!K$4:K$43)</f>
        <v>0</v>
      </c>
      <c r="U17" s="190">
        <f>SUMIF(CF.data!$D$4:$D$43, $L17, CF.data!L$4:L$43)</f>
        <v>0</v>
      </c>
    </row>
    <row r="18" spans="1:21">
      <c r="A18" s="176" t="s">
        <v>31</v>
      </c>
      <c r="B18" s="176"/>
      <c r="C18" s="187">
        <f t="shared" ref="C18:J18" si="9">C16+C17</f>
        <v>6190882</v>
      </c>
      <c r="D18" s="187">
        <f t="shared" si="9"/>
        <v>7716613</v>
      </c>
      <c r="E18" s="187">
        <f t="shared" si="9"/>
        <v>4545573</v>
      </c>
      <c r="F18" s="187">
        <f t="shared" si="9"/>
        <v>-7558164</v>
      </c>
      <c r="G18" s="187">
        <f t="shared" si="9"/>
        <v>2044344</v>
      </c>
      <c r="H18" s="187">
        <f t="shared" si="9"/>
        <v>0</v>
      </c>
      <c r="I18" s="187">
        <f t="shared" si="9"/>
        <v>0</v>
      </c>
      <c r="J18" s="187">
        <f t="shared" si="9"/>
        <v>0</v>
      </c>
      <c r="L18" s="124" t="s">
        <v>32</v>
      </c>
      <c r="M18" s="124"/>
      <c r="N18" s="194">
        <f t="shared" ref="N18:U18" si="10">SUM(N15:N17)</f>
        <v>-53525766</v>
      </c>
      <c r="O18" s="194">
        <f t="shared" si="10"/>
        <v>-40747644</v>
      </c>
      <c r="P18" s="194">
        <f t="shared" si="10"/>
        <v>-12864859</v>
      </c>
      <c r="Q18" s="194">
        <f t="shared" si="10"/>
        <v>-52007429</v>
      </c>
      <c r="R18" s="194">
        <f t="shared" si="10"/>
        <v>-74796671</v>
      </c>
      <c r="S18" s="194">
        <f t="shared" si="10"/>
        <v>0</v>
      </c>
      <c r="T18" s="194">
        <f t="shared" si="10"/>
        <v>0</v>
      </c>
      <c r="U18" s="194">
        <f t="shared" si="10"/>
        <v>0</v>
      </c>
    </row>
    <row r="19" spans="1:21" s="127" customFormat="1">
      <c r="A19" s="176"/>
      <c r="B19" s="176"/>
      <c r="C19" s="137"/>
      <c r="D19" s="137"/>
      <c r="E19" s="137"/>
      <c r="F19" s="137"/>
      <c r="G19" s="137"/>
      <c r="H19" s="137"/>
      <c r="I19" s="137"/>
      <c r="J19" s="137"/>
      <c r="L19" s="188" t="s">
        <v>33</v>
      </c>
      <c r="M19" s="176"/>
      <c r="N19" s="190">
        <f>SUMIF(CF.data!$D$4:$D$43, $L19, CF.data!E$4:E$43)</f>
        <v>0</v>
      </c>
      <c r="O19" s="190">
        <f>SUMIF(CF.data!$D$4:$D$43, $L19, CF.data!F$4:F$43)</f>
        <v>0</v>
      </c>
      <c r="P19" s="190">
        <f>SUMIF(CF.data!$D$4:$D$43, $L19, CF.data!G$4:G$43)</f>
        <v>0</v>
      </c>
      <c r="Q19" s="190">
        <f>SUMIF(CF.data!$D$4:$D$43, $L19, CF.data!H$4:H$43)</f>
        <v>0</v>
      </c>
      <c r="R19" s="190">
        <f>SUMIF(CF.data!$D$4:$D$43, $L19, CF.data!I$4:I$43)</f>
        <v>0</v>
      </c>
      <c r="S19" s="190">
        <f>SUMIF(CF.data!$D$4:$D$43, $L19, CF.data!J$4:J$43)</f>
        <v>0</v>
      </c>
      <c r="T19" s="190">
        <f>SUMIF(CF.data!$D$4:$D$43, $L19, CF.data!K$4:K$43)</f>
        <v>0</v>
      </c>
      <c r="U19" s="190">
        <f>SUMIF(CF.data!$D$4:$D$43, $L19, CF.data!L$4:L$43)</f>
        <v>0</v>
      </c>
    </row>
    <row r="20" spans="1:21" s="127" customFormat="1">
      <c r="A20" s="195" t="s">
        <v>34</v>
      </c>
      <c r="C20" s="190"/>
      <c r="D20" s="190"/>
      <c r="E20" s="190"/>
      <c r="F20" s="190"/>
      <c r="G20" s="190"/>
      <c r="H20" s="190"/>
      <c r="I20" s="190"/>
      <c r="J20" s="190"/>
      <c r="L20" s="188" t="s">
        <v>35</v>
      </c>
      <c r="N20" s="190">
        <f>SUMIF(CF.data!$D$4:$D$43, $L20, CF.data!E$4:E$43)</f>
        <v>-19994409</v>
      </c>
      <c r="O20" s="190">
        <f>SUMIF(CF.data!$D$4:$D$43, $L20, CF.data!F$4:F$43)</f>
        <v>-5340005</v>
      </c>
      <c r="P20" s="190">
        <f>SUMIF(CF.data!$D$4:$D$43, $L20, CF.data!G$4:G$43)</f>
        <v>12598755</v>
      </c>
      <c r="Q20" s="190">
        <f>SUMIF(CF.data!$D$4:$D$43, $L20, CF.data!H$4:H$43)</f>
        <v>13699528</v>
      </c>
      <c r="R20" s="190">
        <f>SUMIF(CF.data!$D$4:$D$43, $L20, CF.data!I$4:I$43)</f>
        <v>47622599</v>
      </c>
      <c r="S20" s="190">
        <f>SUMIF(CF.data!$D$4:$D$43, $L20, CF.data!J$4:J$43)</f>
        <v>0</v>
      </c>
      <c r="T20" s="190">
        <f>SUMIF(CF.data!$D$4:$D$43, $L20, CF.data!K$4:K$43)</f>
        <v>0</v>
      </c>
      <c r="U20" s="190">
        <f>SUMIF(CF.data!$D$4:$D$43, $L20, CF.data!L$4:L$43)</f>
        <v>0</v>
      </c>
    </row>
    <row r="21" spans="1:21" s="127" customFormat="1">
      <c r="A21" s="191" t="s">
        <v>36</v>
      </c>
      <c r="B21" s="191"/>
      <c r="C21" s="196">
        <f>SUMIF(CF.data!$D$4:$D$43, FSA!$A21, CF.data!E$4:E$43)</f>
        <v>5155271</v>
      </c>
      <c r="D21" s="196">
        <f>SUMIF(CF.data!$D$4:$D$43, FSA!$A21, CF.data!F$4:F$43)</f>
        <v>8337680</v>
      </c>
      <c r="E21" s="196">
        <f>SUMIF(CF.data!$D$4:$D$43, FSA!$A21, CF.data!G$4:G$43)</f>
        <v>10063535</v>
      </c>
      <c r="F21" s="196">
        <f>SUMIF(CF.data!$D$4:$D$43, FSA!$A21, CF.data!H$4:H$43)</f>
        <v>14919628</v>
      </c>
      <c r="G21" s="196">
        <f>SUMIF(CF.data!$D$4:$D$43, FSA!$A21, CF.data!I$4:I$43)</f>
        <v>21284073</v>
      </c>
      <c r="H21" s="196">
        <f>SUMIF(CF.data!$D$4:$D$43, FSA!$A21, CF.data!J$4:J$43)</f>
        <v>0</v>
      </c>
      <c r="I21" s="196">
        <f>SUMIF(CF.data!$D$4:$D$43, FSA!$A21, CF.data!K$4:K$43)</f>
        <v>0</v>
      </c>
      <c r="J21" s="196">
        <f>SUMIF(CF.data!$D$4:$D$43, FSA!$A21, CF.data!L$4:L$43)</f>
        <v>0</v>
      </c>
      <c r="L21" s="197" t="s">
        <v>37</v>
      </c>
      <c r="M21" s="197"/>
      <c r="N21" s="198">
        <f t="shared" ref="N21:U21" si="11">SUM(N18:N20)</f>
        <v>-73520175</v>
      </c>
      <c r="O21" s="198">
        <f t="shared" si="11"/>
        <v>-46087649</v>
      </c>
      <c r="P21" s="198">
        <f t="shared" si="11"/>
        <v>-266104</v>
      </c>
      <c r="Q21" s="198">
        <f t="shared" si="11"/>
        <v>-38307901</v>
      </c>
      <c r="R21" s="198">
        <f t="shared" si="11"/>
        <v>-27174072</v>
      </c>
      <c r="S21" s="198">
        <f t="shared" si="11"/>
        <v>0</v>
      </c>
      <c r="T21" s="198">
        <f t="shared" si="11"/>
        <v>0</v>
      </c>
      <c r="U21" s="198">
        <f t="shared" si="11"/>
        <v>0</v>
      </c>
    </row>
    <row r="22" spans="1:21" s="127" customFormat="1">
      <c r="A22" s="127" t="s">
        <v>38</v>
      </c>
      <c r="C22" s="196">
        <f>SUMIF(CF.data!$D$4:$D$43, FSA!$A22, CF.data!E$4:E$43)</f>
        <v>0</v>
      </c>
      <c r="D22" s="196">
        <f>SUMIF(CF.data!$D$4:$D$43, FSA!$A22, CF.data!F$4:F$43)</f>
        <v>0</v>
      </c>
      <c r="E22" s="196">
        <f>SUMIF(CF.data!$D$4:$D$43, FSA!$A22, CF.data!G$4:G$43)</f>
        <v>0</v>
      </c>
      <c r="F22" s="196">
        <f>SUMIF(CF.data!$D$4:$D$43, FSA!$A22, CF.data!H$4:H$43)</f>
        <v>0</v>
      </c>
      <c r="G22" s="196">
        <f>SUMIF(CF.data!$D$4:$D$43, FSA!$A22, CF.data!I$4:I$43)</f>
        <v>0</v>
      </c>
      <c r="H22" s="196">
        <f>SUMIF(CF.data!$D$4:$D$43, FSA!$A22, CF.data!J$4:J$43)</f>
        <v>0</v>
      </c>
      <c r="I22" s="196">
        <f>SUMIF(CF.data!$D$4:$D$43, FSA!$A22, CF.data!K$4:K$43)</f>
        <v>0</v>
      </c>
      <c r="J22" s="196">
        <f>SUMIF(CF.data!$D$4:$D$43, FSA!$A22, CF.data!L$4:L$43)</f>
        <v>0</v>
      </c>
      <c r="L22" s="193" t="s">
        <v>39</v>
      </c>
      <c r="M22" s="189"/>
      <c r="N22" s="190">
        <f>SUMIF(CF.data!$D$4:$D$43, $L22, CF.data!E$4:E$43)</f>
        <v>54039400</v>
      </c>
      <c r="O22" s="190">
        <f>SUMIF(CF.data!$D$4:$D$43, $L22, CF.data!F$4:F$43)</f>
        <v>37525433</v>
      </c>
      <c r="P22" s="190">
        <f>SUMIF(CF.data!$D$4:$D$43, $L22, CF.data!G$4:G$43)</f>
        <v>2291537</v>
      </c>
      <c r="Q22" s="190">
        <f>SUMIF(CF.data!$D$4:$D$43, $L22, CF.data!H$4:H$43)</f>
        <v>6932567</v>
      </c>
      <c r="R22" s="190">
        <f>SUMIF(CF.data!$D$4:$D$43, $L22, CF.data!I$4:I$43)</f>
        <v>30410430</v>
      </c>
      <c r="S22" s="190">
        <f>SUMIF(CF.data!$D$4:$D$43, $L22, CF.data!J$4:J$43)</f>
        <v>0</v>
      </c>
      <c r="T22" s="190">
        <f>SUMIF(CF.data!$D$4:$D$43, $L22, CF.data!K$4:K$43)</f>
        <v>0</v>
      </c>
      <c r="U22" s="190">
        <f>SUMIF(CF.data!$D$4:$D$43, $L22, CF.data!L$4:L$43)</f>
        <v>0</v>
      </c>
    </row>
    <row r="23" spans="1:21" s="128" customFormat="1">
      <c r="A23" s="127" t="s">
        <v>40</v>
      </c>
      <c r="C23" s="196"/>
      <c r="D23" s="196"/>
      <c r="E23" s="196"/>
      <c r="F23" s="196"/>
      <c r="G23" s="196"/>
      <c r="H23" s="196"/>
      <c r="I23" s="196"/>
      <c r="J23" s="196"/>
      <c r="L23" s="193" t="s">
        <v>41</v>
      </c>
      <c r="M23" s="189"/>
      <c r="N23" s="190">
        <f>SUMIF(CF.data!$D$4:$D$43, $L23, CF.data!E$4:E$43)</f>
        <v>24903260</v>
      </c>
      <c r="O23" s="190">
        <f>SUMIF(CF.data!$D$4:$D$43, $L23, CF.data!F$4:F$43)</f>
        <v>13452612</v>
      </c>
      <c r="P23" s="190">
        <f>SUMIF(CF.data!$D$4:$D$43, $L23, CF.data!G$4:G$43)</f>
        <v>8931975</v>
      </c>
      <c r="Q23" s="190">
        <f>SUMIF(CF.data!$D$4:$D$43, $L23, CF.data!H$4:H$43)</f>
        <v>20457665</v>
      </c>
      <c r="R23" s="190">
        <f>SUMIF(CF.data!$D$4:$D$43, $L23, CF.data!I$4:I$43)</f>
        <v>4723482</v>
      </c>
      <c r="S23" s="190">
        <f>SUMIF(CF.data!$D$4:$D$43, $L23, CF.data!J$4:J$43)</f>
        <v>0</v>
      </c>
      <c r="T23" s="190">
        <f>SUMIF(CF.data!$D$4:$D$43, $L23, CF.data!K$4:K$43)</f>
        <v>0</v>
      </c>
      <c r="U23" s="190">
        <f>SUMIF(CF.data!$D$4:$D$43, $L23, CF.data!L$4:L$43)</f>
        <v>0</v>
      </c>
    </row>
    <row r="24" spans="1:21">
      <c r="A24" s="191" t="s">
        <v>42</v>
      </c>
      <c r="B24" s="191"/>
      <c r="C24" s="196"/>
      <c r="D24" s="196"/>
      <c r="E24" s="196"/>
      <c r="F24" s="196"/>
      <c r="G24" s="196"/>
      <c r="H24" s="196"/>
      <c r="I24" s="196"/>
      <c r="J24" s="196"/>
      <c r="L24" s="197" t="s">
        <v>43</v>
      </c>
      <c r="M24" s="197"/>
      <c r="N24" s="199">
        <f t="shared" ref="N24:U24" si="12">SUM(N21:N23)</f>
        <v>5422485</v>
      </c>
      <c r="O24" s="199">
        <f t="shared" si="12"/>
        <v>4890396</v>
      </c>
      <c r="P24" s="199">
        <f t="shared" si="12"/>
        <v>10957408</v>
      </c>
      <c r="Q24" s="199">
        <f t="shared" si="12"/>
        <v>-10917669</v>
      </c>
      <c r="R24" s="199">
        <f t="shared" si="12"/>
        <v>7959840</v>
      </c>
      <c r="S24" s="199">
        <f t="shared" si="12"/>
        <v>0</v>
      </c>
      <c r="T24" s="199">
        <f t="shared" si="12"/>
        <v>0</v>
      </c>
      <c r="U24" s="199">
        <f t="shared" si="12"/>
        <v>0</v>
      </c>
    </row>
    <row r="25" spans="1:21">
      <c r="A25" s="195" t="s">
        <v>8</v>
      </c>
      <c r="B25" s="195"/>
      <c r="C25" s="196">
        <f t="shared" ref="C25:J25" si="13">C12+C21+C22</f>
        <v>16598492</v>
      </c>
      <c r="D25" s="196">
        <f t="shared" si="13"/>
        <v>18963009</v>
      </c>
      <c r="E25" s="196">
        <f t="shared" si="13"/>
        <v>6719667</v>
      </c>
      <c r="F25" s="196">
        <f t="shared" si="13"/>
        <v>18039966</v>
      </c>
      <c r="G25" s="196">
        <f t="shared" si="13"/>
        <v>10653159</v>
      </c>
      <c r="H25" s="196">
        <f t="shared" si="13"/>
        <v>0</v>
      </c>
      <c r="I25" s="196">
        <f t="shared" si="13"/>
        <v>0</v>
      </c>
      <c r="J25" s="196">
        <f t="shared" si="13"/>
        <v>0</v>
      </c>
      <c r="L25" s="129" t="s">
        <v>44</v>
      </c>
      <c r="N25" s="200">
        <f>N24-CF.data!E40</f>
        <v>-1</v>
      </c>
      <c r="O25" s="200">
        <f>O24-CF.data!F40</f>
        <v>0</v>
      </c>
      <c r="P25" s="200">
        <f>P24-CF.data!G40</f>
        <v>0</v>
      </c>
      <c r="Q25" s="200">
        <f>Q24-CF.data!H40</f>
        <v>0</v>
      </c>
      <c r="R25" s="200">
        <f>R24-CF.data!I40</f>
        <v>0</v>
      </c>
      <c r="S25" s="200">
        <f>S24-CF.data!J40</f>
        <v>0</v>
      </c>
      <c r="T25" s="200">
        <f>T24-CF.data!K40</f>
        <v>0</v>
      </c>
      <c r="U25" s="200">
        <f>U24-CF.data!L40</f>
        <v>0</v>
      </c>
    </row>
    <row r="26" spans="1:21">
      <c r="A26" s="195" t="s">
        <v>45</v>
      </c>
      <c r="B26" s="176"/>
      <c r="C26" s="196">
        <f t="shared" ref="C26:J26" si="14">C25+C24</f>
        <v>16598492</v>
      </c>
      <c r="D26" s="196">
        <f t="shared" si="14"/>
        <v>18963009</v>
      </c>
      <c r="E26" s="196">
        <f t="shared" si="14"/>
        <v>6719667</v>
      </c>
      <c r="F26" s="196">
        <f t="shared" si="14"/>
        <v>18039966</v>
      </c>
      <c r="G26" s="196">
        <f t="shared" si="14"/>
        <v>10653159</v>
      </c>
      <c r="H26" s="196">
        <f t="shared" si="14"/>
        <v>0</v>
      </c>
      <c r="I26" s="196">
        <f t="shared" si="14"/>
        <v>0</v>
      </c>
      <c r="J26" s="196">
        <f t="shared" si="14"/>
        <v>0</v>
      </c>
    </row>
    <row r="27" spans="1:21">
      <c r="A27" s="181" t="s">
        <v>46</v>
      </c>
      <c r="B27" s="181"/>
      <c r="C27" s="182" t="str">
        <f t="shared" ref="C27:J27" si="15">C5</f>
        <v>2018</v>
      </c>
      <c r="D27" s="182" t="str">
        <f t="shared" si="15"/>
        <v>2019</v>
      </c>
      <c r="E27" s="182" t="str">
        <f t="shared" si="15"/>
        <v>2020</v>
      </c>
      <c r="F27" s="182" t="str">
        <f t="shared" si="15"/>
        <v>2021</v>
      </c>
      <c r="G27" s="182" t="str">
        <f t="shared" si="15"/>
        <v>2022</v>
      </c>
      <c r="H27" s="182">
        <f t="shared" si="15"/>
        <v>0</v>
      </c>
      <c r="I27" s="182">
        <f t="shared" si="15"/>
        <v>0</v>
      </c>
      <c r="J27" s="182">
        <f t="shared" si="15"/>
        <v>0</v>
      </c>
      <c r="L27" s="181" t="s">
        <v>47</v>
      </c>
      <c r="M27" s="181"/>
      <c r="N27" s="182" t="str">
        <f t="shared" ref="N27:U27" si="16">C27</f>
        <v>2018</v>
      </c>
      <c r="O27" s="182" t="str">
        <f t="shared" si="16"/>
        <v>2019</v>
      </c>
      <c r="P27" s="182" t="str">
        <f t="shared" si="16"/>
        <v>2020</v>
      </c>
      <c r="Q27" s="182" t="str">
        <f t="shared" si="16"/>
        <v>2021</v>
      </c>
      <c r="R27" s="182" t="str">
        <f t="shared" si="16"/>
        <v>2022</v>
      </c>
      <c r="S27" s="182">
        <f t="shared" si="16"/>
        <v>0</v>
      </c>
      <c r="T27" s="182">
        <f t="shared" si="16"/>
        <v>0</v>
      </c>
      <c r="U27" s="182">
        <f t="shared" si="16"/>
        <v>0</v>
      </c>
    </row>
    <row r="28" spans="1:21">
      <c r="A28" s="176"/>
      <c r="B28" s="176"/>
      <c r="C28" s="176"/>
      <c r="D28" s="176"/>
      <c r="E28" s="176"/>
      <c r="F28" s="176"/>
      <c r="G28" s="176"/>
      <c r="H28" s="176"/>
      <c r="I28" s="176"/>
      <c r="J28" s="176"/>
      <c r="L28" s="176"/>
      <c r="M28" s="176"/>
      <c r="N28" s="176"/>
      <c r="O28" s="176"/>
      <c r="P28" s="176"/>
      <c r="Q28" s="176"/>
      <c r="R28" s="201"/>
      <c r="S28" s="201"/>
      <c r="T28" s="201"/>
      <c r="U28" s="201"/>
    </row>
    <row r="29" spans="1:21">
      <c r="A29" s="177" t="s">
        <v>48</v>
      </c>
      <c r="B29" s="189"/>
      <c r="C29" s="202">
        <f>SUMIF(BS.data!$D$5:$D$116,FSA!$A29,BS.data!E$5:E$116)</f>
        <v>15508653</v>
      </c>
      <c r="D29" s="202">
        <f>SUMIF(BS.data!$D$5:$D$116,FSA!$A29,BS.data!F$5:F$116)</f>
        <v>29619837</v>
      </c>
      <c r="E29" s="202">
        <f>SUMIF(BS.data!$D$5:$D$116,FSA!$A29,BS.data!G$5:G$116)</f>
        <v>39817313</v>
      </c>
      <c r="F29" s="202">
        <f>SUMIF(BS.data!$D$5:$D$116,FSA!$A29,BS.data!H$5:H$116)</f>
        <v>26432684</v>
      </c>
      <c r="G29" s="202">
        <f>SUMIF(BS.data!$D$5:$D$116,FSA!$A29,BS.data!I$5:I$116)</f>
        <v>32949182</v>
      </c>
      <c r="H29" s="202">
        <f>SUMIF(BS.data!$D$5:$D$116,FSA!$A29,BS.data!J$5:J$116)</f>
        <v>0</v>
      </c>
      <c r="I29" s="202">
        <f>SUMIF(BS.data!$D$5:$D$116,FSA!$A29,BS.data!K$5:K$116)</f>
        <v>0</v>
      </c>
      <c r="J29" s="202">
        <f>SUMIF(BS.data!$D$5:$D$116,FSA!$A29,BS.data!L$5:L$116)</f>
        <v>0</v>
      </c>
      <c r="L29" s="176" t="s">
        <v>49</v>
      </c>
      <c r="M29" s="176"/>
      <c r="N29" s="176"/>
      <c r="O29" s="176"/>
      <c r="P29" s="176"/>
      <c r="Q29" s="176"/>
      <c r="R29" s="201"/>
      <c r="S29" s="201"/>
      <c r="T29" s="201"/>
      <c r="U29" s="201"/>
    </row>
    <row r="30" spans="1:21">
      <c r="A30" s="177" t="s">
        <v>50</v>
      </c>
      <c r="B30" s="189"/>
      <c r="C30" s="202">
        <f>SUMIF(BS.data!$D$5:$D$116,FSA!$A30,BS.data!E$5:E$116)</f>
        <v>7594010</v>
      </c>
      <c r="D30" s="202">
        <f>SUMIF(BS.data!$D$5:$D$116,FSA!$A30,BS.data!F$5:F$116)</f>
        <v>16640800</v>
      </c>
      <c r="E30" s="202">
        <f>SUMIF(BS.data!$D$5:$D$116,FSA!$A30,BS.data!G$5:G$116)</f>
        <v>16026874</v>
      </c>
      <c r="F30" s="202">
        <f>SUMIF(BS.data!$D$5:$D$116,FSA!$A30,BS.data!H$5:H$116)</f>
        <v>20004799</v>
      </c>
      <c r="G30" s="202">
        <f>SUMIF(BS.data!$D$5:$D$116,FSA!$A30,BS.data!I$5:I$116)</f>
        <v>25276287</v>
      </c>
      <c r="H30" s="202">
        <f>SUMIF(BS.data!$D$5:$D$116,FSA!$A30,BS.data!J$5:J$116)</f>
        <v>0</v>
      </c>
      <c r="I30" s="202">
        <f>SUMIF(BS.data!$D$5:$D$116,FSA!$A30,BS.data!K$5:K$116)</f>
        <v>0</v>
      </c>
      <c r="J30" s="202">
        <f>SUMIF(BS.data!$D$5:$D$116,FSA!$A30,BS.data!L$5:L$116)</f>
        <v>0</v>
      </c>
      <c r="K30" s="203"/>
      <c r="L30" s="177" t="s">
        <v>51</v>
      </c>
      <c r="M30" s="177"/>
      <c r="N30" s="130" t="s">
        <v>52</v>
      </c>
      <c r="O30" s="204">
        <f t="shared" ref="O30:U30" si="17">D7/C7-1</f>
        <v>6.6792354693898881E-2</v>
      </c>
      <c r="P30" s="204">
        <f t="shared" si="17"/>
        <v>-0.15031205893468869</v>
      </c>
      <c r="Q30" s="204">
        <f t="shared" si="17"/>
        <v>0.13754939325613202</v>
      </c>
      <c r="R30" s="204">
        <f t="shared" si="17"/>
        <v>-0.19010814647427787</v>
      </c>
      <c r="S30" s="204">
        <f t="shared" si="17"/>
        <v>-1</v>
      </c>
      <c r="T30" s="204" t="e">
        <f t="shared" si="17"/>
        <v>#DIV/0!</v>
      </c>
      <c r="U30" s="204" t="e">
        <f t="shared" si="17"/>
        <v>#DIV/0!</v>
      </c>
    </row>
    <row r="31" spans="1:21">
      <c r="A31" s="189" t="s">
        <v>53</v>
      </c>
      <c r="B31" s="189"/>
      <c r="C31" s="202">
        <f>SUMIF(BS.data!$D$5:$D$116,FSA!$A31,BS.data!E$5:E$116)</f>
        <v>55105514</v>
      </c>
      <c r="D31" s="202">
        <f>SUMIF(BS.data!$D$5:$D$116,FSA!$A31,BS.data!F$5:F$116)</f>
        <v>83808756</v>
      </c>
      <c r="E31" s="202">
        <f>SUMIF(BS.data!$D$5:$D$116,FSA!$A31,BS.data!G$5:G$116)</f>
        <v>62495269</v>
      </c>
      <c r="F31" s="202">
        <f>SUMIF(BS.data!$D$5:$D$116,FSA!$A31,BS.data!H$5:H$116)</f>
        <v>50425325</v>
      </c>
      <c r="G31" s="202">
        <f>SUMIF(BS.data!$D$5:$D$116,FSA!$A31,BS.data!I$5:I$116)</f>
        <v>98587507</v>
      </c>
      <c r="H31" s="202">
        <f>SUMIF(BS.data!$D$5:$D$116,FSA!$A31,BS.data!J$5:J$116)</f>
        <v>0</v>
      </c>
      <c r="I31" s="202">
        <f>SUMIF(BS.data!$D$5:$D$116,FSA!$A31,BS.data!K$5:K$116)</f>
        <v>0</v>
      </c>
      <c r="J31" s="202">
        <f>SUMIF(BS.data!$D$5:$D$116,FSA!$A31,BS.data!L$5:L$116)</f>
        <v>0</v>
      </c>
      <c r="K31" s="203"/>
      <c r="L31" s="126" t="s">
        <v>54</v>
      </c>
      <c r="N31" s="205">
        <f t="shared" ref="N31:U31" si="18">C9/C7</f>
        <v>0.23728201623700515</v>
      </c>
      <c r="O31" s="205">
        <f t="shared" si="18"/>
        <v>0.28877551568137116</v>
      </c>
      <c r="P31" s="205">
        <f t="shared" si="18"/>
        <v>0.15669111077195533</v>
      </c>
      <c r="Q31" s="205">
        <f t="shared" si="18"/>
        <v>0.27102619369713243</v>
      </c>
      <c r="R31" s="205">
        <f t="shared" si="18"/>
        <v>0.14434929699202451</v>
      </c>
      <c r="S31" s="205" t="e">
        <f t="shared" si="18"/>
        <v>#DIV/0!</v>
      </c>
      <c r="T31" s="205" t="e">
        <f t="shared" si="18"/>
        <v>#DIV/0!</v>
      </c>
      <c r="U31" s="205" t="e">
        <f t="shared" si="18"/>
        <v>#DIV/0!</v>
      </c>
    </row>
    <row r="32" spans="1:21">
      <c r="A32" s="120" t="s">
        <v>55</v>
      </c>
      <c r="C32" s="202">
        <f>SUMIF(BS.data!$D$5:$D$116,FSA!$A32,BS.data!E$5:E$116)</f>
        <v>16677008</v>
      </c>
      <c r="D32" s="202">
        <f>SUMIF(BS.data!$D$5:$D$116,FSA!$A32,BS.data!F$5:F$116)</f>
        <v>16519157</v>
      </c>
      <c r="E32" s="202">
        <f>SUMIF(BS.data!$D$5:$D$116,FSA!$A32,BS.data!G$5:G$116)</f>
        <v>15346915</v>
      </c>
      <c r="F32" s="202">
        <f>SUMIF(BS.data!$D$5:$D$116,FSA!$A32,BS.data!H$5:H$116)</f>
        <v>21271470</v>
      </c>
      <c r="G32" s="202">
        <f>SUMIF(BS.data!$D$5:$D$116,FSA!$A32,BS.data!I$5:I$116)</f>
        <v>37954852</v>
      </c>
      <c r="H32" s="202">
        <f>SUMIF(BS.data!$D$5:$D$116,FSA!$A32,BS.data!J$5:J$116)</f>
        <v>0</v>
      </c>
      <c r="I32" s="202">
        <f>SUMIF(BS.data!$D$5:$D$116,FSA!$A32,BS.data!K$5:K$116)</f>
        <v>0</v>
      </c>
      <c r="J32" s="202">
        <f>SUMIF(BS.data!$D$5:$D$116,FSA!$A32,BS.data!L$5:L$116)</f>
        <v>0</v>
      </c>
      <c r="L32" s="137" t="s">
        <v>56</v>
      </c>
      <c r="M32" s="137"/>
      <c r="N32" s="206">
        <f t="shared" ref="N32:U32" si="19">C25/C7</f>
        <v>0.13617107922923449</v>
      </c>
      <c r="O32" s="206">
        <f t="shared" si="19"/>
        <v>0.14582890090740555</v>
      </c>
      <c r="P32" s="206">
        <f t="shared" si="19"/>
        <v>6.0816951697353551E-2</v>
      </c>
      <c r="Q32" s="206">
        <f t="shared" si="19"/>
        <v>0.14352988876333095</v>
      </c>
      <c r="R32" s="206">
        <f t="shared" si="19"/>
        <v>0.10465452527252651</v>
      </c>
      <c r="S32" s="206" t="e">
        <f t="shared" si="19"/>
        <v>#DIV/0!</v>
      </c>
      <c r="T32" s="206" t="e">
        <f t="shared" si="19"/>
        <v>#DIV/0!</v>
      </c>
      <c r="U32" s="206" t="e">
        <f t="shared" si="19"/>
        <v>#DIV/0!</v>
      </c>
    </row>
    <row r="33" spans="1:21">
      <c r="A33" s="120" t="s">
        <v>57</v>
      </c>
      <c r="C33" s="202">
        <f>SUMIF(BS.data!$D$5:$D$116,FSA!$A33,BS.data!E$5:E$116)</f>
        <v>2484728</v>
      </c>
      <c r="D33" s="202">
        <f>SUMIF(BS.data!$D$5:$D$116,FSA!$A33,BS.data!F$5:F$116)</f>
        <v>3254545</v>
      </c>
      <c r="E33" s="202">
        <f>SUMIF(BS.data!$D$5:$D$116,FSA!$A33,BS.data!G$5:G$116)</f>
        <v>2753060</v>
      </c>
      <c r="F33" s="202">
        <f>SUMIF(BS.data!$D$5:$D$116,FSA!$A33,BS.data!H$5:H$116)</f>
        <v>1299866</v>
      </c>
      <c r="G33" s="202">
        <f>SUMIF(BS.data!$D$5:$D$116,FSA!$A33,BS.data!I$5:I$116)</f>
        <v>3252605</v>
      </c>
      <c r="H33" s="202">
        <f>SUMIF(BS.data!$D$5:$D$116,FSA!$A33,BS.data!J$5:J$116)</f>
        <v>0</v>
      </c>
      <c r="I33" s="202">
        <f>SUMIF(BS.data!$D$5:$D$116,FSA!$A33,BS.data!K$5:K$116)</f>
        <v>0</v>
      </c>
      <c r="J33" s="202">
        <f>SUMIF(BS.data!$D$5:$D$116,FSA!$A33,BS.data!L$5:L$116)</f>
        <v>0</v>
      </c>
      <c r="L33" s="177" t="s">
        <v>58</v>
      </c>
      <c r="N33" s="205">
        <f t="shared" ref="N33:U33" si="20">N11/C7</f>
        <v>6.187149696786727E-2</v>
      </c>
      <c r="O33" s="205">
        <f t="shared" si="20"/>
        <v>4.7059770687834221E-2</v>
      </c>
      <c r="P33" s="205">
        <f t="shared" si="20"/>
        <v>1.4899407261467648E-2</v>
      </c>
      <c r="Q33" s="205">
        <f t="shared" si="20"/>
        <v>8.5214722789080599E-2</v>
      </c>
      <c r="R33" s="205">
        <f t="shared" si="20"/>
        <v>3.5261555094897828E-3</v>
      </c>
      <c r="S33" s="205" t="e">
        <f t="shared" si="20"/>
        <v>#DIV/0!</v>
      </c>
      <c r="T33" s="205" t="e">
        <f t="shared" si="20"/>
        <v>#DIV/0!</v>
      </c>
      <c r="U33" s="205" t="e">
        <f t="shared" si="20"/>
        <v>#DIV/0!</v>
      </c>
    </row>
    <row r="34" spans="1:21">
      <c r="A34" s="189" t="s">
        <v>59</v>
      </c>
      <c r="B34" s="189"/>
      <c r="C34" s="202">
        <f>SUMIF(BS.data!$D$5:$D$116,FSA!$A34,BS.data!E$5:E$116)</f>
        <v>49894119</v>
      </c>
      <c r="D34" s="202">
        <f>SUMIF(BS.data!$D$5:$D$116,FSA!$A34,BS.data!F$5:F$116)</f>
        <v>59747878</v>
      </c>
      <c r="E34" s="202">
        <f>SUMIF(BS.data!$D$5:$D$116,FSA!$A34,BS.data!G$5:G$116)</f>
        <v>50363154</v>
      </c>
      <c r="F34" s="202">
        <f>SUMIF(BS.data!$D$5:$D$116,FSA!$A34,BS.data!H$5:H$116)</f>
        <v>50564966</v>
      </c>
      <c r="G34" s="202">
        <f>SUMIF(BS.data!$D$5:$D$116,FSA!$A34,BS.data!I$5:I$116)</f>
        <v>104483902</v>
      </c>
      <c r="H34" s="202">
        <f>SUMIF(BS.data!$D$5:$D$116,FSA!$A34,BS.data!J$5:J$116)</f>
        <v>0</v>
      </c>
      <c r="I34" s="202">
        <f>SUMIF(BS.data!$D$5:$D$116,FSA!$A34,BS.data!K$5:K$116)</f>
        <v>0</v>
      </c>
      <c r="J34" s="202">
        <f>SUMIF(BS.data!$D$5:$D$116,FSA!$A34,BS.data!L$5:L$116)</f>
        <v>0</v>
      </c>
      <c r="L34" s="120" t="s">
        <v>60</v>
      </c>
      <c r="N34" s="130" t="s">
        <v>52</v>
      </c>
      <c r="O34" s="207">
        <f t="shared" ref="O34:U34" si="21">(D16-D14)/(AVERAGE(C48+C54,D48+D54))</f>
        <v>0.10394988560703058</v>
      </c>
      <c r="P34" s="207">
        <f t="shared" si="21"/>
        <v>9.8635023282833884E-2</v>
      </c>
      <c r="Q34" s="207">
        <f t="shared" si="21"/>
        <v>4.8263638029870617E-2</v>
      </c>
      <c r="R34" s="207">
        <f t="shared" si="21"/>
        <v>7.8389384184970004E-2</v>
      </c>
      <c r="S34" s="207">
        <f t="shared" si="21"/>
        <v>0</v>
      </c>
      <c r="T34" s="207" t="e">
        <f t="shared" si="21"/>
        <v>#DIV/0!</v>
      </c>
      <c r="U34" s="207" t="e">
        <f t="shared" si="21"/>
        <v>#DIV/0!</v>
      </c>
    </row>
    <row r="35" spans="1:21">
      <c r="A35" s="177" t="s">
        <v>61</v>
      </c>
      <c r="B35" s="202"/>
      <c r="C35" s="202">
        <f>SUMIF(BS.data!$D$5:$D$116,FSA!$A35,BS.data!E$5:E$116)</f>
        <v>32811825</v>
      </c>
      <c r="D35" s="202">
        <f>SUMIF(BS.data!$D$5:$D$116,FSA!$A35,BS.data!F$5:F$116)</f>
        <v>37823140</v>
      </c>
      <c r="E35" s="202">
        <f>SUMIF(BS.data!$D$5:$D$116,FSA!$A35,BS.data!G$5:G$116)</f>
        <v>42139694</v>
      </c>
      <c r="F35" s="202">
        <f>SUMIF(BS.data!$D$5:$D$116,FSA!$A35,BS.data!H$5:H$116)</f>
        <v>44364062</v>
      </c>
      <c r="G35" s="202">
        <f>SUMIF(BS.data!$D$5:$D$116,FSA!$A35,BS.data!I$5:I$116)</f>
        <v>49452451</v>
      </c>
      <c r="H35" s="202">
        <f>SUMIF(BS.data!$D$5:$D$116,FSA!$A35,BS.data!J$5:J$116)</f>
        <v>0</v>
      </c>
      <c r="I35" s="202">
        <f>SUMIF(BS.data!$D$5:$D$116,FSA!$A35,BS.data!K$5:K$116)</f>
        <v>0</v>
      </c>
      <c r="J35" s="202">
        <f>SUMIF(BS.data!$D$5:$D$116,FSA!$A35,BS.data!L$5:L$116)</f>
        <v>0</v>
      </c>
      <c r="L35" s="177" t="s">
        <v>62</v>
      </c>
      <c r="N35" s="130" t="s">
        <v>52</v>
      </c>
      <c r="O35" s="131">
        <f t="shared" ref="O35:U35" si="22">(AVERAGE(C30:D30)/D7)*365</f>
        <v>34.012522292478145</v>
      </c>
      <c r="P35" s="131">
        <f t="shared" si="22"/>
        <v>53.958265221986132</v>
      </c>
      <c r="Q35" s="131">
        <f t="shared" si="22"/>
        <v>52.318336864965573</v>
      </c>
      <c r="R35" s="131">
        <f t="shared" si="22"/>
        <v>81.181917687109191</v>
      </c>
      <c r="S35" s="131" t="e">
        <f t="shared" si="22"/>
        <v>#DIV/0!</v>
      </c>
      <c r="T35" s="131" t="e">
        <f t="shared" si="22"/>
        <v>#DIV/0!</v>
      </c>
      <c r="U35" s="131" t="e">
        <f t="shared" si="22"/>
        <v>#DIV/0!</v>
      </c>
    </row>
    <row r="36" spans="1:21">
      <c r="A36" s="177" t="s">
        <v>63</v>
      </c>
      <c r="B36" s="189"/>
      <c r="C36" s="202">
        <f>SUMIF(BS.data!$D$5:$D$116,FSA!$A36,BS.data!E$5:E$116)</f>
        <v>107078446</v>
      </c>
      <c r="D36" s="202">
        <f>SUMIF(BS.data!$D$5:$D$116,FSA!$A36,BS.data!F$5:F$116)</f>
        <v>136356350</v>
      </c>
      <c r="E36" s="202">
        <f>SUMIF(BS.data!$D$5:$D$116,FSA!$A36,BS.data!G$5:G$116)</f>
        <v>171734781</v>
      </c>
      <c r="F36" s="202">
        <f>SUMIF(BS.data!$D$5:$D$116,FSA!$A36,BS.data!H$5:H$116)</f>
        <v>189392774</v>
      </c>
      <c r="G36" s="202">
        <f>SUMIF(BS.data!$D$5:$D$116,FSA!$A36,BS.data!I$5:I$116)</f>
        <v>207052672</v>
      </c>
      <c r="H36" s="202">
        <f>SUMIF(BS.data!$D$5:$D$116,FSA!$A36,BS.data!J$5:J$116)</f>
        <v>0</v>
      </c>
      <c r="I36" s="202">
        <f>SUMIF(BS.data!$D$5:$D$116,FSA!$A36,BS.data!K$5:K$116)</f>
        <v>0</v>
      </c>
      <c r="J36" s="202">
        <f>SUMIF(BS.data!$D$5:$D$116,FSA!$A36,BS.data!L$5:L$116)</f>
        <v>0</v>
      </c>
      <c r="L36" s="177" t="s">
        <v>64</v>
      </c>
      <c r="N36" s="130" t="s">
        <v>52</v>
      </c>
      <c r="O36" s="131">
        <f t="shared" ref="O36:U36" si="23">(AVERAGE(C31:D31)/-D8)*365</f>
        <v>274.11915360532174</v>
      </c>
      <c r="P36" s="131">
        <f t="shared" si="23"/>
        <v>286.55590450765396</v>
      </c>
      <c r="Q36" s="131">
        <f t="shared" si="23"/>
        <v>224.92137665185436</v>
      </c>
      <c r="R36" s="131">
        <f t="shared" si="23"/>
        <v>312.22640524226534</v>
      </c>
      <c r="S36" s="131" t="e">
        <f t="shared" si="23"/>
        <v>#DIV/0!</v>
      </c>
      <c r="T36" s="131" t="e">
        <f t="shared" si="23"/>
        <v>#DIV/0!</v>
      </c>
      <c r="U36" s="131" t="e">
        <f t="shared" si="23"/>
        <v>#DIV/0!</v>
      </c>
    </row>
    <row r="37" spans="1:21">
      <c r="A37" s="189" t="s">
        <v>65</v>
      </c>
      <c r="B37" s="189"/>
      <c r="C37" s="202">
        <f>SUMIF(BS.data!$D$5:$D$116,FSA!$A37,BS.data!E$5:E$116)</f>
        <v>819873</v>
      </c>
      <c r="D37" s="202">
        <f>SUMIF(BS.data!$D$5:$D$116,FSA!$A37,BS.data!F$5:F$116)</f>
        <v>19970291</v>
      </c>
      <c r="E37" s="202">
        <f>SUMIF(BS.data!$D$5:$D$116,FSA!$A37,BS.data!G$5:G$116)</f>
        <v>21826707</v>
      </c>
      <c r="F37" s="202">
        <f>SUMIF(BS.data!$D$5:$D$116,FSA!$A37,BS.data!H$5:H$116)</f>
        <v>24628519</v>
      </c>
      <c r="G37" s="202">
        <f>SUMIF(BS.data!$D$5:$D$116,FSA!$A37,BS.data!I$5:I$116)</f>
        <v>18397782</v>
      </c>
      <c r="H37" s="202">
        <f>SUMIF(BS.data!$D$5:$D$116,FSA!$A37,BS.data!J$5:J$116)</f>
        <v>0</v>
      </c>
      <c r="I37" s="202">
        <f>SUMIF(BS.data!$D$5:$D$116,FSA!$A37,BS.data!K$5:K$116)</f>
        <v>0</v>
      </c>
      <c r="J37" s="202">
        <f>SUMIF(BS.data!$D$5:$D$116,FSA!$A37,BS.data!L$5:L$116)</f>
        <v>0</v>
      </c>
      <c r="L37" s="177" t="s">
        <v>66</v>
      </c>
      <c r="N37" s="130" t="s">
        <v>52</v>
      </c>
      <c r="O37" s="131">
        <f t="shared" ref="O37:U37" si="24">(AVERAGE(C40:D40)/-D8)*365</f>
        <v>63.810755458543099</v>
      </c>
      <c r="P37" s="131">
        <f t="shared" si="24"/>
        <v>70.657688707563707</v>
      </c>
      <c r="Q37" s="131">
        <f t="shared" si="24"/>
        <v>76.008616325358332</v>
      </c>
      <c r="R37" s="131">
        <f t="shared" si="24"/>
        <v>117.73022465621314</v>
      </c>
      <c r="S37" s="131" t="e">
        <f t="shared" si="24"/>
        <v>#DIV/0!</v>
      </c>
      <c r="T37" s="131" t="e">
        <f t="shared" si="24"/>
        <v>#DIV/0!</v>
      </c>
      <c r="U37" s="131" t="e">
        <f t="shared" si="24"/>
        <v>#DIV/0!</v>
      </c>
    </row>
    <row r="38" spans="1:21">
      <c r="A38" s="176" t="s">
        <v>67</v>
      </c>
      <c r="B38" s="176"/>
      <c r="C38" s="208">
        <f t="shared" ref="C38:J38" si="25">SUM(C29:C37)</f>
        <v>287974176</v>
      </c>
      <c r="D38" s="208">
        <f t="shared" si="25"/>
        <v>403740754</v>
      </c>
      <c r="E38" s="208">
        <f t="shared" si="25"/>
        <v>422503767</v>
      </c>
      <c r="F38" s="208">
        <f t="shared" si="25"/>
        <v>428384465</v>
      </c>
      <c r="G38" s="208">
        <f t="shared" si="25"/>
        <v>577407240</v>
      </c>
      <c r="H38" s="208">
        <f t="shared" si="25"/>
        <v>0</v>
      </c>
      <c r="I38" s="208">
        <f t="shared" si="25"/>
        <v>0</v>
      </c>
      <c r="J38" s="208">
        <f t="shared" si="25"/>
        <v>0</v>
      </c>
      <c r="L38" s="137" t="s">
        <v>68</v>
      </c>
      <c r="M38" s="137"/>
      <c r="N38" s="209">
        <f t="shared" ref="N38:U38" si="26">(C30+C31+C32+C33-C40-C41-C42-C43)</f>
        <v>22378632</v>
      </c>
      <c r="O38" s="209">
        <f t="shared" si="26"/>
        <v>31030131</v>
      </c>
      <c r="P38" s="209">
        <f t="shared" si="26"/>
        <v>10269927</v>
      </c>
      <c r="Q38" s="209">
        <f t="shared" si="26"/>
        <v>20883619</v>
      </c>
      <c r="R38" s="209">
        <f t="shared" si="26"/>
        <v>8263344</v>
      </c>
      <c r="S38" s="209">
        <f t="shared" si="26"/>
        <v>0</v>
      </c>
      <c r="T38" s="209">
        <f t="shared" si="26"/>
        <v>0</v>
      </c>
      <c r="U38" s="209">
        <f t="shared" si="26"/>
        <v>0</v>
      </c>
    </row>
    <row r="39" spans="1:21">
      <c r="A39" s="176"/>
      <c r="B39" s="176"/>
      <c r="C39" s="208"/>
      <c r="D39" s="208"/>
      <c r="E39" s="208"/>
      <c r="F39" s="208"/>
      <c r="G39" s="208"/>
      <c r="H39" s="208"/>
      <c r="I39" s="208"/>
      <c r="J39" s="208"/>
      <c r="L39" s="137" t="s">
        <v>69</v>
      </c>
      <c r="N39" s="132" t="s">
        <v>52</v>
      </c>
      <c r="O39" s="133">
        <f t="shared" ref="O39:U39" si="27">(O38+N38)/2/D7</f>
        <v>0.20536142779645644</v>
      </c>
      <c r="P39" s="133">
        <f t="shared" si="27"/>
        <v>0.18689494825293426</v>
      </c>
      <c r="Q39" s="133">
        <f t="shared" si="27"/>
        <v>0.1239321901150843</v>
      </c>
      <c r="R39" s="133">
        <f t="shared" si="27"/>
        <v>0.14316699750284845</v>
      </c>
      <c r="S39" s="133" t="e">
        <f t="shared" si="27"/>
        <v>#DIV/0!</v>
      </c>
      <c r="T39" s="133" t="e">
        <f t="shared" si="27"/>
        <v>#DIV/0!</v>
      </c>
      <c r="U39" s="133" t="e">
        <f t="shared" si="27"/>
        <v>#DIV/0!</v>
      </c>
    </row>
    <row r="40" spans="1:21">
      <c r="A40" s="189" t="s">
        <v>70</v>
      </c>
      <c r="B40" s="189"/>
      <c r="C40" s="202">
        <f>SUMIF(BS.data!$D$5:$D$116,FSA!$A40,BS.data!E$5:E$116)</f>
        <v>14773384</v>
      </c>
      <c r="D40" s="202">
        <f>SUMIF(BS.data!$D$5:$D$116,FSA!$A40,BS.data!F$5:F$116)</f>
        <v>17563738</v>
      </c>
      <c r="E40" s="202">
        <f>SUMIF(BS.data!$D$5:$D$116,FSA!$A40,BS.data!G$5:G$116)</f>
        <v>18511262</v>
      </c>
      <c r="F40" s="202">
        <f>SUMIF(BS.data!$D$5:$D$116,FSA!$A40,BS.data!H$5:H$116)</f>
        <v>19648464</v>
      </c>
      <c r="G40" s="202">
        <f>SUMIF(BS.data!$D$5:$D$116,FSA!$A40,BS.data!I$5:I$116)</f>
        <v>36539334</v>
      </c>
      <c r="H40" s="202">
        <f>SUMIF(BS.data!$D$5:$D$116,FSA!$A40,BS.data!J$5:J$116)</f>
        <v>0</v>
      </c>
      <c r="I40" s="202">
        <f>SUMIF(BS.data!$D$5:$D$116,FSA!$A40,BS.data!K$5:K$116)</f>
        <v>0</v>
      </c>
      <c r="J40" s="202">
        <f>SUMIF(BS.data!$D$5:$D$116,FSA!$A40,BS.data!L$5:L$116)</f>
        <v>0</v>
      </c>
      <c r="L40" s="137" t="s">
        <v>71</v>
      </c>
      <c r="M40" s="137"/>
      <c r="N40" s="130" t="s">
        <v>52</v>
      </c>
      <c r="O40" s="210">
        <f t="shared" ref="O40:U40" si="28">D7/AVERAGE(C36:D36)</f>
        <v>1.0683436890427118</v>
      </c>
      <c r="P40" s="210">
        <f t="shared" si="28"/>
        <v>0.71725552528157654</v>
      </c>
      <c r="Q40" s="210">
        <f t="shared" si="28"/>
        <v>0.69608573624352754</v>
      </c>
      <c r="R40" s="210">
        <f t="shared" si="28"/>
        <v>0.51353134726133287</v>
      </c>
      <c r="S40" s="210">
        <f t="shared" si="28"/>
        <v>0</v>
      </c>
      <c r="T40" s="210" t="e">
        <f t="shared" si="28"/>
        <v>#DIV/0!</v>
      </c>
      <c r="U40" s="210" t="e">
        <f t="shared" si="28"/>
        <v>#DIV/0!</v>
      </c>
    </row>
    <row r="41" spans="1:21">
      <c r="A41" s="189" t="s">
        <v>72</v>
      </c>
      <c r="B41" s="189"/>
      <c r="C41" s="202">
        <f>SUMIF(BS.data!$D$5:$D$116,FSA!$A41,BS.data!E$5:E$116)</f>
        <v>17031687</v>
      </c>
      <c r="D41" s="202">
        <f>SUMIF(BS.data!$D$5:$D$116,FSA!$A41,BS.data!F$5:F$116)</f>
        <v>17634689</v>
      </c>
      <c r="E41" s="202">
        <f>SUMIF(BS.data!$D$5:$D$116,FSA!$A41,BS.data!G$5:G$116)</f>
        <v>25613143</v>
      </c>
      <c r="F41" s="202">
        <f>SUMIF(BS.data!$D$5:$D$116,FSA!$A41,BS.data!H$5:H$116)</f>
        <v>27601612</v>
      </c>
      <c r="G41" s="202">
        <f>SUMIF(BS.data!$D$5:$D$116,FSA!$A41,BS.data!I$5:I$116)</f>
        <v>41975559</v>
      </c>
      <c r="H41" s="202">
        <f>SUMIF(BS.data!$D$5:$D$116,FSA!$A41,BS.data!J$5:J$116)</f>
        <v>0</v>
      </c>
      <c r="I41" s="202">
        <f>SUMIF(BS.data!$D$5:$D$116,FSA!$A41,BS.data!K$5:K$116)</f>
        <v>0</v>
      </c>
      <c r="J41" s="202">
        <f>SUMIF(BS.data!$D$5:$D$116,FSA!$A41,BS.data!L$5:L$116)</f>
        <v>0</v>
      </c>
      <c r="L41" s="137" t="s">
        <v>73</v>
      </c>
      <c r="M41" s="137"/>
      <c r="N41" s="137">
        <f t="shared" ref="N41:U41" si="29">-N14/C21</f>
        <v>8.4314479297014646</v>
      </c>
      <c r="O41" s="137">
        <f t="shared" si="29"/>
        <v>6.5669436821753777</v>
      </c>
      <c r="P41" s="137">
        <f t="shared" si="29"/>
        <v>2.6128001740938944</v>
      </c>
      <c r="Q41" s="137">
        <f t="shared" si="29"/>
        <v>2.463943940157221</v>
      </c>
      <c r="R41" s="137">
        <f t="shared" si="29"/>
        <v>3.3752126766338377</v>
      </c>
      <c r="S41" s="137" t="e">
        <f t="shared" si="29"/>
        <v>#DIV/0!</v>
      </c>
      <c r="T41" s="137" t="e">
        <f t="shared" si="29"/>
        <v>#DIV/0!</v>
      </c>
      <c r="U41" s="137" t="e">
        <f t="shared" si="29"/>
        <v>#DIV/0!</v>
      </c>
    </row>
    <row r="42" spans="1:21">
      <c r="A42" s="189" t="s">
        <v>74</v>
      </c>
      <c r="C42" s="202">
        <f>SUMIF(BS.data!$D$5:$D$116,FSA!$A42,BS.data!E$5:E$116)</f>
        <v>25203958</v>
      </c>
      <c r="D42" s="202">
        <f>SUMIF(BS.data!$D$5:$D$116,FSA!$A42,BS.data!F$5:F$116)</f>
        <v>51470178</v>
      </c>
      <c r="E42" s="202">
        <f>SUMIF(BS.data!$D$5:$D$116,FSA!$A42,BS.data!G$5:G$116)</f>
        <v>37277334</v>
      </c>
      <c r="F42" s="202">
        <f>SUMIF(BS.data!$D$5:$D$116,FSA!$A42,BS.data!H$5:H$116)</f>
        <v>21680341</v>
      </c>
      <c r="G42" s="202">
        <f>SUMIF(BS.data!$D$5:$D$116,FSA!$A42,BS.data!I$5:I$116)</f>
        <v>74724604</v>
      </c>
      <c r="H42" s="202">
        <f>SUMIF(BS.data!$D$5:$D$116,FSA!$A42,BS.data!J$5:J$116)</f>
        <v>0</v>
      </c>
      <c r="I42" s="202">
        <f>SUMIF(BS.data!$D$5:$D$116,FSA!$A42,BS.data!K$5:K$116)</f>
        <v>0</v>
      </c>
      <c r="J42" s="202">
        <f>SUMIF(BS.data!$D$5:$D$116,FSA!$A42,BS.data!L$5:L$116)</f>
        <v>0</v>
      </c>
      <c r="L42" s="137" t="s">
        <v>75</v>
      </c>
      <c r="N42" s="138">
        <f t="shared" ref="N42:U42" si="30">-N14/C7</f>
        <v>0.35659061449910745</v>
      </c>
      <c r="O42" s="138">
        <f t="shared" si="30"/>
        <v>0.42106085318794839</v>
      </c>
      <c r="P42" s="138">
        <f t="shared" si="30"/>
        <v>0.23797627067411592</v>
      </c>
      <c r="Q42" s="138">
        <f t="shared" si="30"/>
        <v>0.29247951293947461</v>
      </c>
      <c r="R42" s="138">
        <f t="shared" si="30"/>
        <v>0.70572497389864908</v>
      </c>
      <c r="S42" s="138" t="e">
        <f t="shared" si="30"/>
        <v>#DIV/0!</v>
      </c>
      <c r="T42" s="138" t="e">
        <f t="shared" si="30"/>
        <v>#DIV/0!</v>
      </c>
      <c r="U42" s="138" t="e">
        <f t="shared" si="30"/>
        <v>#DIV/0!</v>
      </c>
    </row>
    <row r="43" spans="1:21">
      <c r="A43" s="189" t="s">
        <v>76</v>
      </c>
      <c r="C43" s="202">
        <f>SUMIF(BS.data!$D$5:$D$116,FSA!$A43,BS.data!E$5:E$116)</f>
        <v>2473599</v>
      </c>
      <c r="D43" s="202">
        <f>SUMIF(BS.data!$D$5:$D$116,FSA!$A43,BS.data!F$5:F$116)</f>
        <v>2524522</v>
      </c>
      <c r="E43" s="202">
        <f>SUMIF(BS.data!$D$5:$D$116,FSA!$A43,BS.data!G$5:G$116)</f>
        <v>4950452</v>
      </c>
      <c r="F43" s="202">
        <f>SUMIF(BS.data!$D$5:$D$116,FSA!$A43,BS.data!H$5:H$116)</f>
        <v>3187424</v>
      </c>
      <c r="G43" s="202">
        <f>SUMIF(BS.data!$D$5:$D$116,FSA!$A43,BS.data!I$5:I$116)</f>
        <v>3568410</v>
      </c>
      <c r="H43" s="202">
        <f>SUMIF(BS.data!$D$5:$D$116,FSA!$A43,BS.data!J$5:J$116)</f>
        <v>0</v>
      </c>
      <c r="I43" s="202">
        <f>SUMIF(BS.data!$D$5:$D$116,FSA!$A43,BS.data!K$5:K$116)</f>
        <v>0</v>
      </c>
      <c r="J43" s="202">
        <f>SUMIF(BS.data!$D$5:$D$116,FSA!$A43,BS.data!L$5:L$116)</f>
        <v>0</v>
      </c>
      <c r="L43" s="137"/>
      <c r="M43" s="137"/>
      <c r="N43" s="209"/>
      <c r="O43" s="209"/>
      <c r="P43" s="209"/>
      <c r="Q43" s="209"/>
      <c r="R43" s="209"/>
      <c r="S43" s="209"/>
      <c r="T43" s="209"/>
      <c r="U43" s="209"/>
    </row>
    <row r="44" spans="1:21">
      <c r="A44" s="189" t="s">
        <v>77</v>
      </c>
      <c r="B44" s="189"/>
      <c r="C44" s="202">
        <f>SUMIF(BS.data!$D$5:$D$116,FSA!$A44,BS.data!E$5:E$116)</f>
        <v>22040126</v>
      </c>
      <c r="D44" s="202">
        <f>SUMIF(BS.data!$D$5:$D$116,FSA!$A44,BS.data!F$5:F$116)</f>
        <v>59811894</v>
      </c>
      <c r="E44" s="202">
        <f>SUMIF(BS.data!$D$5:$D$116,FSA!$A44,BS.data!G$5:G$116)</f>
        <v>62154997</v>
      </c>
      <c r="F44" s="202">
        <f>SUMIF(BS.data!$D$5:$D$116,FSA!$A44,BS.data!H$5:H$116)</f>
        <v>58467149</v>
      </c>
      <c r="G44" s="202">
        <f>SUMIF(BS.data!$D$5:$D$116,FSA!$A44,BS.data!I$5:I$116)</f>
        <v>83557877</v>
      </c>
      <c r="H44" s="202">
        <f>SUMIF(BS.data!$D$5:$D$116,FSA!$A44,BS.data!J$5:J$116)</f>
        <v>0</v>
      </c>
      <c r="I44" s="202">
        <f>SUMIF(BS.data!$D$5:$D$116,FSA!$A44,BS.data!K$5:K$116)</f>
        <v>0</v>
      </c>
      <c r="J44" s="202">
        <f>SUMIF(BS.data!$D$5:$D$116,FSA!$A44,BS.data!L$5:L$116)</f>
        <v>0</v>
      </c>
      <c r="L44" s="134" t="s">
        <v>78</v>
      </c>
    </row>
    <row r="45" spans="1:21">
      <c r="A45" s="189" t="s">
        <v>79</v>
      </c>
      <c r="B45" s="189"/>
      <c r="C45" s="202">
        <f>SUMIF(BS.data!$D$5:$D$116,FSA!$A45,BS.data!E$5:E$116)</f>
        <v>16345367</v>
      </c>
      <c r="D45" s="202">
        <f>SUMIF(BS.data!$D$5:$D$116,FSA!$A45,BS.data!F$5:F$116)</f>
        <v>6461698</v>
      </c>
      <c r="E45" s="202">
        <f>SUMIF(BS.data!$D$5:$D$116,FSA!$A45,BS.data!G$5:G$116)</f>
        <v>8357012</v>
      </c>
      <c r="F45" s="202">
        <f>SUMIF(BS.data!$D$5:$D$116,FSA!$A45,BS.data!H$5:H$116)</f>
        <v>6690958</v>
      </c>
      <c r="G45" s="202">
        <f>SUMIF(BS.data!$D$5:$D$116,FSA!$A45,BS.data!I$5:I$116)</f>
        <v>23482919</v>
      </c>
      <c r="H45" s="202">
        <f>SUMIF(BS.data!$D$5:$D$116,FSA!$A45,BS.data!J$5:J$116)</f>
        <v>0</v>
      </c>
      <c r="I45" s="202">
        <f>SUMIF(BS.data!$D$5:$D$116,FSA!$A45,BS.data!K$5:K$116)</f>
        <v>0</v>
      </c>
      <c r="J45" s="202">
        <f>SUMIF(BS.data!$D$5:$D$116,FSA!$A45,BS.data!L$5:L$116)</f>
        <v>0</v>
      </c>
      <c r="L45" s="137" t="s">
        <v>80</v>
      </c>
      <c r="M45" s="135"/>
      <c r="N45" s="136">
        <f t="shared" ref="N45:U45" si="31">C48/C54</f>
        <v>0.91999720361969251</v>
      </c>
      <c r="O45" s="136">
        <f t="shared" si="31"/>
        <v>1.0588518039629771</v>
      </c>
      <c r="P45" s="136">
        <f t="shared" si="31"/>
        <v>0.95534971089830634</v>
      </c>
      <c r="Q45" s="136">
        <f t="shared" si="31"/>
        <v>0.82430978779179032</v>
      </c>
      <c r="R45" s="136">
        <f t="shared" si="31"/>
        <v>1.311433409504988</v>
      </c>
      <c r="S45" s="136" t="e">
        <f t="shared" si="31"/>
        <v>#DIV/0!</v>
      </c>
      <c r="T45" s="136" t="e">
        <f t="shared" si="31"/>
        <v>#DIV/0!</v>
      </c>
      <c r="U45" s="136" t="e">
        <f t="shared" si="31"/>
        <v>#DIV/0!</v>
      </c>
    </row>
    <row r="46" spans="1:21">
      <c r="A46" s="189" t="s">
        <v>81</v>
      </c>
      <c r="B46" s="189"/>
      <c r="C46" s="202">
        <f>SUMIF(BS.data!$D$5:$D$116,FSA!$A46,BS.data!E$5:E$116)</f>
        <v>19115963</v>
      </c>
      <c r="D46" s="202">
        <f>SUMIF(BS.data!$D$5:$D$116,FSA!$A46,BS.data!F$5:F$116)</f>
        <v>32995790</v>
      </c>
      <c r="E46" s="202">
        <f>SUMIF(BS.data!$D$5:$D$116,FSA!$A46,BS.data!G$5:G$116)</f>
        <v>25971982</v>
      </c>
      <c r="F46" s="202">
        <f>SUMIF(BS.data!$D$5:$D$116,FSA!$A46,BS.data!H$5:H$116)</f>
        <v>20036906</v>
      </c>
      <c r="G46" s="202">
        <f>SUMIF(BS.data!$D$5:$D$116,FSA!$A46,BS.data!I$5:I$116)</f>
        <v>48231777</v>
      </c>
      <c r="H46" s="202">
        <f>SUMIF(BS.data!$D$5:$D$116,FSA!$A46,BS.data!J$5:J$116)</f>
        <v>0</v>
      </c>
      <c r="I46" s="202">
        <f>SUMIF(BS.data!$D$5:$D$116,FSA!$A46,BS.data!K$5:K$116)</f>
        <v>0</v>
      </c>
      <c r="J46" s="202">
        <f>SUMIF(BS.data!$D$5:$D$116,FSA!$A46,BS.data!L$5:L$116)</f>
        <v>0</v>
      </c>
      <c r="K46" s="203"/>
      <c r="L46" s="177" t="s">
        <v>82</v>
      </c>
      <c r="M46" s="177"/>
      <c r="N46" s="137">
        <f t="shared" ref="N46:U46" si="32">C54/C49</f>
        <v>0.52399170427510755</v>
      </c>
      <c r="O46" s="137">
        <f t="shared" si="32"/>
        <v>0.42587910082156394</v>
      </c>
      <c r="P46" s="137">
        <f t="shared" si="32"/>
        <v>0.47393063465889529</v>
      </c>
      <c r="Q46" s="137">
        <f t="shared" si="32"/>
        <v>0.59361751120898909</v>
      </c>
      <c r="R46" s="137">
        <f t="shared" si="32"/>
        <v>0.30708522696176233</v>
      </c>
      <c r="S46" s="137" t="e">
        <f t="shared" si="32"/>
        <v>#DIV/0!</v>
      </c>
      <c r="T46" s="137" t="e">
        <f t="shared" si="32"/>
        <v>#DIV/0!</v>
      </c>
      <c r="U46" s="137" t="e">
        <f t="shared" si="32"/>
        <v>#DIV/0!</v>
      </c>
    </row>
    <row r="47" spans="1:21">
      <c r="A47" s="189" t="s">
        <v>83</v>
      </c>
      <c r="B47" s="189"/>
      <c r="C47" s="202">
        <f>SUMIF(BS.data!$D$5:$D$116,FSA!$A47,BS.data!E$5:E$116)</f>
        <v>71976377</v>
      </c>
      <c r="D47" s="202">
        <f>SUMIF(BS.data!$D$5:$D$116,FSA!$A47,BS.data!F$5:F$116)</f>
        <v>94689655</v>
      </c>
      <c r="E47" s="202">
        <f>SUMIF(BS.data!$D$5:$D$116,FSA!$A47,BS.data!G$5:G$116)</f>
        <v>103814870</v>
      </c>
      <c r="F47" s="202">
        <f>SUMIF(BS.data!$D$5:$D$116,FSA!$A47,BS.data!H$5:H$116)</f>
        <v>111499745</v>
      </c>
      <c r="G47" s="202">
        <f>SUMIF(BS.data!$D$5:$D$116,FSA!$A47,BS.data!I$5:I$116)</f>
        <v>129671311</v>
      </c>
      <c r="H47" s="202">
        <f>SUMIF(BS.data!$D$5:$D$116,FSA!$A47,BS.data!J$5:J$116)</f>
        <v>0</v>
      </c>
      <c r="I47" s="202">
        <f>SUMIF(BS.data!$D$5:$D$116,FSA!$A47,BS.data!K$5:K$116)</f>
        <v>0</v>
      </c>
      <c r="J47" s="202">
        <f>SUMIF(BS.data!$D$5:$D$116,FSA!$A47,BS.data!L$5:L$116)</f>
        <v>0</v>
      </c>
      <c r="L47" s="177" t="s">
        <v>84</v>
      </c>
      <c r="M47" s="177"/>
      <c r="N47" s="211">
        <f t="shared" ref="N47:U47" si="33">((C24*8)+C48)/C26</f>
        <v>5.4879889088719622</v>
      </c>
      <c r="O47" s="211">
        <f t="shared" si="33"/>
        <v>6.7333957917754512</v>
      </c>
      <c r="P47" s="211">
        <f t="shared" si="33"/>
        <v>19.314476744160089</v>
      </c>
      <c r="Q47" s="211">
        <f t="shared" si="33"/>
        <v>7.2914023784745492</v>
      </c>
      <c r="R47" s="211">
        <f t="shared" si="33"/>
        <v>16.699561885821847</v>
      </c>
      <c r="S47" s="211" t="e">
        <f t="shared" si="33"/>
        <v>#DIV/0!</v>
      </c>
      <c r="T47" s="211" t="e">
        <f t="shared" si="33"/>
        <v>#DIV/0!</v>
      </c>
      <c r="U47" s="211" t="e">
        <f t="shared" si="33"/>
        <v>#DIV/0!</v>
      </c>
    </row>
    <row r="48" spans="1:21" ht="15" customHeight="1">
      <c r="A48" s="176" t="s">
        <v>85</v>
      </c>
      <c r="B48" s="176"/>
      <c r="C48" s="208">
        <f t="shared" ref="C48:J48" si="34">C46+C47</f>
        <v>91092340</v>
      </c>
      <c r="D48" s="208">
        <f t="shared" si="34"/>
        <v>127685445</v>
      </c>
      <c r="E48" s="208">
        <f t="shared" si="34"/>
        <v>129786852</v>
      </c>
      <c r="F48" s="208">
        <f t="shared" si="34"/>
        <v>131536651</v>
      </c>
      <c r="G48" s="208">
        <f t="shared" si="34"/>
        <v>177903088</v>
      </c>
      <c r="H48" s="208">
        <f t="shared" si="34"/>
        <v>0</v>
      </c>
      <c r="I48" s="208">
        <f t="shared" si="34"/>
        <v>0</v>
      </c>
      <c r="J48" s="208">
        <f t="shared" si="34"/>
        <v>0</v>
      </c>
      <c r="L48" s="173" t="s">
        <v>86</v>
      </c>
      <c r="N48" s="174">
        <f t="shared" ref="N48:U48" si="35">+C48/C25</f>
        <v>5.4879889088719622</v>
      </c>
      <c r="O48" s="174">
        <f t="shared" si="35"/>
        <v>6.7333957917754512</v>
      </c>
      <c r="P48" s="174">
        <f t="shared" si="35"/>
        <v>19.314476744160089</v>
      </c>
      <c r="Q48" s="174">
        <f t="shared" si="35"/>
        <v>7.2914023784745492</v>
      </c>
      <c r="R48" s="174">
        <f t="shared" si="35"/>
        <v>16.699561885821847</v>
      </c>
      <c r="S48" s="174" t="e">
        <f t="shared" si="35"/>
        <v>#DIV/0!</v>
      </c>
      <c r="T48" s="174" t="e">
        <f t="shared" si="35"/>
        <v>#DIV/0!</v>
      </c>
      <c r="U48" s="174" t="e">
        <f t="shared" si="35"/>
        <v>#DIV/0!</v>
      </c>
    </row>
    <row r="49" spans="1:21">
      <c r="A49" s="176" t="s">
        <v>87</v>
      </c>
      <c r="B49" s="176"/>
      <c r="C49" s="208">
        <f t="shared" ref="C49:J49" si="36">SUM(C40:C47)</f>
        <v>188960461</v>
      </c>
      <c r="D49" s="208">
        <f t="shared" si="36"/>
        <v>283152164</v>
      </c>
      <c r="E49" s="208">
        <f t="shared" si="36"/>
        <v>286651052</v>
      </c>
      <c r="F49" s="208">
        <f t="shared" si="36"/>
        <v>268812599</v>
      </c>
      <c r="G49" s="208">
        <f t="shared" si="36"/>
        <v>441751791</v>
      </c>
      <c r="H49" s="208">
        <f t="shared" si="36"/>
        <v>0</v>
      </c>
      <c r="I49" s="208">
        <f t="shared" si="36"/>
        <v>0</v>
      </c>
      <c r="J49" s="208">
        <f t="shared" si="36"/>
        <v>0</v>
      </c>
      <c r="L49" s="177" t="s">
        <v>88</v>
      </c>
      <c r="N49" s="136">
        <f t="shared" ref="N49:U49" si="37">N11/C48</f>
        <v>8.279279026095937E-2</v>
      </c>
      <c r="O49" s="136">
        <f t="shared" si="37"/>
        <v>4.7926096823330176E-2</v>
      </c>
      <c r="P49" s="136">
        <f t="shared" si="37"/>
        <v>1.2684150779772361E-2</v>
      </c>
      <c r="Q49" s="136">
        <f t="shared" si="37"/>
        <v>8.1425647669865028E-2</v>
      </c>
      <c r="R49" s="136">
        <f t="shared" si="37"/>
        <v>2.0176153434728465E-3</v>
      </c>
      <c r="S49" s="136" t="e">
        <f t="shared" si="37"/>
        <v>#DIV/0!</v>
      </c>
      <c r="T49" s="136" t="e">
        <f t="shared" si="37"/>
        <v>#DIV/0!</v>
      </c>
      <c r="U49" s="136" t="e">
        <f t="shared" si="37"/>
        <v>#DIV/0!</v>
      </c>
    </row>
    <row r="50" spans="1:21">
      <c r="L50" s="177" t="s">
        <v>89</v>
      </c>
      <c r="N50" s="136">
        <f t="shared" ref="N50:U50" si="38">N13/C48</f>
        <v>-0.1097413350013843</v>
      </c>
      <c r="O50" s="136">
        <f t="shared" si="38"/>
        <v>0.12085982078850099</v>
      </c>
      <c r="P50" s="136">
        <f t="shared" si="38"/>
        <v>9.4872506808316756E-2</v>
      </c>
      <c r="Q50" s="136">
        <f t="shared" si="38"/>
        <v>-0.11551198000320079</v>
      </c>
      <c r="R50" s="136">
        <f t="shared" si="38"/>
        <v>-3.029149780694082E-2</v>
      </c>
      <c r="S50" s="136" t="e">
        <f t="shared" si="38"/>
        <v>#DIV/0!</v>
      </c>
      <c r="T50" s="136" t="e">
        <f t="shared" si="38"/>
        <v>#DIV/0!</v>
      </c>
      <c r="U50" s="136" t="e">
        <f t="shared" si="38"/>
        <v>#DIV/0!</v>
      </c>
    </row>
    <row r="51" spans="1:21">
      <c r="A51" s="189" t="s">
        <v>90</v>
      </c>
      <c r="B51" s="189"/>
      <c r="C51" s="202">
        <f>SUMIF(BS.data!$D$5:$D$116,FSA!$A51,BS.data!E$5:E$116)</f>
        <v>48502240</v>
      </c>
      <c r="D51" s="202">
        <f>SUMIF(BS.data!$D$5:$D$116,FSA!$A51,BS.data!F$5:F$116)</f>
        <v>73297716</v>
      </c>
      <c r="E51" s="202">
        <f>SUMIF(BS.data!$D$5:$D$116,FSA!$A51,BS.data!G$5:G$116)</f>
        <v>74836232</v>
      </c>
      <c r="F51" s="202">
        <f>SUMIF(BS.data!$D$5:$D$116,FSA!$A51,BS.data!H$5:H$116)</f>
        <v>95755894</v>
      </c>
      <c r="G51" s="202">
        <f>SUMIF(BS.data!$D$5:$D$116,FSA!$A51,BS.data!I$5:I$116)</f>
        <v>95746161</v>
      </c>
      <c r="H51" s="202">
        <f>SUMIF(BS.data!$D$5:$D$116,FSA!$A51,BS.data!J$5:J$116)</f>
        <v>0</v>
      </c>
      <c r="I51" s="202">
        <f>SUMIF(BS.data!$D$5:$D$116,FSA!$A51,BS.data!K$5:K$116)</f>
        <v>0</v>
      </c>
      <c r="J51" s="202">
        <f>SUMIF(BS.data!$D$5:$D$116,FSA!$A51,BS.data!L$5:L$116)</f>
        <v>0</v>
      </c>
      <c r="L51" s="177" t="s">
        <v>91</v>
      </c>
      <c r="M51" s="177"/>
      <c r="N51" s="136">
        <f t="shared" ref="N51:U51" si="39">N15/C48</f>
        <v>-0.58690987628597535</v>
      </c>
      <c r="O51" s="136">
        <f t="shared" si="39"/>
        <v>-0.30795236684964367</v>
      </c>
      <c r="P51" s="136">
        <f t="shared" si="39"/>
        <v>-0.10772125053160238</v>
      </c>
      <c r="Q51" s="136">
        <f t="shared" si="39"/>
        <v>-0.39498638292075722</v>
      </c>
      <c r="R51" s="136">
        <f t="shared" si="39"/>
        <v>-0.43409715293980733</v>
      </c>
      <c r="S51" s="136" t="e">
        <f t="shared" si="39"/>
        <v>#DIV/0!</v>
      </c>
      <c r="T51" s="136" t="e">
        <f t="shared" si="39"/>
        <v>#DIV/0!</v>
      </c>
      <c r="U51" s="136" t="e">
        <f t="shared" si="39"/>
        <v>#DIV/0!</v>
      </c>
    </row>
    <row r="52" spans="1:21">
      <c r="A52" s="189" t="s">
        <v>92</v>
      </c>
      <c r="B52" s="189"/>
      <c r="C52" s="202">
        <f>SUMIF(BS.data!$D$5:$D$116,FSA!$A52,BS.data!E$5:E$116)</f>
        <v>5095996</v>
      </c>
      <c r="D52" s="202">
        <f>SUMIF(BS.data!$D$5:$D$116,FSA!$A52,BS.data!F$5:F$116)</f>
        <v>3119758</v>
      </c>
      <c r="E52" s="202">
        <f>SUMIF(BS.data!$D$5:$D$116,FSA!$A52,BS.data!G$5:G$116)</f>
        <v>4359645</v>
      </c>
      <c r="F52" s="202">
        <f>SUMIF(BS.data!$D$5:$D$116,FSA!$A52,BS.data!H$5:H$116)</f>
        <v>4718123</v>
      </c>
      <c r="G52" s="202">
        <f>SUMIF(BS.data!$D$5:$D$116,FSA!$A52,BS.data!I$5:I$116)</f>
        <v>14346643</v>
      </c>
      <c r="H52" s="202">
        <f>SUMIF(BS.data!$D$5:$D$116,FSA!$A52,BS.data!J$5:J$116)</f>
        <v>0</v>
      </c>
      <c r="I52" s="202">
        <f>SUMIF(BS.data!$D$5:$D$116,FSA!$A52,BS.data!K$5:K$116)</f>
        <v>0</v>
      </c>
      <c r="J52" s="202">
        <f>SUMIF(BS.data!$D$5:$D$116,FSA!$A52,BS.data!L$5:L$116)</f>
        <v>0</v>
      </c>
      <c r="L52" s="177" t="s">
        <v>93</v>
      </c>
      <c r="M52" s="177"/>
      <c r="N52" s="136">
        <f t="shared" ref="N52:U52" si="40">N18/C48</f>
        <v>-0.58759897923359972</v>
      </c>
      <c r="O52" s="136">
        <f t="shared" si="40"/>
        <v>-0.31912520647909398</v>
      </c>
      <c r="P52" s="136">
        <f t="shared" si="40"/>
        <v>-9.9122975877402431E-2</v>
      </c>
      <c r="Q52" s="136">
        <f t="shared" si="40"/>
        <v>-0.39538355739344466</v>
      </c>
      <c r="R52" s="136">
        <f t="shared" si="40"/>
        <v>-0.42043492241123998</v>
      </c>
      <c r="S52" s="136" t="e">
        <f t="shared" si="40"/>
        <v>#DIV/0!</v>
      </c>
      <c r="T52" s="136" t="e">
        <f t="shared" si="40"/>
        <v>#DIV/0!</v>
      </c>
      <c r="U52" s="136" t="e">
        <f t="shared" si="40"/>
        <v>#DIV/0!</v>
      </c>
    </row>
    <row r="53" spans="1:21" ht="15" customHeight="1">
      <c r="A53" s="177" t="s">
        <v>94</v>
      </c>
      <c r="B53" s="177"/>
      <c r="C53" s="202">
        <f>SUMIF(BS.data!$D$5:$D$116,FSA!$A53,BS.data!E$5:E$116)</f>
        <v>45415478</v>
      </c>
      <c r="D53" s="202">
        <f>SUMIF(BS.data!$D$5:$D$116,FSA!$A53,BS.data!F$5:F$116)</f>
        <v>44171115</v>
      </c>
      <c r="E53" s="202">
        <f>SUMIF(BS.data!$D$5:$D$116,FSA!$A53,BS.data!G$5:G$116)</f>
        <v>56656838</v>
      </c>
      <c r="F53" s="202">
        <f>SUMIF(BS.data!$D$5:$D$116,FSA!$A53,BS.data!H$5:H$116)</f>
        <v>59097849</v>
      </c>
      <c r="G53" s="202">
        <f>SUMIF(BS.data!$D$5:$D$116,FSA!$A53,BS.data!I$5:I$116)</f>
        <v>25562645</v>
      </c>
      <c r="H53" s="202">
        <f>SUMIF(BS.data!$D$5:$D$116,FSA!$A53,BS.data!J$5:J$116)</f>
        <v>0</v>
      </c>
      <c r="I53" s="202">
        <f>SUMIF(BS.data!$D$5:$D$116,FSA!$A53,BS.data!K$5:K$116)</f>
        <v>0</v>
      </c>
      <c r="J53" s="202">
        <f>SUMIF(BS.data!$D$5:$D$116,FSA!$A53,BS.data!L$5:L$116)</f>
        <v>0</v>
      </c>
      <c r="L53" s="171" t="s">
        <v>95</v>
      </c>
      <c r="N53" s="172">
        <f t="shared" ref="N53:U53" si="41">C48/(C54+C48)</f>
        <v>0.47916590809885518</v>
      </c>
      <c r="O53" s="172">
        <f t="shared" si="41"/>
        <v>0.51429238468006688</v>
      </c>
      <c r="P53" s="172">
        <f t="shared" si="41"/>
        <v>0.48858253108054495</v>
      </c>
      <c r="Q53" s="172">
        <f t="shared" si="41"/>
        <v>0.45184748407756137</v>
      </c>
      <c r="R53" s="172">
        <f t="shared" si="41"/>
        <v>0.56736802544782894</v>
      </c>
      <c r="S53" s="172" t="e">
        <f t="shared" si="41"/>
        <v>#DIV/0!</v>
      </c>
      <c r="T53" s="172" t="e">
        <f t="shared" si="41"/>
        <v>#DIV/0!</v>
      </c>
      <c r="U53" s="172" t="e">
        <f t="shared" si="41"/>
        <v>#DIV/0!</v>
      </c>
    </row>
    <row r="54" spans="1:21">
      <c r="A54" s="134" t="s">
        <v>96</v>
      </c>
      <c r="C54" s="212">
        <f t="shared" ref="C54:J54" si="42">SUM(C51:C53)</f>
        <v>99013714</v>
      </c>
      <c r="D54" s="212">
        <f t="shared" si="42"/>
        <v>120588589</v>
      </c>
      <c r="E54" s="212">
        <f t="shared" si="42"/>
        <v>135852715</v>
      </c>
      <c r="F54" s="212">
        <f t="shared" si="42"/>
        <v>159571866</v>
      </c>
      <c r="G54" s="212">
        <f t="shared" si="42"/>
        <v>135655449</v>
      </c>
      <c r="H54" s="212">
        <f t="shared" si="42"/>
        <v>0</v>
      </c>
      <c r="I54" s="212">
        <f t="shared" si="42"/>
        <v>0</v>
      </c>
      <c r="J54" s="212">
        <f t="shared" si="42"/>
        <v>0</v>
      </c>
      <c r="L54" s="134" t="s">
        <v>97</v>
      </c>
    </row>
    <row r="55" spans="1:21">
      <c r="A55" s="176" t="s">
        <v>98</v>
      </c>
      <c r="B55" s="176"/>
      <c r="C55" s="208">
        <f t="shared" ref="C55:J55" si="43">C54+C49</f>
        <v>287974175</v>
      </c>
      <c r="D55" s="208">
        <f t="shared" si="43"/>
        <v>403740753</v>
      </c>
      <c r="E55" s="208">
        <f t="shared" si="43"/>
        <v>422503767</v>
      </c>
      <c r="F55" s="208">
        <f t="shared" si="43"/>
        <v>428384465</v>
      </c>
      <c r="G55" s="208">
        <f t="shared" si="43"/>
        <v>577407240</v>
      </c>
      <c r="H55" s="208">
        <f t="shared" si="43"/>
        <v>0</v>
      </c>
      <c r="I55" s="208">
        <f t="shared" si="43"/>
        <v>0</v>
      </c>
      <c r="J55" s="208">
        <f t="shared" si="43"/>
        <v>0</v>
      </c>
      <c r="L55" s="137" t="s">
        <v>99</v>
      </c>
      <c r="M55" s="137"/>
      <c r="N55" s="137">
        <f t="shared" ref="N55:U55" si="44">(C48-C29)/C54</f>
        <v>0.76336584041277356</v>
      </c>
      <c r="O55" s="137">
        <f t="shared" si="44"/>
        <v>0.81322460784411366</v>
      </c>
      <c r="P55" s="137">
        <f t="shared" si="44"/>
        <v>0.66225793868013605</v>
      </c>
      <c r="Q55" s="137">
        <f t="shared" si="44"/>
        <v>0.65866226694372298</v>
      </c>
      <c r="R55" s="137">
        <f t="shared" si="44"/>
        <v>1.0685446627359583</v>
      </c>
      <c r="S55" s="137" t="e">
        <f t="shared" si="44"/>
        <v>#DIV/0!</v>
      </c>
      <c r="T55" s="137" t="e">
        <f t="shared" si="44"/>
        <v>#DIV/0!</v>
      </c>
      <c r="U55" s="137" t="e">
        <f t="shared" si="44"/>
        <v>#DIV/0!</v>
      </c>
    </row>
    <row r="56" spans="1:21">
      <c r="A56" s="191" t="s">
        <v>100</v>
      </c>
      <c r="B56" s="191"/>
      <c r="C56" s="191">
        <f t="shared" ref="C56:J56" si="45">C38-C55</f>
        <v>1</v>
      </c>
      <c r="D56" s="191">
        <f t="shared" si="45"/>
        <v>1</v>
      </c>
      <c r="E56" s="191">
        <f t="shared" si="45"/>
        <v>0</v>
      </c>
      <c r="F56" s="191">
        <f t="shared" si="45"/>
        <v>0</v>
      </c>
      <c r="G56" s="191">
        <f t="shared" si="45"/>
        <v>0</v>
      </c>
      <c r="H56" s="191">
        <f t="shared" si="45"/>
        <v>0</v>
      </c>
      <c r="I56" s="191">
        <f t="shared" si="45"/>
        <v>0</v>
      </c>
      <c r="J56" s="191">
        <f t="shared" si="45"/>
        <v>0</v>
      </c>
      <c r="L56" s="177" t="s">
        <v>101</v>
      </c>
      <c r="M56" s="177"/>
      <c r="N56" s="211">
        <f t="shared" ref="N56:U56" si="46">(C48-C29)/C25</f>
        <v>4.5536478253566646</v>
      </c>
      <c r="O56" s="211">
        <f t="shared" si="46"/>
        <v>5.1714159920506289</v>
      </c>
      <c r="P56" s="211">
        <f t="shared" si="46"/>
        <v>13.388987728112122</v>
      </c>
      <c r="Q56" s="211">
        <f t="shared" si="46"/>
        <v>5.8261732311468881</v>
      </c>
      <c r="R56" s="211">
        <f t="shared" si="46"/>
        <v>13.606659395583977</v>
      </c>
      <c r="S56" s="211" t="e">
        <f t="shared" si="46"/>
        <v>#DIV/0!</v>
      </c>
      <c r="T56" s="211" t="e">
        <f t="shared" si="46"/>
        <v>#DIV/0!</v>
      </c>
      <c r="U56" s="211" t="e">
        <f t="shared" si="46"/>
        <v>#DIV/0!</v>
      </c>
    </row>
    <row r="57" spans="1:21">
      <c r="L57" s="177" t="s">
        <v>102</v>
      </c>
      <c r="M57" s="177"/>
      <c r="N57" s="211">
        <f t="shared" ref="N57:U57" si="47">((C24*8)+C48-C29)/C26</f>
        <v>4.5536478253566646</v>
      </c>
      <c r="O57" s="211">
        <f t="shared" si="47"/>
        <v>5.1714159920506289</v>
      </c>
      <c r="P57" s="211">
        <f t="shared" si="47"/>
        <v>13.388987728112122</v>
      </c>
      <c r="Q57" s="211">
        <f t="shared" si="47"/>
        <v>5.8261732311468881</v>
      </c>
      <c r="R57" s="211">
        <f t="shared" si="47"/>
        <v>13.606659395583977</v>
      </c>
      <c r="S57" s="211" t="e">
        <f t="shared" si="47"/>
        <v>#DIV/0!</v>
      </c>
      <c r="T57" s="211" t="e">
        <f t="shared" si="47"/>
        <v>#DIV/0!</v>
      </c>
      <c r="U57" s="211" t="e">
        <f t="shared" si="47"/>
        <v>#DIV/0!</v>
      </c>
    </row>
    <row r="58" spans="1:21">
      <c r="A58" s="213" t="s">
        <v>103</v>
      </c>
      <c r="B58" s="214"/>
      <c r="C58" s="202"/>
      <c r="D58" s="202"/>
      <c r="E58" s="202"/>
      <c r="F58" s="202"/>
      <c r="G58" s="202"/>
      <c r="H58" s="202"/>
      <c r="I58" s="202"/>
      <c r="J58" s="202"/>
      <c r="L58" s="177" t="s">
        <v>104</v>
      </c>
      <c r="N58" s="136">
        <f t="shared" ref="N58:U58" si="48">N11/(C48-C29)</f>
        <v>9.9780644466311894E-2</v>
      </c>
      <c r="O58" s="136">
        <f t="shared" si="48"/>
        <v>6.2401744350578034E-2</v>
      </c>
      <c r="P58" s="136">
        <f t="shared" si="48"/>
        <v>1.8297704070707754E-2</v>
      </c>
      <c r="Q58" s="136">
        <f t="shared" si="48"/>
        <v>0.10190345146534764</v>
      </c>
      <c r="R58" s="136">
        <f t="shared" si="48"/>
        <v>2.4762354454939627E-3</v>
      </c>
      <c r="S58" s="136" t="e">
        <f t="shared" si="48"/>
        <v>#DIV/0!</v>
      </c>
      <c r="T58" s="136" t="e">
        <f t="shared" si="48"/>
        <v>#DIV/0!</v>
      </c>
      <c r="U58" s="136" t="e">
        <f t="shared" si="48"/>
        <v>#DIV/0!</v>
      </c>
    </row>
    <row r="59" spans="1:21">
      <c r="A59" s="120" t="s">
        <v>105</v>
      </c>
      <c r="C59" s="202"/>
      <c r="D59" s="202"/>
      <c r="E59" s="202"/>
      <c r="F59" s="202"/>
      <c r="H59" s="202"/>
      <c r="I59" s="202"/>
      <c r="J59" s="202"/>
      <c r="L59" s="177" t="s">
        <v>106</v>
      </c>
      <c r="N59" s="136">
        <f t="shared" ref="N59:U59" si="49">N13/(C48-C29)</f>
        <v>-0.13225863141606203</v>
      </c>
      <c r="O59" s="136">
        <f t="shared" si="49"/>
        <v>0.15736444523955839</v>
      </c>
      <c r="P59" s="136">
        <f t="shared" si="49"/>
        <v>0.13685969870313552</v>
      </c>
      <c r="Q59" s="136">
        <f t="shared" si="49"/>
        <v>-0.14456218384221406</v>
      </c>
      <c r="R59" s="136">
        <f t="shared" si="49"/>
        <v>-3.7176997493258306E-2</v>
      </c>
      <c r="S59" s="136" t="e">
        <f t="shared" si="49"/>
        <v>#DIV/0!</v>
      </c>
      <c r="T59" s="136" t="e">
        <f t="shared" si="49"/>
        <v>#DIV/0!</v>
      </c>
      <c r="U59" s="136" t="e">
        <f t="shared" si="49"/>
        <v>#DIV/0!</v>
      </c>
    </row>
    <row r="60" spans="1:21">
      <c r="C60" s="203"/>
      <c r="D60" s="203"/>
      <c r="E60" s="203"/>
      <c r="F60" s="203"/>
      <c r="G60" s="203"/>
      <c r="H60" s="203"/>
      <c r="I60" s="203"/>
      <c r="J60" s="203"/>
      <c r="L60" s="177" t="s">
        <v>107</v>
      </c>
      <c r="M60" s="177"/>
      <c r="N60" s="136">
        <f t="shared" ref="N60:U60" si="50">N15/(C48-C29)</f>
        <v>-0.70733508938244838</v>
      </c>
      <c r="O60" s="136">
        <f t="shared" si="50"/>
        <v>-0.40096661614538709</v>
      </c>
      <c r="P60" s="136">
        <f t="shared" si="50"/>
        <v>-0.15539483869090404</v>
      </c>
      <c r="Q60" s="136">
        <f t="shared" si="50"/>
        <v>-0.49432183658681506</v>
      </c>
      <c r="R60" s="136">
        <f t="shared" si="50"/>
        <v>-0.53277090718755793</v>
      </c>
      <c r="S60" s="136" t="e">
        <f t="shared" si="50"/>
        <v>#DIV/0!</v>
      </c>
      <c r="T60" s="136" t="e">
        <f t="shared" si="50"/>
        <v>#DIV/0!</v>
      </c>
      <c r="U60" s="136" t="e">
        <f t="shared" si="50"/>
        <v>#DIV/0!</v>
      </c>
    </row>
    <row r="61" spans="1:21">
      <c r="B61" s="215"/>
      <c r="C61" s="138"/>
      <c r="D61" s="138"/>
      <c r="E61" s="138"/>
      <c r="F61" s="138"/>
      <c r="G61" s="138"/>
      <c r="H61" s="138"/>
      <c r="I61" s="138"/>
      <c r="J61" s="138"/>
      <c r="L61" s="177" t="s">
        <v>108</v>
      </c>
      <c r="M61" s="177"/>
      <c r="N61" s="136">
        <f t="shared" ref="N61:U61" si="51">N18/(C48-C29)</f>
        <v>-0.70816558604768776</v>
      </c>
      <c r="O61" s="136">
        <f t="shared" si="51"/>
        <v>-0.41551411173629799</v>
      </c>
      <c r="P61" s="136">
        <f t="shared" si="51"/>
        <v>-0.1429912739688485</v>
      </c>
      <c r="Q61" s="136">
        <f t="shared" si="51"/>
        <v>-0.49481889679768226</v>
      </c>
      <c r="R61" s="136">
        <f t="shared" si="51"/>
        <v>-0.51600314240583489</v>
      </c>
      <c r="S61" s="136" t="e">
        <f t="shared" si="51"/>
        <v>#DIV/0!</v>
      </c>
      <c r="T61" s="136" t="e">
        <f t="shared" si="51"/>
        <v>#DIV/0!</v>
      </c>
      <c r="U61" s="136" t="e">
        <f t="shared" si="51"/>
        <v>#DIV/0!</v>
      </c>
    </row>
    <row r="62" spans="1:21">
      <c r="B62" s="215"/>
      <c r="C62" s="138"/>
      <c r="D62" s="138"/>
      <c r="E62" s="138"/>
      <c r="F62" s="138"/>
      <c r="G62" s="138"/>
      <c r="H62" s="138"/>
      <c r="I62" s="138"/>
      <c r="J62" s="138"/>
    </row>
    <row r="63" spans="1:21">
      <c r="B63" s="215"/>
      <c r="C63" s="138"/>
      <c r="D63" s="138"/>
      <c r="E63" s="138"/>
      <c r="F63" s="138"/>
      <c r="G63" s="138"/>
      <c r="H63" s="138"/>
      <c r="I63" s="138"/>
      <c r="J63" s="138"/>
      <c r="L63" s="176" t="s">
        <v>109</v>
      </c>
      <c r="M63" s="177"/>
      <c r="N63" s="136"/>
      <c r="O63" s="136"/>
      <c r="P63" s="136"/>
      <c r="Q63" s="136"/>
      <c r="R63" s="136"/>
      <c r="S63" s="136"/>
      <c r="T63" s="136"/>
      <c r="U63" s="136"/>
    </row>
    <row r="64" spans="1:21">
      <c r="B64" s="215"/>
      <c r="C64" s="121"/>
      <c r="D64" s="121"/>
      <c r="E64" s="121"/>
      <c r="F64" s="139"/>
      <c r="G64" s="139"/>
      <c r="H64" s="139"/>
      <c r="I64" s="139"/>
      <c r="J64" s="139"/>
      <c r="L64" s="177" t="s">
        <v>110</v>
      </c>
      <c r="N64" s="211">
        <f t="shared" ref="N64:U64" si="52">C12/-C14</f>
        <v>2.9049001823174883</v>
      </c>
      <c r="O64" s="211">
        <f t="shared" si="52"/>
        <v>1.4866095257309799</v>
      </c>
      <c r="P64" s="211">
        <f t="shared" si="52"/>
        <v>-0.29326040122307745</v>
      </c>
      <c r="Q64" s="211">
        <f t="shared" si="52"/>
        <v>0.30327247061467155</v>
      </c>
      <c r="R64" s="211">
        <f t="shared" si="52"/>
        <v>-0.97137237999853987</v>
      </c>
      <c r="S64" s="211" t="e">
        <f t="shared" si="52"/>
        <v>#DIV/0!</v>
      </c>
      <c r="T64" s="211" t="e">
        <f t="shared" si="52"/>
        <v>#DIV/0!</v>
      </c>
      <c r="U64" s="211" t="e">
        <f t="shared" si="52"/>
        <v>#DIV/0!</v>
      </c>
    </row>
    <row r="65" spans="1:21">
      <c r="B65" s="121"/>
      <c r="L65" s="177" t="s">
        <v>111</v>
      </c>
      <c r="M65" s="177"/>
      <c r="N65" s="216">
        <f t="shared" ref="N65:U65" si="53">C25/-C14</f>
        <v>4.2135830844301072</v>
      </c>
      <c r="O65" s="216">
        <f t="shared" si="53"/>
        <v>2.6531498286709341</v>
      </c>
      <c r="P65" s="216">
        <f t="shared" si="53"/>
        <v>0.58932118148966206</v>
      </c>
      <c r="Q65" s="216">
        <f t="shared" si="53"/>
        <v>1.7533437270656813</v>
      </c>
      <c r="R65" s="216">
        <f t="shared" si="53"/>
        <v>0.9734049595672456</v>
      </c>
      <c r="S65" s="216" t="e">
        <f t="shared" si="53"/>
        <v>#DIV/0!</v>
      </c>
      <c r="T65" s="216" t="e">
        <f t="shared" si="53"/>
        <v>#DIV/0!</v>
      </c>
      <c r="U65" s="216" t="e">
        <f t="shared" si="53"/>
        <v>#DIV/0!</v>
      </c>
    </row>
    <row r="66" spans="1:21">
      <c r="B66" s="121"/>
      <c r="L66" s="120" t="s">
        <v>112</v>
      </c>
      <c r="N66" s="140">
        <f t="shared" ref="N66:U66" si="54">(N11-N9)/-N9</f>
        <v>3.016315717569948</v>
      </c>
      <c r="O66" s="140">
        <f t="shared" si="54"/>
        <v>1.8474169870722992</v>
      </c>
      <c r="P66" s="140">
        <f t="shared" si="54"/>
        <v>1.1560072568038222</v>
      </c>
      <c r="Q66" s="140">
        <f t="shared" si="54"/>
        <v>2.1619950527811831</v>
      </c>
      <c r="R66" s="140">
        <f t="shared" si="54"/>
        <v>1.035586003142799</v>
      </c>
      <c r="S66" s="140" t="e">
        <f t="shared" si="54"/>
        <v>#DIV/0!</v>
      </c>
      <c r="T66" s="140" t="e">
        <f t="shared" si="54"/>
        <v>#DIV/0!</v>
      </c>
      <c r="U66" s="140" t="e">
        <f t="shared" si="54"/>
        <v>#DIV/0!</v>
      </c>
    </row>
    <row r="67" spans="1:21">
      <c r="B67" s="121"/>
      <c r="L67" s="137" t="s">
        <v>113</v>
      </c>
      <c r="M67" s="137"/>
      <c r="N67" s="217" t="s">
        <v>52</v>
      </c>
      <c r="O67" s="211">
        <f t="shared" ref="O67:U67" si="55">(O13-O9)/(-O9+C58)</f>
        <v>3.1370124416397847</v>
      </c>
      <c r="P67" s="211">
        <f t="shared" si="55"/>
        <v>2.1668735093302844</v>
      </c>
      <c r="Q67" s="211">
        <f t="shared" si="55"/>
        <v>-0.64842839009254338</v>
      </c>
      <c r="R67" s="211">
        <f t="shared" si="55"/>
        <v>0.46572901537195571</v>
      </c>
      <c r="S67" s="211" t="e">
        <f t="shared" si="55"/>
        <v>#DIV/0!</v>
      </c>
      <c r="T67" s="211" t="e">
        <f t="shared" si="55"/>
        <v>#DIV/0!</v>
      </c>
      <c r="U67" s="211" t="e">
        <f t="shared" si="55"/>
        <v>#DIV/0!</v>
      </c>
    </row>
    <row r="68" spans="1:21">
      <c r="B68" s="121"/>
      <c r="L68" s="137"/>
      <c r="M68" s="137"/>
      <c r="N68" s="211"/>
      <c r="O68" s="211"/>
      <c r="P68" s="211"/>
      <c r="Q68" s="211"/>
      <c r="R68" s="211"/>
      <c r="S68" s="211"/>
      <c r="T68" s="211"/>
      <c r="U68" s="211"/>
    </row>
    <row r="69" spans="1:21">
      <c r="A69" s="141"/>
      <c r="G69" s="203"/>
      <c r="H69" s="203"/>
      <c r="I69" s="203"/>
      <c r="J69" s="203"/>
      <c r="L69" s="177" t="s">
        <v>114</v>
      </c>
      <c r="M69" s="177"/>
      <c r="N69" s="177"/>
      <c r="O69" s="177"/>
      <c r="P69" s="177"/>
      <c r="Q69" s="177"/>
      <c r="R69" s="177"/>
    </row>
    <row r="70" spans="1:21">
      <c r="L70" s="177" t="s">
        <v>115</v>
      </c>
      <c r="O70" s="177"/>
      <c r="P70" s="177"/>
      <c r="Q70" s="177"/>
      <c r="R70" s="177"/>
    </row>
    <row r="71" spans="1:21">
      <c r="M71" s="177"/>
      <c r="N71" s="177"/>
    </row>
    <row r="72" spans="1:21">
      <c r="L72" s="181" t="s">
        <v>116</v>
      </c>
      <c r="M72" s="181"/>
      <c r="N72" s="182">
        <v>2015</v>
      </c>
      <c r="O72" s="182">
        <v>2016</v>
      </c>
      <c r="P72" s="182">
        <v>2017</v>
      </c>
      <c r="Q72" s="182">
        <v>2018</v>
      </c>
      <c r="R72" s="182">
        <v>2019</v>
      </c>
      <c r="S72" s="182">
        <v>2020</v>
      </c>
      <c r="T72" s="182">
        <v>2021</v>
      </c>
      <c r="U72" s="182">
        <v>2022</v>
      </c>
    </row>
    <row r="73" spans="1:21">
      <c r="L73" s="177"/>
    </row>
    <row r="74" spans="1:21">
      <c r="L74" s="126" t="s">
        <v>117</v>
      </c>
      <c r="N74" s="218">
        <f t="shared" ref="N74:U74" si="56">C9-C16</f>
        <v>15069711</v>
      </c>
      <c r="O74" s="218">
        <f t="shared" si="56"/>
        <v>21913794</v>
      </c>
      <c r="P74" s="218">
        <f t="shared" si="56"/>
        <v>3370251</v>
      </c>
      <c r="Q74" s="218">
        <f t="shared" si="56"/>
        <v>30918254</v>
      </c>
      <c r="R74" s="218">
        <f t="shared" si="56"/>
        <v>1938314</v>
      </c>
      <c r="S74" s="218">
        <f t="shared" si="56"/>
        <v>0</v>
      </c>
      <c r="T74" s="218">
        <f t="shared" si="56"/>
        <v>0</v>
      </c>
      <c r="U74" s="218">
        <f t="shared" si="56"/>
        <v>0</v>
      </c>
    </row>
    <row r="75" spans="1:21">
      <c r="L75" s="137" t="s">
        <v>118</v>
      </c>
      <c r="N75" s="219">
        <f t="shared" ref="N75:U75" si="57">N74/N31</f>
        <v>63509705.619442619</v>
      </c>
      <c r="O75" s="219">
        <f t="shared" si="57"/>
        <v>75885221.599532068</v>
      </c>
      <c r="P75" s="219">
        <f t="shared" si="57"/>
        <v>21508884.4759355</v>
      </c>
      <c r="Q75" s="219">
        <f t="shared" si="57"/>
        <v>114078471.81940897</v>
      </c>
      <c r="R75" s="219">
        <f t="shared" si="57"/>
        <v>13427942.084865814</v>
      </c>
      <c r="S75" s="219" t="e">
        <f t="shared" si="57"/>
        <v>#DIV/0!</v>
      </c>
      <c r="T75" s="219" t="e">
        <f t="shared" si="57"/>
        <v>#DIV/0!</v>
      </c>
      <c r="U75" s="219" t="e">
        <f t="shared" si="57"/>
        <v>#DIV/0!</v>
      </c>
    </row>
    <row r="76" spans="1:21" s="126" customFormat="1">
      <c r="K76" s="120"/>
      <c r="L76" s="120" t="s">
        <v>119</v>
      </c>
      <c r="M76" s="120"/>
      <c r="N76" s="138">
        <f t="shared" ref="N76:U76" si="58">(C7-N75)/C7</f>
        <v>0.47897765919154106</v>
      </c>
      <c r="O76" s="138">
        <f t="shared" si="58"/>
        <v>0.4164291932269466</v>
      </c>
      <c r="P76" s="138">
        <f t="shared" si="58"/>
        <v>0.80533190287004885</v>
      </c>
      <c r="Q76" s="138">
        <f t="shared" si="58"/>
        <v>9.2366894121055851E-2</v>
      </c>
      <c r="R76" s="138">
        <f t="shared" si="58"/>
        <v>0.86808655495720932</v>
      </c>
      <c r="S76" s="138" t="e">
        <f t="shared" si="58"/>
        <v>#DIV/0!</v>
      </c>
      <c r="T76" s="138" t="e">
        <f t="shared" si="58"/>
        <v>#DIV/0!</v>
      </c>
      <c r="U76" s="138" t="e">
        <f t="shared" si="58"/>
        <v>#DIV/0!</v>
      </c>
    </row>
    <row r="77" spans="1:21" s="126" customFormat="1">
      <c r="K77" s="120"/>
      <c r="L77" s="120"/>
      <c r="M77" s="120"/>
      <c r="N77" s="120"/>
      <c r="O77" s="120"/>
      <c r="P77" s="120"/>
      <c r="Q77" s="120"/>
      <c r="R77" s="120"/>
      <c r="S77" s="120"/>
      <c r="T77" s="120"/>
      <c r="U77" s="120"/>
    </row>
    <row r="78" spans="1:21" s="126" customFormat="1"/>
    <row r="79" spans="1:21" s="126" customFormat="1"/>
    <row r="80" spans="1:21" s="126" customFormat="1"/>
    <row r="81" spans="11:21" s="124" customFormat="1">
      <c r="K81" s="126"/>
      <c r="L81" s="126"/>
      <c r="M81" s="126"/>
      <c r="N81" s="126"/>
      <c r="O81" s="126"/>
      <c r="P81" s="126"/>
      <c r="Q81" s="126"/>
      <c r="R81" s="126"/>
      <c r="S81" s="126"/>
      <c r="T81" s="126"/>
      <c r="U81" s="126"/>
    </row>
    <row r="82" spans="11:21" s="124" customFormat="1">
      <c r="L82" s="126"/>
      <c r="M82" s="126"/>
      <c r="N82" s="126"/>
      <c r="O82" s="126"/>
      <c r="P82" s="126"/>
      <c r="Q82" s="126"/>
      <c r="R82" s="126"/>
      <c r="S82" s="126"/>
      <c r="T82" s="126"/>
      <c r="U82" s="126"/>
    </row>
    <row r="83" spans="11:21" s="124" customFormat="1"/>
    <row r="84" spans="11:21" s="126" customFormat="1">
      <c r="K84" s="124"/>
      <c r="L84" s="124"/>
      <c r="M84" s="124"/>
      <c r="N84" s="124"/>
      <c r="O84" s="124"/>
      <c r="P84" s="124"/>
      <c r="Q84" s="124"/>
      <c r="R84" s="124"/>
      <c r="S84" s="124"/>
      <c r="T84" s="124"/>
      <c r="U84" s="124"/>
    </row>
    <row r="85" spans="11:21" s="126" customFormat="1">
      <c r="L85" s="124"/>
      <c r="M85" s="124"/>
      <c r="N85" s="124"/>
      <c r="O85" s="124"/>
      <c r="P85" s="124"/>
      <c r="Q85" s="124"/>
      <c r="R85" s="124"/>
      <c r="S85" s="124"/>
      <c r="T85" s="124"/>
      <c r="U85" s="124"/>
    </row>
    <row r="86" spans="11:21" s="126" customFormat="1"/>
    <row r="87" spans="11:21" s="126" customFormat="1"/>
    <row r="88" spans="11:21" s="126" customFormat="1"/>
    <row r="89" spans="11:21" s="126" customFormat="1"/>
    <row r="90" spans="11:21" s="126" customFormat="1"/>
    <row r="91" spans="11:21" s="126" customFormat="1"/>
    <row r="92" spans="11:21">
      <c r="K92" s="126"/>
      <c r="L92" s="126"/>
      <c r="M92" s="126"/>
      <c r="N92" s="126"/>
      <c r="O92" s="126"/>
      <c r="P92" s="126"/>
      <c r="Q92" s="126"/>
      <c r="R92" s="126"/>
      <c r="S92" s="126"/>
      <c r="T92" s="126"/>
      <c r="U92" s="126"/>
    </row>
    <row r="93" spans="11:21">
      <c r="L93" s="126"/>
      <c r="M93" s="126"/>
      <c r="N93" s="126"/>
      <c r="O93" s="126"/>
      <c r="P93" s="126"/>
      <c r="Q93" s="126"/>
      <c r="R93" s="126"/>
      <c r="S93" s="126"/>
      <c r="T93" s="126"/>
      <c r="U93" s="126"/>
    </row>
  </sheetData>
  <pageMargins left="0.7" right="0.7" top="0.75" bottom="0.75" header="0.3" footer="0.3"/>
  <pageSetup paperSize="9" orientation="portrait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Q103"/>
  <sheetViews>
    <sheetView topLeftCell="A37" zoomScale="89" zoomScaleNormal="85" workbookViewId="0">
      <selection activeCell="D53" sqref="D53"/>
    </sheetView>
  </sheetViews>
  <sheetFormatPr defaultColWidth="26" defaultRowHeight="14.4"/>
  <cols>
    <col min="1" max="1" width="26.109375" style="162" bestFit="1" customWidth="1"/>
    <col min="2" max="2" width="45.6640625" style="162" bestFit="1" customWidth="1"/>
    <col min="3" max="6" width="13.88671875" style="162" customWidth="1"/>
    <col min="7" max="7" width="10.6640625" style="162" bestFit="1" customWidth="1"/>
    <col min="8" max="8" width="11.33203125" style="162" bestFit="1" customWidth="1"/>
    <col min="9" max="9" width="11.109375" style="162" bestFit="1" customWidth="1"/>
    <col min="10" max="11" width="12.44140625" style="162" bestFit="1" customWidth="1"/>
    <col min="12" max="14" width="18.6640625" style="162" bestFit="1" customWidth="1"/>
    <col min="15" max="17" width="26" style="162" hidden="1" customWidth="1"/>
  </cols>
  <sheetData>
    <row r="1" spans="1:17">
      <c r="B1" s="3" t="s">
        <v>209</v>
      </c>
      <c r="C1" s="3"/>
      <c r="D1" s="3"/>
      <c r="E1" s="3"/>
      <c r="F1" s="3"/>
    </row>
    <row r="2" spans="1:17">
      <c r="B2" s="3"/>
      <c r="C2" s="3"/>
      <c r="D2" s="3"/>
      <c r="E2" s="3"/>
      <c r="F2" s="3"/>
      <c r="O2">
        <v>1000000</v>
      </c>
    </row>
    <row r="3" spans="1:17">
      <c r="B3" s="3"/>
      <c r="C3" s="37">
        <v>2015</v>
      </c>
      <c r="D3" s="37">
        <f t="shared" ref="D3:N3" si="0">C3+1</f>
        <v>2016</v>
      </c>
      <c r="E3" s="37">
        <f t="shared" si="0"/>
        <v>2017</v>
      </c>
      <c r="F3" s="37">
        <f t="shared" si="0"/>
        <v>2018</v>
      </c>
      <c r="G3" s="37">
        <f t="shared" si="0"/>
        <v>2019</v>
      </c>
      <c r="H3" s="37">
        <f t="shared" si="0"/>
        <v>2020</v>
      </c>
      <c r="I3" s="37">
        <f t="shared" si="0"/>
        <v>2021</v>
      </c>
      <c r="J3" s="37">
        <f t="shared" si="0"/>
        <v>2022</v>
      </c>
      <c r="K3" s="37">
        <f t="shared" si="0"/>
        <v>2023</v>
      </c>
      <c r="L3" s="37">
        <f t="shared" si="0"/>
        <v>2024</v>
      </c>
      <c r="M3" s="37">
        <f t="shared" si="0"/>
        <v>2025</v>
      </c>
      <c r="N3" s="37">
        <f t="shared" si="0"/>
        <v>2026</v>
      </c>
    </row>
    <row r="4" spans="1:17">
      <c r="B4" s="4" t="s">
        <v>515</v>
      </c>
      <c r="C4" s="4"/>
      <c r="D4" s="4"/>
      <c r="E4" s="4"/>
      <c r="F4" s="4"/>
    </row>
    <row r="5" spans="1:17">
      <c r="A5">
        <v>1</v>
      </c>
      <c r="B5" s="4" t="s">
        <v>516</v>
      </c>
      <c r="C5" s="264">
        <v>208306</v>
      </c>
      <c r="D5" s="264">
        <v>310076</v>
      </c>
      <c r="E5" s="264">
        <f>SUMIF(CF.data!$B$4:$B$43,CF!$A5,CF.data!R$4:R$43)</f>
        <v>0</v>
      </c>
      <c r="F5" s="264">
        <f>SUMIF(CF.data!$B$4:$B$43,CF!$A5,CF.data!S$4:S$43)</f>
        <v>0</v>
      </c>
      <c r="G5" s="264">
        <f>SUMIF(CF.data!$B$4:$B$43,CF!$A5,CF.data!T$4:T$43)</f>
        <v>0</v>
      </c>
      <c r="H5" s="264">
        <f>SUMIF(CF.data!$B$4:$B$43,CF!$A5,CF.data!U$4:U$43)</f>
        <v>0</v>
      </c>
      <c r="I5" s="264">
        <f>SUMIF(CF.data!$B$4:$B$43,CF!$A5,CF.data!V$4:V$43)</f>
        <v>0</v>
      </c>
      <c r="J5" s="264">
        <f>SUMIF(CF.data!$B$4:$B$43,CF!$A5,CF.data!W$4:W$43)</f>
        <v>0</v>
      </c>
      <c r="K5" s="264"/>
      <c r="L5" s="264"/>
      <c r="M5" s="264"/>
      <c r="N5" s="264"/>
      <c r="O5" s="36">
        <f t="shared" ref="O5:Q24" si="1">O59/$O$2</f>
        <v>13287.366812229839</v>
      </c>
      <c r="P5" s="36">
        <f t="shared" si="1"/>
        <v>91425.814390119805</v>
      </c>
      <c r="Q5" s="36">
        <f t="shared" si="1"/>
        <v>156653.45959025202</v>
      </c>
    </row>
    <row r="6" spans="1:17">
      <c r="B6" s="3" t="s">
        <v>517</v>
      </c>
      <c r="C6" s="264">
        <f>SUMIF(CF.data!$B$4:$B$43,CF!$A6,CF.data!P$4:P$43)</f>
        <v>0</v>
      </c>
      <c r="D6" s="264">
        <f>SUMIF(CF.data!$B$4:$B$43,CF!$A6,CF.data!Q$4:Q$43)</f>
        <v>0</v>
      </c>
      <c r="E6" s="264">
        <f>SUMIF(CF.data!$B$4:$B$43,CF!$A6,CF.data!R$4:R$43)</f>
        <v>0</v>
      </c>
      <c r="F6" s="264">
        <f>SUMIF(CF.data!$B$4:$B$43,CF!$A6,CF.data!S$4:S$43)</f>
        <v>0</v>
      </c>
      <c r="G6" s="264">
        <f>SUMIF(CF.data!$B$4:$B$43,CF!$A6,CF.data!T$4:T$43)</f>
        <v>0</v>
      </c>
      <c r="H6" s="264">
        <f>SUMIF(CF.data!$B$4:$B$43,CF!$A6,CF.data!U$4:U$43)</f>
        <v>0</v>
      </c>
      <c r="I6" s="264">
        <f>SUMIF(CF.data!$B$4:$B$43,CF!$A6,CF.data!V$4:V$43)</f>
        <v>0</v>
      </c>
      <c r="J6" s="264">
        <f>SUMIF(CF.data!$B$4:$B$43,CF!$A6,CF.data!W$4:W$43)</f>
        <v>0</v>
      </c>
      <c r="K6" s="264"/>
      <c r="L6" s="264"/>
      <c r="M6" s="264"/>
      <c r="N6" s="264"/>
      <c r="O6" s="36">
        <f t="shared" si="1"/>
        <v>0</v>
      </c>
      <c r="P6" s="36">
        <f t="shared" si="1"/>
        <v>0</v>
      </c>
      <c r="Q6" s="36">
        <f t="shared" si="1"/>
        <v>0</v>
      </c>
    </row>
    <row r="7" spans="1:17">
      <c r="A7">
        <v>2</v>
      </c>
      <c r="B7" s="3" t="s">
        <v>518</v>
      </c>
      <c r="C7" s="264">
        <v>88574</v>
      </c>
      <c r="D7" s="264">
        <v>162019</v>
      </c>
      <c r="E7" s="264">
        <f>SUMIF(CF.data!$B$4:$B$43,CF!$A7,CF.data!R$4:R$43)</f>
        <v>0</v>
      </c>
      <c r="F7" s="264">
        <f>SUMIF(CF.data!$B$4:$B$43,CF!$A7,CF.data!S$4:S$43)</f>
        <v>0</v>
      </c>
      <c r="G7" s="264">
        <f>SUMIF(CF.data!$B$4:$B$43,CF!$A7,CF.data!T$4:T$43)</f>
        <v>0</v>
      </c>
      <c r="H7" s="264">
        <f>SUMIF(CF.data!$B$4:$B$43,CF!$A7,CF.data!U$4:U$43)</f>
        <v>0</v>
      </c>
      <c r="I7" s="264">
        <f>SUMIF(CF.data!$B$4:$B$43,CF!$A7,CF.data!V$4:V$43)</f>
        <v>0</v>
      </c>
      <c r="J7" s="264">
        <f>SUMIF(CF.data!$B$4:$B$43,CF!$A7,CF.data!W$4:W$43)</f>
        <v>0</v>
      </c>
      <c r="K7" s="264"/>
      <c r="L7" s="264"/>
      <c r="M7" s="264"/>
      <c r="N7" s="264"/>
      <c r="O7" s="36">
        <f t="shared" si="1"/>
        <v>77662.213687407901</v>
      </c>
      <c r="P7" s="36">
        <f t="shared" si="1"/>
        <v>178483.74062414098</v>
      </c>
      <c r="Q7" s="36">
        <f t="shared" si="1"/>
        <v>302380.58950055187</v>
      </c>
    </row>
    <row r="8" spans="1:17">
      <c r="A8">
        <v>3</v>
      </c>
      <c r="B8" s="3" t="s">
        <v>519</v>
      </c>
      <c r="C8" s="264">
        <f>SUMIF(CF.data!$B$4:$B$43,CF!$A8,CF.data!P$4:P$43)</f>
        <v>0</v>
      </c>
      <c r="D8" s="264">
        <f>SUMIF(CF.data!$B$4:$B$43,CF!$A8,CF.data!Q$4:Q$43)</f>
        <v>0</v>
      </c>
      <c r="E8" s="264">
        <f>SUMIF(CF.data!$B$4:$B$43,CF!$A8,CF.data!R$4:R$43)</f>
        <v>0</v>
      </c>
      <c r="F8" s="264">
        <f>SUMIF(CF.data!$B$4:$B$43,CF!$A8,CF.data!S$4:S$43)</f>
        <v>0</v>
      </c>
      <c r="G8" s="264">
        <f>SUMIF(CF.data!$B$4:$B$43,CF!$A8,CF.data!T$4:T$43)</f>
        <v>0</v>
      </c>
      <c r="H8" s="264">
        <f>SUMIF(CF.data!$B$4:$B$43,CF!$A8,CF.data!U$4:U$43)</f>
        <v>0</v>
      </c>
      <c r="I8" s="264">
        <f>SUMIF(CF.data!$B$4:$B$43,CF!$A8,CF.data!V$4:V$43)</f>
        <v>0</v>
      </c>
      <c r="J8" s="264">
        <f>SUMIF(CF.data!$B$4:$B$43,CF!$A8,CF.data!W$4:W$43)</f>
        <v>0</v>
      </c>
      <c r="K8" s="264"/>
      <c r="L8" s="264"/>
      <c r="M8" s="264"/>
      <c r="N8" s="264"/>
      <c r="O8" s="36">
        <f t="shared" si="1"/>
        <v>-521.25304800000004</v>
      </c>
      <c r="P8" s="36">
        <f t="shared" si="1"/>
        <v>-469.12774319999983</v>
      </c>
      <c r="Q8" s="36">
        <f t="shared" si="1"/>
        <v>-422.21496888000013</v>
      </c>
    </row>
    <row r="9" spans="1:17">
      <c r="A9">
        <v>4</v>
      </c>
      <c r="B9" s="3" t="s">
        <v>208</v>
      </c>
      <c r="C9" s="264">
        <f>SUMIF(CF.data!$B$4:$B$43,CF!$A9,CF.data!P$4:P$43)</f>
        <v>0</v>
      </c>
      <c r="D9" s="264">
        <f>SUMIF(CF.data!$B$4:$B$43,CF!$A9,CF.data!Q$4:Q$43)</f>
        <v>0</v>
      </c>
      <c r="E9" s="264">
        <f>SUMIF(CF.data!$B$4:$B$43,CF!$A9,CF.data!R$4:R$43)</f>
        <v>0</v>
      </c>
      <c r="F9" s="264">
        <f>SUMIF(CF.data!$B$4:$B$43,CF!$A9,CF.data!S$4:S$43)</f>
        <v>0</v>
      </c>
      <c r="G9" s="264">
        <f>SUMIF(CF.data!$B$4:$B$43,CF!$A9,CF.data!T$4:T$43)</f>
        <v>0</v>
      </c>
      <c r="H9" s="264">
        <f>SUMIF(CF.data!$B$4:$B$43,CF!$A9,CF.data!U$4:U$43)</f>
        <v>0</v>
      </c>
      <c r="I9" s="264">
        <f>SUMIF(CF.data!$B$4:$B$43,CF!$A9,CF.data!V$4:V$43)</f>
        <v>0</v>
      </c>
      <c r="J9" s="264">
        <f>SUMIF(CF.data!$B$4:$B$43,CF!$A9,CF.data!W$4:W$43)</f>
        <v>0</v>
      </c>
      <c r="K9" s="264"/>
      <c r="L9" s="264"/>
      <c r="M9" s="264"/>
      <c r="N9" s="264"/>
      <c r="O9" s="36">
        <f t="shared" si="1"/>
        <v>0</v>
      </c>
      <c r="P9" s="36">
        <f t="shared" si="1"/>
        <v>0</v>
      </c>
      <c r="Q9" s="36">
        <f t="shared" si="1"/>
        <v>0</v>
      </c>
    </row>
    <row r="10" spans="1:17">
      <c r="A10">
        <v>5</v>
      </c>
      <c r="B10" s="3" t="s">
        <v>520</v>
      </c>
      <c r="C10" s="264">
        <v>-142591</v>
      </c>
      <c r="D10" s="264">
        <f>SUMIF(CF.data!$B$4:$B$43,CF!$A10,CF.data!Q$4:Q$43)</f>
        <v>0</v>
      </c>
      <c r="E10" s="264">
        <f>SUMIF(CF.data!$B$4:$B$43,CF!$A10,CF.data!R$4:R$43)</f>
        <v>0</v>
      </c>
      <c r="F10" s="264">
        <f>SUMIF(CF.data!$B$4:$B$43,CF!$A10,CF.data!S$4:S$43)</f>
        <v>0</v>
      </c>
      <c r="G10" s="264">
        <f>SUMIF(CF.data!$B$4:$B$43,CF!$A10,CF.data!T$4:T$43)</f>
        <v>0</v>
      </c>
      <c r="H10" s="264">
        <f>SUMIF(CF.data!$B$4:$B$43,CF!$A10,CF.data!U$4:U$43)</f>
        <v>0</v>
      </c>
      <c r="I10" s="264">
        <f>SUMIF(CF.data!$B$4:$B$43,CF!$A10,CF.data!V$4:V$43)</f>
        <v>0</v>
      </c>
      <c r="J10" s="264">
        <f>SUMIF(CF.data!$B$4:$B$43,CF!$A10,CF.data!W$4:W$43)</f>
        <v>0</v>
      </c>
      <c r="K10" s="264"/>
      <c r="L10" s="264"/>
      <c r="M10" s="264"/>
      <c r="N10" s="264"/>
      <c r="O10" s="36">
        <f t="shared" si="1"/>
        <v>-126862.13813039991</v>
      </c>
      <c r="P10" s="36">
        <f t="shared" si="1"/>
        <v>-131703.4383662075</v>
      </c>
      <c r="Q10" s="36">
        <f t="shared" si="1"/>
        <v>-127083.51974546821</v>
      </c>
    </row>
    <row r="11" spans="1:17">
      <c r="B11" s="3" t="s">
        <v>521</v>
      </c>
      <c r="C11" s="264">
        <f>SUMIF(CF.data!$B$4:$B$43,CF!$A11,CF.data!P$4:P$43)</f>
        <v>0</v>
      </c>
      <c r="D11" s="264">
        <f>SUMIF(CF.data!$B$4:$B$43,CF!$A11,CF.data!Q$4:Q$43)</f>
        <v>0</v>
      </c>
      <c r="E11" s="264">
        <f>SUMIF(CF.data!$B$4:$B$43,CF!$A11,CF.data!R$4:R$43)</f>
        <v>0</v>
      </c>
      <c r="F11" s="264">
        <f>SUMIF(CF.data!$B$4:$B$43,CF!$A11,CF.data!S$4:S$43)</f>
        <v>0</v>
      </c>
      <c r="G11" s="264">
        <f>SUMIF(CF.data!$B$4:$B$43,CF!$A11,CF.data!T$4:T$43)</f>
        <v>0</v>
      </c>
      <c r="H11" s="264">
        <f>SUMIF(CF.data!$B$4:$B$43,CF!$A11,CF.data!U$4:U$43)</f>
        <v>0</v>
      </c>
      <c r="I11" s="264">
        <f>SUMIF(CF.data!$B$4:$B$43,CF!$A11,CF.data!V$4:V$43)</f>
        <v>0</v>
      </c>
      <c r="J11" s="264">
        <f>SUMIF(CF.data!$B$4:$B$43,CF!$A11,CF.data!W$4:W$43)</f>
        <v>0</v>
      </c>
      <c r="K11" s="264"/>
      <c r="L11" s="264"/>
      <c r="M11" s="264"/>
      <c r="N11" s="264"/>
      <c r="O11" s="36">
        <f t="shared" si="1"/>
        <v>0</v>
      </c>
      <c r="P11" s="36">
        <f t="shared" si="1"/>
        <v>0</v>
      </c>
      <c r="Q11" s="36">
        <f t="shared" si="1"/>
        <v>0</v>
      </c>
    </row>
    <row r="12" spans="1:17">
      <c r="B12" s="3" t="s">
        <v>522</v>
      </c>
      <c r="C12" s="264">
        <f>SUMIF(CF.data!$B$4:$B$43,CF!$A12,CF.data!P$4:P$43)</f>
        <v>0</v>
      </c>
      <c r="D12" s="264">
        <f>SUMIF(CF.data!$B$4:$B$43,CF!$A12,CF.data!Q$4:Q$43)</f>
        <v>0</v>
      </c>
      <c r="E12" s="264">
        <f>SUMIF(CF.data!$B$4:$B$43,CF!$A12,CF.data!R$4:R$43)</f>
        <v>0</v>
      </c>
      <c r="F12" s="264">
        <f>SUMIF(CF.data!$B$4:$B$43,CF!$A12,CF.data!S$4:S$43)</f>
        <v>0</v>
      </c>
      <c r="G12" s="264">
        <f>SUMIF(CF.data!$B$4:$B$43,CF!$A12,CF.data!T$4:T$43)</f>
        <v>0</v>
      </c>
      <c r="H12" s="264">
        <f>SUMIF(CF.data!$B$4:$B$43,CF!$A12,CF.data!U$4:U$43)</f>
        <v>0</v>
      </c>
      <c r="I12" s="264">
        <f>SUMIF(CF.data!$B$4:$B$43,CF!$A12,CF.data!V$4:V$43)</f>
        <v>0</v>
      </c>
      <c r="J12" s="264">
        <f>SUMIF(CF.data!$B$4:$B$43,CF!$A12,CF.data!W$4:W$43)</f>
        <v>0</v>
      </c>
      <c r="K12" s="264"/>
      <c r="L12" s="264"/>
      <c r="M12" s="264"/>
      <c r="N12" s="264"/>
      <c r="O12" s="36">
        <f t="shared" si="1"/>
        <v>0</v>
      </c>
      <c r="P12" s="36">
        <f t="shared" si="1"/>
        <v>0</v>
      </c>
      <c r="Q12" s="36">
        <f t="shared" si="1"/>
        <v>0</v>
      </c>
    </row>
    <row r="13" spans="1:17">
      <c r="B13" s="3" t="s">
        <v>523</v>
      </c>
      <c r="C13" s="264">
        <f>SUMIF(CF.data!$B$4:$B$43,CF!$A13,CF.data!P$4:P$43)</f>
        <v>0</v>
      </c>
      <c r="D13" s="264">
        <f>SUMIF(CF.data!$B$4:$B$43,CF!$A13,CF.data!Q$4:Q$43)</f>
        <v>0</v>
      </c>
      <c r="E13" s="264">
        <f>SUMIF(CF.data!$B$4:$B$43,CF!$A13,CF.data!R$4:R$43)</f>
        <v>0</v>
      </c>
      <c r="F13" s="264">
        <f>SUMIF(CF.data!$B$4:$B$43,CF!$A13,CF.data!S$4:S$43)</f>
        <v>0</v>
      </c>
      <c r="G13" s="264">
        <f>SUMIF(CF.data!$B$4:$B$43,CF!$A13,CF.data!T$4:T$43)</f>
        <v>0</v>
      </c>
      <c r="H13" s="264">
        <f>SUMIF(CF.data!$B$4:$B$43,CF!$A13,CF.data!U$4:U$43)</f>
        <v>0</v>
      </c>
      <c r="I13" s="264">
        <f>SUMIF(CF.data!$B$4:$B$43,CF!$A13,CF.data!V$4:V$43)</f>
        <v>0</v>
      </c>
      <c r="J13" s="264">
        <f>SUMIF(CF.data!$B$4:$B$43,CF!$A13,CF.data!W$4:W$43)</f>
        <v>0</v>
      </c>
      <c r="K13" s="264"/>
      <c r="L13" s="264"/>
      <c r="M13" s="264"/>
      <c r="N13" s="264"/>
      <c r="O13" s="36">
        <f t="shared" si="1"/>
        <v>0</v>
      </c>
      <c r="P13" s="36">
        <f t="shared" si="1"/>
        <v>0</v>
      </c>
      <c r="Q13" s="36">
        <f t="shared" si="1"/>
        <v>0</v>
      </c>
    </row>
    <row r="14" spans="1:17">
      <c r="B14" s="3" t="s">
        <v>524</v>
      </c>
      <c r="C14" s="264">
        <f>SUMIF(CF.data!$B$4:$B$43,CF!$A14,CF.data!P$4:P$43)</f>
        <v>0</v>
      </c>
      <c r="D14" s="264">
        <f>SUMIF(CF.data!$B$4:$B$43,CF!$A14,CF.data!Q$4:Q$43)</f>
        <v>0</v>
      </c>
      <c r="E14" s="264">
        <f>SUMIF(CF.data!$B$4:$B$43,CF!$A14,CF.data!R$4:R$43)</f>
        <v>0</v>
      </c>
      <c r="F14" s="264">
        <f>SUMIF(CF.data!$B$4:$B$43,CF!$A14,CF.data!S$4:S$43)</f>
        <v>0</v>
      </c>
      <c r="G14" s="264">
        <f>SUMIF(CF.data!$B$4:$B$43,CF!$A14,CF.data!T$4:T$43)</f>
        <v>0</v>
      </c>
      <c r="H14" s="264">
        <f>SUMIF(CF.data!$B$4:$B$43,CF!$A14,CF.data!U$4:U$43)</f>
        <v>0</v>
      </c>
      <c r="I14" s="264">
        <f>SUMIF(CF.data!$B$4:$B$43,CF!$A14,CF.data!V$4:V$43)</f>
        <v>0</v>
      </c>
      <c r="J14" s="264">
        <f>SUMIF(CF.data!$B$4:$B$43,CF!$A14,CF.data!W$4:W$43)</f>
        <v>0</v>
      </c>
      <c r="K14" s="264"/>
      <c r="L14" s="264"/>
      <c r="M14" s="264"/>
      <c r="N14" s="264"/>
      <c r="O14" s="36">
        <f t="shared" si="1"/>
        <v>0</v>
      </c>
      <c r="P14" s="36">
        <f t="shared" si="1"/>
        <v>0</v>
      </c>
      <c r="Q14" s="36">
        <f t="shared" si="1"/>
        <v>0</v>
      </c>
    </row>
    <row r="15" spans="1:17">
      <c r="B15" s="3" t="s">
        <v>525</v>
      </c>
      <c r="C15" s="264">
        <f>SUMIF(CF.data!$B$4:$B$43,CF!$A15,CF.data!P$4:P$43)</f>
        <v>0</v>
      </c>
      <c r="D15" s="264">
        <f>SUMIF(CF.data!$B$4:$B$43,CF!$A15,CF.data!Q$4:Q$43)</f>
        <v>0</v>
      </c>
      <c r="E15" s="264">
        <f>SUMIF(CF.data!$B$4:$B$43,CF!$A15,CF.data!R$4:R$43)</f>
        <v>0</v>
      </c>
      <c r="F15" s="264">
        <f>SUMIF(CF.data!$B$4:$B$43,CF!$A15,CF.data!S$4:S$43)</f>
        <v>0</v>
      </c>
      <c r="G15" s="264">
        <f>SUMIF(CF.data!$B$4:$B$43,CF!$A15,CF.data!T$4:T$43)</f>
        <v>0</v>
      </c>
      <c r="H15" s="264">
        <f>SUMIF(CF.data!$B$4:$B$43,CF!$A15,CF.data!U$4:U$43)</f>
        <v>0</v>
      </c>
      <c r="I15" s="264">
        <f>SUMIF(CF.data!$B$4:$B$43,CF!$A15,CF.data!V$4:V$43)</f>
        <v>0</v>
      </c>
      <c r="J15" s="264">
        <f>SUMIF(CF.data!$B$4:$B$43,CF!$A15,CF.data!W$4:W$43)</f>
        <v>0</v>
      </c>
      <c r="K15" s="264"/>
      <c r="L15" s="264"/>
      <c r="M15" s="264"/>
      <c r="N15" s="264"/>
      <c r="O15" s="36">
        <f t="shared" si="1"/>
        <v>0</v>
      </c>
      <c r="P15" s="36">
        <f t="shared" si="1"/>
        <v>0</v>
      </c>
      <c r="Q15" s="36">
        <f t="shared" si="1"/>
        <v>0</v>
      </c>
    </row>
    <row r="16" spans="1:17">
      <c r="B16" s="3" t="s">
        <v>526</v>
      </c>
      <c r="C16" s="264">
        <f>SUMIF(CF.data!$B$4:$B$43,CF!$A16,CF.data!P$4:P$43)</f>
        <v>0</v>
      </c>
      <c r="D16" s="264">
        <f>SUMIF(CF.data!$B$4:$B$43,CF!$A16,CF.data!Q$4:Q$43)</f>
        <v>0</v>
      </c>
      <c r="E16" s="264">
        <f>SUMIF(CF.data!$B$4:$B$43,CF!$A16,CF.data!R$4:R$43)</f>
        <v>0</v>
      </c>
      <c r="F16" s="264">
        <f>SUMIF(CF.data!$B$4:$B$43,CF!$A16,CF.data!S$4:S$43)</f>
        <v>0</v>
      </c>
      <c r="G16" s="264">
        <f>SUMIF(CF.data!$B$4:$B$43,CF!$A16,CF.data!T$4:T$43)</f>
        <v>0</v>
      </c>
      <c r="H16" s="264">
        <f>SUMIF(CF.data!$B$4:$B$43,CF!$A16,CF.data!U$4:U$43)</f>
        <v>0</v>
      </c>
      <c r="I16" s="264">
        <f>SUMIF(CF.data!$B$4:$B$43,CF!$A16,CF.data!V$4:V$43)</f>
        <v>0</v>
      </c>
      <c r="J16" s="264">
        <f>SUMIF(CF.data!$B$4:$B$43,CF!$A16,CF.data!W$4:W$43)</f>
        <v>0</v>
      </c>
      <c r="K16" s="264"/>
      <c r="L16" s="264"/>
      <c r="M16" s="264"/>
      <c r="N16" s="264"/>
      <c r="O16" s="36">
        <f t="shared" si="1"/>
        <v>0</v>
      </c>
      <c r="P16" s="36">
        <f t="shared" si="1"/>
        <v>0</v>
      </c>
      <c r="Q16" s="36">
        <f t="shared" si="1"/>
        <v>0</v>
      </c>
    </row>
    <row r="17" spans="1:17">
      <c r="B17" s="3" t="s">
        <v>527</v>
      </c>
      <c r="C17" s="264">
        <f>SUMIF(CF.data!$B$4:$B$43,CF!$A17,CF.data!P$4:P$43)</f>
        <v>0</v>
      </c>
      <c r="D17" s="264">
        <f>SUMIF(CF.data!$B$4:$B$43,CF!$A17,CF.data!Q$4:Q$43)</f>
        <v>0</v>
      </c>
      <c r="E17" s="264">
        <f>SUMIF(CF.data!$B$4:$B$43,CF!$A17,CF.data!R$4:R$43)</f>
        <v>0</v>
      </c>
      <c r="F17" s="264">
        <f>SUMIF(CF.data!$B$4:$B$43,CF!$A17,CF.data!S$4:S$43)</f>
        <v>0</v>
      </c>
      <c r="G17" s="264">
        <f>SUMIF(CF.data!$B$4:$B$43,CF!$A17,CF.data!T$4:T$43)</f>
        <v>0</v>
      </c>
      <c r="H17" s="264">
        <f>SUMIF(CF.data!$B$4:$B$43,CF!$A17,CF.data!U$4:U$43)</f>
        <v>0</v>
      </c>
      <c r="I17" s="264">
        <f>SUMIF(CF.data!$B$4:$B$43,CF!$A17,CF.data!V$4:V$43)</f>
        <v>0</v>
      </c>
      <c r="J17" s="264">
        <f>SUMIF(CF.data!$B$4:$B$43,CF!$A17,CF.data!W$4:W$43)</f>
        <v>0</v>
      </c>
      <c r="K17" s="264"/>
      <c r="L17" s="264"/>
      <c r="M17" s="264"/>
      <c r="N17" s="264"/>
      <c r="O17" s="36">
        <f t="shared" si="1"/>
        <v>0</v>
      </c>
      <c r="P17" s="36">
        <f t="shared" si="1"/>
        <v>0</v>
      </c>
      <c r="Q17" s="36">
        <f t="shared" si="1"/>
        <v>0</v>
      </c>
    </row>
    <row r="18" spans="1:17">
      <c r="A18">
        <v>6</v>
      </c>
      <c r="B18" s="3" t="s">
        <v>528</v>
      </c>
      <c r="C18" s="264">
        <v>80245</v>
      </c>
      <c r="D18" s="264">
        <v>152782</v>
      </c>
      <c r="E18" s="264">
        <f>SUMIF(CF.data!$B$4:$B$43,CF!$A18,CF.data!R$4:R$43)</f>
        <v>0</v>
      </c>
      <c r="F18" s="264">
        <f>SUMIF(CF.data!$B$4:$B$43,CF!$A18,CF.data!S$4:S$43)</f>
        <v>0</v>
      </c>
      <c r="G18" s="264">
        <f>SUMIF(CF.data!$B$4:$B$43,CF!$A18,CF.data!T$4:T$43)</f>
        <v>0</v>
      </c>
      <c r="H18" s="264">
        <f>SUMIF(CF.data!$B$4:$B$43,CF!$A18,CF.data!U$4:U$43)</f>
        <v>0</v>
      </c>
      <c r="I18" s="264">
        <f>SUMIF(CF.data!$B$4:$B$43,CF!$A18,CF.data!V$4:V$43)</f>
        <v>0</v>
      </c>
      <c r="J18" s="264">
        <f>SUMIF(CF.data!$B$4:$B$43,CF!$A18,CF.data!W$4:W$43)</f>
        <v>0</v>
      </c>
      <c r="K18" s="264"/>
      <c r="L18" s="264"/>
      <c r="M18" s="264"/>
      <c r="N18" s="264"/>
      <c r="O18" s="36">
        <f t="shared" si="1"/>
        <v>221426.92026190599</v>
      </c>
      <c r="P18" s="36">
        <f t="shared" si="1"/>
        <v>204475.45534463151</v>
      </c>
      <c r="Q18" s="36">
        <f t="shared" si="1"/>
        <v>213381.26988555302</v>
      </c>
    </row>
    <row r="19" spans="1:17">
      <c r="A19">
        <v>7</v>
      </c>
      <c r="B19" s="3" t="s">
        <v>529</v>
      </c>
      <c r="C19" s="264">
        <f>SUMIF(CF.data!$B$4:$B$43,CF!$A19,CF.data!P$4:P$43)</f>
        <v>0</v>
      </c>
      <c r="D19" s="264">
        <f>SUMIF(CF.data!$B$4:$B$43,CF!$A19,CF.data!Q$4:Q$43)</f>
        <v>0</v>
      </c>
      <c r="E19" s="264">
        <f>SUMIF(CF.data!$B$4:$B$43,CF!$A19,CF.data!R$4:R$43)</f>
        <v>0</v>
      </c>
      <c r="F19" s="264">
        <f>SUMIF(CF.data!$B$4:$B$43,CF!$A19,CF.data!S$4:S$43)</f>
        <v>0</v>
      </c>
      <c r="G19" s="264">
        <f>SUMIF(CF.data!$B$4:$B$43,CF!$A19,CF.data!T$4:T$43)</f>
        <v>0</v>
      </c>
      <c r="H19" s="264">
        <f>SUMIF(CF.data!$B$4:$B$43,CF!$A19,CF.data!U$4:U$43)</f>
        <v>0</v>
      </c>
      <c r="I19" s="264">
        <f>SUMIF(CF.data!$B$4:$B$43,CF!$A19,CF.data!V$4:V$43)</f>
        <v>0</v>
      </c>
      <c r="J19" s="264">
        <f>SUMIF(CF.data!$B$4:$B$43,CF!$A19,CF.data!W$4:W$43)</f>
        <v>0</v>
      </c>
      <c r="K19" s="264"/>
      <c r="L19" s="264"/>
      <c r="M19" s="264"/>
      <c r="N19" s="264"/>
      <c r="O19" s="36">
        <f t="shared" si="1"/>
        <v>4115.7485710000001</v>
      </c>
      <c r="P19" s="36">
        <f t="shared" si="1"/>
        <v>4115.7485710000001</v>
      </c>
      <c r="Q19" s="36">
        <f t="shared" si="1"/>
        <v>5355.7485710000001</v>
      </c>
    </row>
    <row r="20" spans="1:17">
      <c r="B20" s="3"/>
      <c r="C20" s="264">
        <f>SUMIF(CF.data!$B$4:$B$43,CF!$A20,CF.data!P$4:P$43)</f>
        <v>0</v>
      </c>
      <c r="D20" s="264">
        <f>SUMIF(CF.data!$B$4:$B$43,CF!$A20,CF.data!Q$4:Q$43)</f>
        <v>0</v>
      </c>
      <c r="E20" s="264">
        <f>SUMIF(CF.data!$B$4:$B$43,CF!$A20,CF.data!R$4:R$43)</f>
        <v>0</v>
      </c>
      <c r="F20" s="264">
        <f>SUMIF(CF.data!$B$4:$B$43,CF!$A20,CF.data!S$4:S$43)</f>
        <v>0</v>
      </c>
      <c r="G20" s="264">
        <f>SUMIF(CF.data!$B$4:$B$43,CF!$A20,CF.data!T$4:T$43)</f>
        <v>0</v>
      </c>
      <c r="H20" s="264">
        <f>SUMIF(CF.data!$B$4:$B$43,CF!$A20,CF.data!U$4:U$43)</f>
        <v>0</v>
      </c>
      <c r="I20" s="264">
        <f>SUMIF(CF.data!$B$4:$B$43,CF!$A20,CF.data!V$4:V$43)</f>
        <v>0</v>
      </c>
      <c r="J20" s="264">
        <f>SUMIF(CF.data!$B$4:$B$43,CF!$A20,CF.data!W$4:W$43)</f>
        <v>0</v>
      </c>
      <c r="K20" s="264"/>
      <c r="L20" s="264"/>
      <c r="M20" s="264"/>
      <c r="N20" s="264"/>
      <c r="O20" s="36">
        <f t="shared" si="1"/>
        <v>0</v>
      </c>
      <c r="P20" s="36">
        <f t="shared" si="1"/>
        <v>0</v>
      </c>
      <c r="Q20" s="36">
        <f t="shared" si="1"/>
        <v>0</v>
      </c>
    </row>
    <row r="21" spans="1:17" s="62" customFormat="1" ht="30" customHeight="1">
      <c r="A21" s="59">
        <v>8</v>
      </c>
      <c r="B21" s="60" t="s">
        <v>530</v>
      </c>
      <c r="C21" s="309">
        <f>SUM(C5:C20)</f>
        <v>234534</v>
      </c>
      <c r="D21" s="309">
        <f>SUM(D5:D20)</f>
        <v>624877</v>
      </c>
      <c r="E21" s="309">
        <f>SUMIF(CF.data!$B$4:$B$43,CF!$A21,CF.data!R$4:R$43)</f>
        <v>0</v>
      </c>
      <c r="F21" s="309">
        <f>SUMIF(CF.data!$B$4:$B$43,CF!$A21,CF.data!S$4:S$43)</f>
        <v>0</v>
      </c>
      <c r="G21" s="309">
        <f>SUMIF(CF.data!$B$4:$B$43,CF!$A21,CF.data!T$4:T$43)</f>
        <v>0</v>
      </c>
      <c r="H21" s="309">
        <f>SUMIF(CF.data!$B$4:$B$43,CF!$A21,CF.data!U$4:U$43)</f>
        <v>0</v>
      </c>
      <c r="I21" s="309">
        <f>SUMIF(CF.data!$B$4:$B$43,CF!$A21,CF.data!V$4:V$43)</f>
        <v>0</v>
      </c>
      <c r="J21" s="309">
        <f>SUMIF(CF.data!$B$4:$B$43,CF!$A21,CF.data!W$4:W$43)</f>
        <v>0</v>
      </c>
      <c r="K21" s="309"/>
      <c r="L21" s="309"/>
      <c r="M21" s="309"/>
      <c r="N21" s="309"/>
      <c r="O21" s="61">
        <f t="shared" si="1"/>
        <v>0</v>
      </c>
      <c r="P21" s="61">
        <f t="shared" si="1"/>
        <v>0</v>
      </c>
      <c r="Q21" s="61">
        <f t="shared" si="1"/>
        <v>0</v>
      </c>
    </row>
    <row r="22" spans="1:17">
      <c r="A22">
        <v>9</v>
      </c>
      <c r="B22" s="3" t="s">
        <v>531</v>
      </c>
      <c r="C22" s="264">
        <f>SUMIF(CF.data!$B$4:$B$43,CF!$A22,CF.data!P$4:P$43)</f>
        <v>0</v>
      </c>
      <c r="D22" s="264">
        <f>SUMIF(CF.data!$B$4:$B$43,CF!$A22,CF.data!Q$4:Q$43)</f>
        <v>0</v>
      </c>
      <c r="E22" s="264">
        <f>SUMIF(CF.data!$B$4:$B$43,CF!$A22,CF.data!R$4:R$43)</f>
        <v>0</v>
      </c>
      <c r="F22" s="264">
        <f>SUMIF(CF.data!$B$4:$B$43,CF!$A22,CF.data!S$4:S$43)</f>
        <v>0</v>
      </c>
      <c r="G22" s="264">
        <f>SUMIF(CF.data!$B$4:$B$43,CF!$A22,CF.data!T$4:T$43)</f>
        <v>0</v>
      </c>
      <c r="H22" s="264">
        <f>SUMIF(CF.data!$B$4:$B$43,CF!$A22,CF.data!U$4:U$43)</f>
        <v>0</v>
      </c>
      <c r="I22" s="264">
        <f>SUMIF(CF.data!$B$4:$B$43,CF!$A22,CF.data!V$4:V$43)</f>
        <v>0</v>
      </c>
      <c r="J22" s="264">
        <f>SUMIF(CF.data!$B$4:$B$43,CF!$A22,CF.data!W$4:W$43)</f>
        <v>0</v>
      </c>
      <c r="K22" s="264"/>
      <c r="L22" s="264"/>
      <c r="M22" s="264"/>
      <c r="N22" s="264"/>
      <c r="O22" s="36">
        <f t="shared" si="1"/>
        <v>2908915.8218317004</v>
      </c>
      <c r="P22" s="36">
        <f t="shared" si="1"/>
        <v>1036273.600000415</v>
      </c>
      <c r="Q22" s="36">
        <f t="shared" si="1"/>
        <v>-14855.957216101231</v>
      </c>
    </row>
    <row r="23" spans="1:17">
      <c r="A23">
        <v>10</v>
      </c>
      <c r="B23" s="3" t="s">
        <v>532</v>
      </c>
      <c r="C23" s="264">
        <f>SUMIF(CF.data!$B$4:$B$43,CF!$A23,CF.data!P$4:P$43)</f>
        <v>0</v>
      </c>
      <c r="D23" s="264">
        <f>SUMIF(CF.data!$B$4:$B$43,CF!$A23,CF.data!Q$4:Q$43)</f>
        <v>0</v>
      </c>
      <c r="E23" s="264">
        <f>SUMIF(CF.data!$B$4:$B$43,CF!$A23,CF.data!R$4:R$43)</f>
        <v>0</v>
      </c>
      <c r="F23" s="264">
        <f>SUMIF(CF.data!$B$4:$B$43,CF!$A23,CF.data!S$4:S$43)</f>
        <v>0</v>
      </c>
      <c r="G23" s="264">
        <f>SUMIF(CF.data!$B$4:$B$43,CF!$A23,CF.data!T$4:T$43)</f>
        <v>0</v>
      </c>
      <c r="H23" s="264">
        <f>SUMIF(CF.data!$B$4:$B$43,CF!$A23,CF.data!U$4:U$43)</f>
        <v>0</v>
      </c>
      <c r="I23" s="264">
        <f>SUMIF(CF.data!$B$4:$B$43,CF!$A23,CF.data!V$4:V$43)</f>
        <v>0</v>
      </c>
      <c r="J23" s="264">
        <f>SUMIF(CF.data!$B$4:$B$43,CF!$A23,CF.data!W$4:W$43)</f>
        <v>0</v>
      </c>
      <c r="K23" s="264"/>
      <c r="L23" s="264"/>
      <c r="M23" s="264"/>
      <c r="N23" s="264"/>
      <c r="O23" s="36">
        <f t="shared" si="1"/>
        <v>-2688.5047509000019</v>
      </c>
      <c r="P23" s="36">
        <f t="shared" si="1"/>
        <v>-14786.776129950002</v>
      </c>
      <c r="Q23" s="36">
        <f t="shared" si="1"/>
        <v>-26616.197033910001</v>
      </c>
    </row>
    <row r="24" spans="1:17">
      <c r="A24">
        <v>11</v>
      </c>
      <c r="B24" s="3" t="s">
        <v>533</v>
      </c>
      <c r="C24" s="264">
        <f>SUMIF(CF.data!$B$4:$B$43,CF!$A24,CF.data!P$4:P$43)</f>
        <v>0</v>
      </c>
      <c r="D24" s="264">
        <f>SUMIF(CF.data!$B$4:$B$43,CF!$A24,CF.data!Q$4:Q$43)</f>
        <v>0</v>
      </c>
      <c r="E24" s="264">
        <f>SUMIF(CF.data!$B$4:$B$43,CF!$A24,CF.data!R$4:R$43)</f>
        <v>0</v>
      </c>
      <c r="F24" s="264">
        <f>SUMIF(CF.data!$B$4:$B$43,CF!$A24,CF.data!S$4:S$43)</f>
        <v>0</v>
      </c>
      <c r="G24" s="264">
        <f>SUMIF(CF.data!$B$4:$B$43,CF!$A24,CF.data!T$4:T$43)</f>
        <v>0</v>
      </c>
      <c r="H24" s="264">
        <f>SUMIF(CF.data!$B$4:$B$43,CF!$A24,CF.data!U$4:U$43)</f>
        <v>0</v>
      </c>
      <c r="I24" s="264">
        <f>SUMIF(CF.data!$B$4:$B$43,CF!$A24,CF.data!V$4:V$43)</f>
        <v>0</v>
      </c>
      <c r="J24" s="264">
        <f>SUMIF(CF.data!$B$4:$B$43,CF!$A24,CF.data!W$4:W$43)</f>
        <v>0</v>
      </c>
      <c r="K24" s="264"/>
      <c r="L24" s="264"/>
      <c r="M24" s="264"/>
      <c r="N24" s="264"/>
      <c r="O24" s="36">
        <f t="shared" si="1"/>
        <v>-1167676.3568941599</v>
      </c>
      <c r="P24" s="36">
        <f t="shared" si="1"/>
        <v>-172666.03845301701</v>
      </c>
      <c r="Q24" s="36">
        <f t="shared" si="1"/>
        <v>-21349.2958077855</v>
      </c>
    </row>
    <row r="25" spans="1:17">
      <c r="A25">
        <v>12</v>
      </c>
      <c r="B25" s="3" t="s">
        <v>534</v>
      </c>
      <c r="C25" s="264">
        <f>SUMIF(CF.data!$B$4:$B$43,CF!$A25,CF.data!P$4:P$43)</f>
        <v>0</v>
      </c>
      <c r="D25" s="264">
        <f>SUMIF(CF.data!$B$4:$B$43,CF!$A25,CF.data!Q$4:Q$43)</f>
        <v>0</v>
      </c>
      <c r="E25" s="264">
        <f>SUMIF(CF.data!$B$4:$B$43,CF!$A25,CF.data!R$4:R$43)</f>
        <v>0</v>
      </c>
      <c r="F25" s="264">
        <f>SUMIF(CF.data!$B$4:$B$43,CF!$A25,CF.data!S$4:S$43)</f>
        <v>0</v>
      </c>
      <c r="G25" s="264">
        <f>SUMIF(CF.data!$B$4:$B$43,CF!$A25,CF.data!T$4:T$43)</f>
        <v>0</v>
      </c>
      <c r="H25" s="264">
        <f>SUMIF(CF.data!$B$4:$B$43,CF!$A25,CF.data!U$4:U$43)</f>
        <v>0</v>
      </c>
      <c r="I25" s="264">
        <f>SUMIF(CF.data!$B$4:$B$43,CF!$A25,CF.data!V$4:V$43)</f>
        <v>0</v>
      </c>
      <c r="J25" s="264">
        <f>SUMIF(CF.data!$B$4:$B$43,CF!$A25,CF.data!W$4:W$43)</f>
        <v>0</v>
      </c>
      <c r="K25" s="264"/>
      <c r="L25" s="264"/>
      <c r="M25" s="264"/>
      <c r="N25" s="264"/>
      <c r="O25" s="36">
        <f t="shared" ref="O25:Q44" si="2">O79/$O$2</f>
        <v>-61893.140805000003</v>
      </c>
      <c r="P25" s="36">
        <f t="shared" si="2"/>
        <v>-295073.05003649998</v>
      </c>
      <c r="Q25" s="36">
        <f t="shared" si="2"/>
        <v>-69943.769311950047</v>
      </c>
    </row>
    <row r="26" spans="1:17">
      <c r="A26">
        <v>13</v>
      </c>
      <c r="B26" s="3" t="s">
        <v>535</v>
      </c>
      <c r="C26" s="264">
        <v>-8125</v>
      </c>
      <c r="D26" s="264">
        <f>SUMIF(CF.data!$B$4:$B$43,CF!$A26,CF.data!Q$4:Q$43)</f>
        <v>0</v>
      </c>
      <c r="E26" s="264">
        <f>SUMIF(CF.data!$B$4:$B$43,CF!$A26,CF.data!R$4:R$43)</f>
        <v>0</v>
      </c>
      <c r="F26" s="264">
        <f>SUMIF(CF.data!$B$4:$B$43,CF!$A26,CF.data!S$4:S$43)</f>
        <v>0</v>
      </c>
      <c r="G26" s="264">
        <f>SUMIF(CF.data!$B$4:$B$43,CF!$A26,CF.data!T$4:T$43)</f>
        <v>0</v>
      </c>
      <c r="H26" s="264">
        <f>SUMIF(CF.data!$B$4:$B$43,CF!$A26,CF.data!U$4:U$43)</f>
        <v>0</v>
      </c>
      <c r="I26" s="264">
        <f>SUMIF(CF.data!$B$4:$B$43,CF!$A26,CF.data!V$4:V$43)</f>
        <v>0</v>
      </c>
      <c r="J26" s="264">
        <f>SUMIF(CF.data!$B$4:$B$43,CF!$A26,CF.data!W$4:W$43)</f>
        <v>0</v>
      </c>
      <c r="K26" s="264"/>
      <c r="L26" s="264"/>
      <c r="M26" s="264"/>
      <c r="N26" s="264"/>
      <c r="O26" s="36">
        <f t="shared" si="2"/>
        <v>36280.922000099985</v>
      </c>
      <c r="P26" s="36">
        <f t="shared" si="2"/>
        <v>263264.14900045004</v>
      </c>
      <c r="Q26" s="36">
        <f t="shared" si="2"/>
        <v>0</v>
      </c>
    </row>
    <row r="27" spans="1:17">
      <c r="A27">
        <v>14</v>
      </c>
      <c r="B27" s="3" t="s">
        <v>536</v>
      </c>
      <c r="C27" s="264">
        <f>SUMIF(CF.data!$B$4:$B$43,CF!$A27,CF.data!P$4:P$43)</f>
        <v>0</v>
      </c>
      <c r="D27" s="264">
        <f>SUMIF(CF.data!$B$4:$B$43,CF!$A27,CF.data!Q$4:Q$43)</f>
        <v>0</v>
      </c>
      <c r="E27" s="264">
        <f>SUMIF(CF.data!$B$4:$B$43,CF!$A27,CF.data!R$4:R$43)</f>
        <v>0</v>
      </c>
      <c r="F27" s="264">
        <f>SUMIF(CF.data!$B$4:$B$43,CF!$A27,CF.data!S$4:S$43)</f>
        <v>0</v>
      </c>
      <c r="G27" s="264">
        <f>SUMIF(CF.data!$B$4:$B$43,CF!$A27,CF.data!T$4:T$43)</f>
        <v>0</v>
      </c>
      <c r="H27" s="264">
        <f>SUMIF(CF.data!$B$4:$B$43,CF!$A27,CF.data!U$4:U$43)</f>
        <v>0</v>
      </c>
      <c r="I27" s="264">
        <f>SUMIF(CF.data!$B$4:$B$43,CF!$A27,CF.data!V$4:V$43)</f>
        <v>0</v>
      </c>
      <c r="J27" s="264">
        <f>SUMIF(CF.data!$B$4:$B$43,CF!$A27,CF.data!W$4:W$43)</f>
        <v>0</v>
      </c>
      <c r="K27" s="264"/>
      <c r="L27" s="264"/>
      <c r="M27" s="264"/>
      <c r="N27" s="264"/>
      <c r="O27" s="36">
        <f t="shared" si="2"/>
        <v>-155532.6293125512</v>
      </c>
      <c r="P27" s="36">
        <f t="shared" si="2"/>
        <v>-143625.73964364969</v>
      </c>
      <c r="Q27" s="36">
        <f t="shared" si="2"/>
        <v>-149881.27871758491</v>
      </c>
    </row>
    <row r="28" spans="1:17">
      <c r="A28">
        <v>15</v>
      </c>
      <c r="B28" s="3" t="s">
        <v>537</v>
      </c>
      <c r="C28" s="264">
        <f>SUMIF(CF.data!$B$4:$B$43,CF!$A28,CF.data!P$4:P$43)</f>
        <v>0</v>
      </c>
      <c r="D28" s="264">
        <f>SUMIF(CF.data!$B$4:$B$43,CF!$A28,CF.data!Q$4:Q$43)</f>
        <v>0</v>
      </c>
      <c r="E28" s="264">
        <f>SUMIF(CF.data!$B$4:$B$43,CF!$A28,CF.data!R$4:R$43)</f>
        <v>0</v>
      </c>
      <c r="F28" s="264">
        <f>SUMIF(CF.data!$B$4:$B$43,CF!$A28,CF.data!S$4:S$43)</f>
        <v>0</v>
      </c>
      <c r="G28" s="264">
        <f>SUMIF(CF.data!$B$4:$B$43,CF!$A28,CF.data!T$4:T$43)</f>
        <v>0</v>
      </c>
      <c r="H28" s="264">
        <f>SUMIF(CF.data!$B$4:$B$43,CF!$A28,CF.data!U$4:U$43)</f>
        <v>0</v>
      </c>
      <c r="I28" s="264">
        <f>SUMIF(CF.data!$B$4:$B$43,CF!$A28,CF.data!V$4:V$43)</f>
        <v>0</v>
      </c>
      <c r="J28" s="264">
        <f>SUMIF(CF.data!$B$4:$B$43,CF!$A28,CF.data!W$4:W$43)</f>
        <v>0</v>
      </c>
      <c r="K28" s="264"/>
      <c r="L28" s="264"/>
      <c r="M28" s="264"/>
      <c r="N28" s="264"/>
      <c r="O28" s="36">
        <f t="shared" si="2"/>
        <v>-27000</v>
      </c>
      <c r="P28" s="36">
        <f t="shared" si="2"/>
        <v>-30000</v>
      </c>
      <c r="Q28" s="36">
        <f t="shared" si="2"/>
        <v>-32000</v>
      </c>
    </row>
    <row r="29" spans="1:17">
      <c r="A29">
        <v>16</v>
      </c>
      <c r="B29" s="3" t="s">
        <v>538</v>
      </c>
      <c r="C29" s="264"/>
      <c r="D29" s="264"/>
      <c r="E29" s="264">
        <f>SUMIF(CF.data!$B$4:$B$43,CF!$A29,CF.data!R$4:R$43)</f>
        <v>0</v>
      </c>
      <c r="F29" s="264">
        <f>SUMIF(CF.data!$B$4:$B$43,CF!$A29,CF.data!S$4:S$43)</f>
        <v>0</v>
      </c>
      <c r="G29" s="264">
        <f>SUMIF(CF.data!$B$4:$B$43,CF!$A29,CF.data!T$4:T$43)</f>
        <v>0</v>
      </c>
      <c r="H29" s="264">
        <f>SUMIF(CF.data!$B$4:$B$43,CF!$A29,CF.data!U$4:U$43)</f>
        <v>0</v>
      </c>
      <c r="I29" s="264">
        <f>SUMIF(CF.data!$B$4:$B$43,CF!$A29,CF.data!V$4:V$43)</f>
        <v>0</v>
      </c>
      <c r="J29" s="264">
        <f>SUMIF(CF.data!$B$4:$B$43,CF!$A29,CF.data!W$4:W$43)</f>
        <v>0</v>
      </c>
      <c r="K29" s="264"/>
      <c r="L29" s="264"/>
      <c r="M29" s="264"/>
      <c r="N29" s="264"/>
      <c r="O29" s="36">
        <f t="shared" si="2"/>
        <v>20.332090300000008</v>
      </c>
      <c r="P29" s="36">
        <f t="shared" si="2"/>
        <v>22.36529933000001</v>
      </c>
      <c r="Q29" s="36">
        <f t="shared" si="2"/>
        <v>24.601829263000042</v>
      </c>
    </row>
    <row r="30" spans="1:17">
      <c r="A30">
        <v>17</v>
      </c>
      <c r="B30" s="3" t="s">
        <v>539</v>
      </c>
      <c r="C30" s="264">
        <v>-12852</v>
      </c>
      <c r="D30" s="264">
        <f>SUMIF(CF.data!$B$4:$B$43,CF!$A30,CF.data!Q$4:Q$43)</f>
        <v>0</v>
      </c>
      <c r="E30" s="264">
        <f>SUMIF(CF.data!$B$4:$B$43,CF!$A30,CF.data!R$4:R$43)</f>
        <v>0</v>
      </c>
      <c r="F30" s="264">
        <f>SUMIF(CF.data!$B$4:$B$43,CF!$A30,CF.data!S$4:S$43)</f>
        <v>0</v>
      </c>
      <c r="G30" s="264">
        <f>SUMIF(CF.data!$B$4:$B$43,CF!$A30,CF.data!T$4:T$43)</f>
        <v>0</v>
      </c>
      <c r="H30" s="264">
        <f>SUMIF(CF.data!$B$4:$B$43,CF!$A30,CF.data!U$4:U$43)</f>
        <v>0</v>
      </c>
      <c r="I30" s="264">
        <f>SUMIF(CF.data!$B$4:$B$43,CF!$A30,CF.data!V$4:V$43)</f>
        <v>0</v>
      </c>
      <c r="J30" s="264">
        <f>SUMIF(CF.data!$B$4:$B$43,CF!$A30,CF.data!W$4:W$43)</f>
        <v>0</v>
      </c>
      <c r="K30" s="264"/>
      <c r="L30" s="264"/>
      <c r="M30" s="264"/>
      <c r="N30" s="264"/>
      <c r="O30" s="36">
        <f t="shared" si="2"/>
        <v>0</v>
      </c>
      <c r="P30" s="36">
        <f t="shared" si="2"/>
        <v>0</v>
      </c>
      <c r="Q30" s="36">
        <f t="shared" si="2"/>
        <v>0</v>
      </c>
    </row>
    <row r="31" spans="1:17">
      <c r="B31" s="3"/>
      <c r="C31" s="264">
        <f>SUMIF(CF.data!$B$4:$B$43,CF!$A31,CF.data!P$4:P$43)</f>
        <v>0</v>
      </c>
      <c r="D31" s="264">
        <f>SUMIF(CF.data!$B$4:$B$43,CF!$A31,CF.data!Q$4:Q$43)</f>
        <v>0</v>
      </c>
      <c r="E31" s="264">
        <f>SUMIF(CF.data!$B$4:$B$43,CF!$A31,CF.data!R$4:R$43)</f>
        <v>0</v>
      </c>
      <c r="F31" s="264">
        <f>SUMIF(CF.data!$B$4:$B$43,CF!$A31,CF.data!S$4:S$43)</f>
        <v>0</v>
      </c>
      <c r="G31" s="264">
        <f>SUMIF(CF.data!$B$4:$B$43,CF!$A31,CF.data!T$4:T$43)</f>
        <v>0</v>
      </c>
      <c r="H31" s="264">
        <f>SUMIF(CF.data!$B$4:$B$43,CF!$A31,CF.data!U$4:U$43)</f>
        <v>0</v>
      </c>
      <c r="I31" s="264">
        <f>SUMIF(CF.data!$B$4:$B$43,CF!$A31,CF.data!V$4:V$43)</f>
        <v>0</v>
      </c>
      <c r="J31" s="264">
        <f>SUMIF(CF.data!$B$4:$B$43,CF!$A31,CF.data!W$4:W$43)</f>
        <v>0</v>
      </c>
      <c r="K31" s="264"/>
      <c r="L31" s="264"/>
      <c r="M31" s="264"/>
      <c r="N31" s="264"/>
      <c r="O31" s="36">
        <f t="shared" si="2"/>
        <v>0</v>
      </c>
      <c r="P31" s="36">
        <f t="shared" si="2"/>
        <v>0</v>
      </c>
      <c r="Q31" s="36">
        <f t="shared" si="2"/>
        <v>0</v>
      </c>
    </row>
    <row r="32" spans="1:17" s="62" customFormat="1">
      <c r="A32" s="62">
        <v>20</v>
      </c>
      <c r="B32" s="60" t="s">
        <v>540</v>
      </c>
      <c r="C32" s="309">
        <f>SUM(C21:C30)</f>
        <v>213557</v>
      </c>
      <c r="D32" s="309">
        <f>SUMIF(CF.data!$B$4:$B$43,CF!$A32,CF.data!Q$4:Q$43)</f>
        <v>0</v>
      </c>
      <c r="E32" s="309">
        <f>SUMIF(CF.data!$B$4:$B$43,CF!$A32,CF.data!R$4:R$43)</f>
        <v>0</v>
      </c>
      <c r="F32" s="309">
        <f>SUMIF(CF.data!$B$4:$B$43,CF!$A32,CF.data!S$4:S$43)</f>
        <v>0</v>
      </c>
      <c r="G32" s="309">
        <f>SUMIF(CF.data!$B$4:$B$43,CF!$A32,CF.data!T$4:T$43)</f>
        <v>0</v>
      </c>
      <c r="H32" s="309">
        <f>SUMIF(CF.data!$B$4:$B$43,CF!$A32,CF.data!U$4:U$43)</f>
        <v>0</v>
      </c>
      <c r="I32" s="309">
        <f>SUMIF(CF.data!$B$4:$B$43,CF!$A32,CF.data!V$4:V$43)</f>
        <v>0</v>
      </c>
      <c r="J32" s="309">
        <f>SUMIF(CF.data!$B$4:$B$43,CF!$A32,CF.data!W$4:W$43)</f>
        <v>0</v>
      </c>
      <c r="K32" s="309"/>
      <c r="L32" s="309"/>
      <c r="M32" s="309"/>
      <c r="N32" s="309"/>
      <c r="O32" s="61">
        <f t="shared" si="2"/>
        <v>0</v>
      </c>
      <c r="P32" s="61">
        <f t="shared" si="2"/>
        <v>0</v>
      </c>
      <c r="Q32" s="61">
        <f t="shared" si="2"/>
        <v>0</v>
      </c>
    </row>
    <row r="33" spans="1:17">
      <c r="B33" s="3"/>
      <c r="C33" s="264">
        <f>SUMIF(CF.data!$B$4:$B$43,CF!$A33,CF.data!P$4:P$43)</f>
        <v>0</v>
      </c>
      <c r="D33" s="264">
        <f>SUMIF(CF.data!$B$4:$B$43,CF!$A33,CF.data!Q$4:Q$43)</f>
        <v>0</v>
      </c>
      <c r="E33" s="264">
        <f>SUMIF(CF.data!$B$4:$B$43,CF!$A33,CF.data!R$4:R$43)</f>
        <v>0</v>
      </c>
      <c r="F33" s="264">
        <f>SUMIF(CF.data!$B$4:$B$43,CF!$A33,CF.data!S$4:S$43)</f>
        <v>0</v>
      </c>
      <c r="G33" s="264">
        <f>SUMIF(CF.data!$B$4:$B$43,CF!$A33,CF.data!T$4:T$43)</f>
        <v>0</v>
      </c>
      <c r="H33" s="264">
        <f>SUMIF(CF.data!$B$4:$B$43,CF!$A33,CF.data!U$4:U$43)</f>
        <v>0</v>
      </c>
      <c r="I33" s="264">
        <f>SUMIF(CF.data!$B$4:$B$43,CF!$A33,CF.data!V$4:V$43)</f>
        <v>0</v>
      </c>
      <c r="J33" s="264">
        <f>SUMIF(CF.data!$B$4:$B$43,CF!$A33,CF.data!W$4:W$43)</f>
        <v>0</v>
      </c>
      <c r="K33" s="264"/>
      <c r="L33" s="264"/>
      <c r="M33" s="264"/>
      <c r="N33" s="264"/>
      <c r="O33" s="36">
        <f t="shared" si="2"/>
        <v>0</v>
      </c>
      <c r="P33" s="36">
        <f t="shared" si="2"/>
        <v>0</v>
      </c>
      <c r="Q33" s="36">
        <f t="shared" si="2"/>
        <v>0</v>
      </c>
    </row>
    <row r="34" spans="1:17" s="62" customFormat="1">
      <c r="B34" s="60" t="s">
        <v>541</v>
      </c>
      <c r="C34" s="309">
        <f>SUMIF(CF.data!$B$4:$B$43,CF!$A34,CF.data!P$4:P$43)</f>
        <v>0</v>
      </c>
      <c r="D34" s="309">
        <f>SUMIF(CF.data!$B$4:$B$43,CF!$A34,CF.data!Q$4:Q$43)</f>
        <v>0</v>
      </c>
      <c r="E34" s="309">
        <f>SUMIF(CF.data!$B$4:$B$43,CF!$A34,CF.data!R$4:R$43)</f>
        <v>0</v>
      </c>
      <c r="F34" s="309">
        <f>SUMIF(CF.data!$B$4:$B$43,CF!$A34,CF.data!S$4:S$43)</f>
        <v>0</v>
      </c>
      <c r="G34" s="309">
        <f>SUMIF(CF.data!$B$4:$B$43,CF!$A34,CF.data!T$4:T$43)</f>
        <v>0</v>
      </c>
      <c r="H34" s="309">
        <f>SUMIF(CF.data!$B$4:$B$43,CF!$A34,CF.data!U$4:U$43)</f>
        <v>0</v>
      </c>
      <c r="I34" s="309">
        <f>SUMIF(CF.data!$B$4:$B$43,CF!$A34,CF.data!V$4:V$43)</f>
        <v>0</v>
      </c>
      <c r="J34" s="309">
        <f>SUMIF(CF.data!$B$4:$B$43,CF!$A34,CF.data!W$4:W$43)</f>
        <v>0</v>
      </c>
      <c r="K34" s="309"/>
      <c r="L34" s="309"/>
      <c r="M34" s="309"/>
      <c r="N34" s="309"/>
      <c r="O34" s="61">
        <f t="shared" si="2"/>
        <v>0</v>
      </c>
      <c r="P34" s="61">
        <f t="shared" si="2"/>
        <v>0</v>
      </c>
      <c r="Q34" s="61">
        <f t="shared" si="2"/>
        <v>0</v>
      </c>
    </row>
    <row r="35" spans="1:17" ht="30" customHeight="1">
      <c r="A35" s="42">
        <v>21</v>
      </c>
      <c r="B35" s="3" t="s">
        <v>542</v>
      </c>
      <c r="C35" s="264">
        <f>SUMIF(CF.data!$B$4:$B$43,CF!$A35,CF.data!P$4:P$43)</f>
        <v>0</v>
      </c>
      <c r="D35" s="264">
        <f>SUMIF(CF.data!$B$4:$B$43,CF!$A35,CF.data!Q$4:Q$43)</f>
        <v>0</v>
      </c>
      <c r="E35" s="264">
        <f>SUMIF(CF.data!$B$4:$B$43,CF!$A35,CF.data!R$4:R$43)</f>
        <v>0</v>
      </c>
      <c r="F35" s="264">
        <f>SUMIF(CF.data!$B$4:$B$43,CF!$A35,CF.data!S$4:S$43)</f>
        <v>0</v>
      </c>
      <c r="G35" s="264">
        <f>SUMIF(CF.data!$B$4:$B$43,CF!$A35,CF.data!T$4:T$43)</f>
        <v>0</v>
      </c>
      <c r="H35" s="264">
        <f>SUMIF(CF.data!$B$4:$B$43,CF!$A35,CF.data!U$4:U$43)</f>
        <v>0</v>
      </c>
      <c r="I35" s="264">
        <f>SUMIF(CF.data!$B$4:$B$43,CF!$A35,CF.data!V$4:V$43)</f>
        <v>0</v>
      </c>
      <c r="J35" s="264">
        <f>SUMIF(CF.data!$B$4:$B$43,CF!$A35,CF.data!W$4:W$43)</f>
        <v>0</v>
      </c>
      <c r="K35" s="264"/>
      <c r="L35" s="264"/>
      <c r="M35" s="264"/>
      <c r="N35" s="264"/>
      <c r="O35" s="36">
        <f t="shared" si="2"/>
        <v>-1509320</v>
      </c>
      <c r="P35" s="36">
        <f t="shared" si="2"/>
        <v>-1836960</v>
      </c>
      <c r="Q35" s="36">
        <f t="shared" si="2"/>
        <v>-1658975.85099955</v>
      </c>
    </row>
    <row r="36" spans="1:17" ht="30" customHeight="1">
      <c r="A36" s="42">
        <v>22</v>
      </c>
      <c r="B36" s="3" t="s">
        <v>543</v>
      </c>
      <c r="C36" s="264">
        <f>SUMIF(CF.data!$B$4:$B$43,CF!$A36,CF.data!P$4:P$43)</f>
        <v>0</v>
      </c>
      <c r="D36" s="264">
        <f>SUMIF(CF.data!$B$4:$B$43,CF!$A36,CF.data!Q$4:Q$43)</f>
        <v>0</v>
      </c>
      <c r="E36" s="264">
        <f>SUMIF(CF.data!$B$4:$B$43,CF!$A36,CF.data!R$4:R$43)</f>
        <v>0</v>
      </c>
      <c r="F36" s="264">
        <f>SUMIF(CF.data!$B$4:$B$43,CF!$A36,CF.data!S$4:S$43)</f>
        <v>0</v>
      </c>
      <c r="G36" s="264">
        <f>SUMIF(CF.data!$B$4:$B$43,CF!$A36,CF.data!T$4:T$43)</f>
        <v>0</v>
      </c>
      <c r="H36" s="264">
        <f>SUMIF(CF.data!$B$4:$B$43,CF!$A36,CF.data!U$4:U$43)</f>
        <v>0</v>
      </c>
      <c r="I36" s="264">
        <f>SUMIF(CF.data!$B$4:$B$43,CF!$A36,CF.data!V$4:V$43)</f>
        <v>0</v>
      </c>
      <c r="J36" s="264">
        <f>SUMIF(CF.data!$B$4:$B$43,CF!$A36,CF.data!W$4:W$43)</f>
        <v>0</v>
      </c>
      <c r="K36" s="264"/>
      <c r="L36" s="264"/>
      <c r="M36" s="264"/>
      <c r="N36" s="264"/>
      <c r="O36" s="36">
        <f t="shared" si="2"/>
        <v>0</v>
      </c>
      <c r="P36" s="36">
        <f t="shared" si="2"/>
        <v>0</v>
      </c>
      <c r="Q36" s="36">
        <f t="shared" si="2"/>
        <v>0</v>
      </c>
    </row>
    <row r="37" spans="1:17" ht="30" customHeight="1">
      <c r="A37" s="42">
        <v>23</v>
      </c>
      <c r="B37" s="3" t="s">
        <v>544</v>
      </c>
      <c r="C37" s="264">
        <f>SUMIF(CF.data!$B$4:$B$43,CF!$A37,CF.data!P$4:P$43)</f>
        <v>0</v>
      </c>
      <c r="D37" s="264">
        <f>SUMIF(CF.data!$B$4:$B$43,CF!$A37,CF.data!Q$4:Q$43)</f>
        <v>0</v>
      </c>
      <c r="E37" s="264">
        <f>SUMIF(CF.data!$B$4:$B$43,CF!$A37,CF.data!R$4:R$43)</f>
        <v>0</v>
      </c>
      <c r="F37" s="264">
        <f>SUMIF(CF.data!$B$4:$B$43,CF!$A37,CF.data!S$4:S$43)</f>
        <v>0</v>
      </c>
      <c r="G37" s="264">
        <f>SUMIF(CF.data!$B$4:$B$43,CF!$A37,CF.data!T$4:T$43)</f>
        <v>0</v>
      </c>
      <c r="H37" s="264">
        <f>SUMIF(CF.data!$B$4:$B$43,CF!$A37,CF.data!U$4:U$43)</f>
        <v>0</v>
      </c>
      <c r="I37" s="264">
        <f>SUMIF(CF.data!$B$4:$B$43,CF!$A37,CF.data!V$4:V$43)</f>
        <v>0</v>
      </c>
      <c r="J37" s="264">
        <f>SUMIF(CF.data!$B$4:$B$43,CF!$A37,CF.data!W$4:W$43)</f>
        <v>0</v>
      </c>
      <c r="K37" s="264"/>
      <c r="L37" s="264"/>
      <c r="M37" s="264"/>
      <c r="N37" s="264"/>
      <c r="O37" s="36">
        <f t="shared" si="2"/>
        <v>0</v>
      </c>
      <c r="P37" s="36">
        <f t="shared" si="2"/>
        <v>0</v>
      </c>
      <c r="Q37" s="36">
        <f t="shared" si="2"/>
        <v>0</v>
      </c>
    </row>
    <row r="38" spans="1:17" ht="30" customHeight="1">
      <c r="A38" s="42">
        <v>24</v>
      </c>
      <c r="B38" s="3" t="s">
        <v>545</v>
      </c>
      <c r="C38" s="264">
        <f>SUMIF(CF.data!$B$4:$B$43,CF!$A38,CF.data!P$4:P$43)</f>
        <v>0</v>
      </c>
      <c r="D38" s="264">
        <f>SUMIF(CF.data!$B$4:$B$43,CF!$A38,CF.data!Q$4:Q$43)</f>
        <v>0</v>
      </c>
      <c r="E38" s="264">
        <f>SUMIF(CF.data!$B$4:$B$43,CF!$A38,CF.data!R$4:R$43)</f>
        <v>0</v>
      </c>
      <c r="F38" s="264">
        <f>SUMIF(CF.data!$B$4:$B$43,CF!$A38,CF.data!S$4:S$43)</f>
        <v>0</v>
      </c>
      <c r="G38" s="264">
        <f>SUMIF(CF.data!$B$4:$B$43,CF!$A38,CF.data!T$4:T$43)</f>
        <v>0</v>
      </c>
      <c r="H38" s="264">
        <f>SUMIF(CF.data!$B$4:$B$43,CF!$A38,CF.data!U$4:U$43)</f>
        <v>0</v>
      </c>
      <c r="I38" s="264">
        <f>SUMIF(CF.data!$B$4:$B$43,CF!$A38,CF.data!V$4:V$43)</f>
        <v>0</v>
      </c>
      <c r="J38" s="264">
        <f>SUMIF(CF.data!$B$4:$B$43,CF!$A38,CF.data!W$4:W$43)</f>
        <v>0</v>
      </c>
      <c r="K38" s="264"/>
      <c r="L38" s="264"/>
      <c r="M38" s="264"/>
      <c r="N38" s="264"/>
      <c r="O38" s="36">
        <f t="shared" si="2"/>
        <v>3622.5241449999999</v>
      </c>
      <c r="P38" s="36">
        <f t="shared" si="2"/>
        <v>0</v>
      </c>
      <c r="Q38" s="36">
        <f t="shared" si="2"/>
        <v>0</v>
      </c>
    </row>
    <row r="39" spans="1:17">
      <c r="A39" s="42">
        <v>25</v>
      </c>
      <c r="B39" s="3" t="s">
        <v>546</v>
      </c>
      <c r="C39" s="264">
        <v>-44792</v>
      </c>
      <c r="D39" s="264">
        <f>SUMIF(CF.data!$B$4:$B$43,CF!$A39,CF.data!Q$4:Q$43)</f>
        <v>0</v>
      </c>
      <c r="E39" s="264">
        <f>SUMIF(CF.data!$B$4:$B$43,CF!$A39,CF.data!R$4:R$43)</f>
        <v>0</v>
      </c>
      <c r="F39" s="264">
        <f>SUMIF(CF.data!$B$4:$B$43,CF!$A39,CF.data!S$4:S$43)</f>
        <v>0</v>
      </c>
      <c r="G39" s="264">
        <f>SUMIF(CF.data!$B$4:$B$43,CF!$A39,CF.data!T$4:T$43)</f>
        <v>0</v>
      </c>
      <c r="H39" s="264">
        <f>SUMIF(CF.data!$B$4:$B$43,CF!$A39,CF.data!U$4:U$43)</f>
        <v>0</v>
      </c>
      <c r="I39" s="264">
        <f>SUMIF(CF.data!$B$4:$B$43,CF!$A39,CF.data!V$4:V$43)</f>
        <v>0</v>
      </c>
      <c r="J39" s="264">
        <f>SUMIF(CF.data!$B$4:$B$43,CF!$A39,CF.data!W$4:W$43)</f>
        <v>0</v>
      </c>
      <c r="K39" s="264"/>
      <c r="L39" s="264"/>
      <c r="M39" s="264"/>
      <c r="N39" s="264"/>
      <c r="O39" s="36">
        <f t="shared" si="2"/>
        <v>0</v>
      </c>
      <c r="P39" s="36">
        <f t="shared" si="2"/>
        <v>0</v>
      </c>
      <c r="Q39" s="36">
        <f t="shared" si="2"/>
        <v>0</v>
      </c>
    </row>
    <row r="40" spans="1:17" ht="30" customHeight="1">
      <c r="A40" s="42">
        <v>26</v>
      </c>
      <c r="B40" s="3" t="s">
        <v>547</v>
      </c>
      <c r="C40" s="264">
        <f>SUMIF(CF.data!$B$4:$B$43,CF!$A40,CF.data!P$4:P$43)</f>
        <v>0</v>
      </c>
      <c r="D40" s="264">
        <f>SUMIF(CF.data!$B$4:$B$43,CF!$A40,CF.data!Q$4:Q$43)</f>
        <v>0</v>
      </c>
      <c r="E40" s="264">
        <f>SUMIF(CF.data!$B$4:$B$43,CF!$A40,CF.data!R$4:R$43)</f>
        <v>0</v>
      </c>
      <c r="F40" s="264">
        <f>SUMIF(CF.data!$B$4:$B$43,CF!$A40,CF.data!S$4:S$43)</f>
        <v>0</v>
      </c>
      <c r="G40" s="264">
        <f>SUMIF(CF.data!$B$4:$B$43,CF!$A40,CF.data!T$4:T$43)</f>
        <v>0</v>
      </c>
      <c r="H40" s="264">
        <f>SUMIF(CF.data!$B$4:$B$43,CF!$A40,CF.data!U$4:U$43)</f>
        <v>0</v>
      </c>
      <c r="I40" s="264">
        <f>SUMIF(CF.data!$B$4:$B$43,CF!$A40,CF.data!V$4:V$43)</f>
        <v>0</v>
      </c>
      <c r="J40" s="264">
        <f>SUMIF(CF.data!$B$4:$B$43,CF!$A40,CF.data!W$4:W$43)</f>
        <v>0</v>
      </c>
      <c r="K40" s="264"/>
      <c r="L40" s="264"/>
      <c r="M40" s="264"/>
      <c r="N40" s="264"/>
      <c r="O40" s="36">
        <f t="shared" si="2"/>
        <v>0</v>
      </c>
      <c r="P40" s="36">
        <f t="shared" si="2"/>
        <v>0</v>
      </c>
      <c r="Q40" s="36">
        <f t="shared" si="2"/>
        <v>0</v>
      </c>
    </row>
    <row r="41" spans="1:17">
      <c r="A41" s="42">
        <v>27</v>
      </c>
      <c r="B41" s="3" t="s">
        <v>548</v>
      </c>
      <c r="C41" s="264">
        <f>SUMIF(CF.data!$B$4:$B$43,CF!$A41,CF.data!P$4:P$43)</f>
        <v>0</v>
      </c>
      <c r="D41" s="264">
        <f>SUMIF(CF.data!$B$4:$B$43,CF!$A41,CF.data!Q$4:Q$43)</f>
        <v>0</v>
      </c>
      <c r="E41" s="264">
        <f>SUMIF(CF.data!$B$4:$B$43,CF!$A41,CF.data!R$4:R$43)</f>
        <v>0</v>
      </c>
      <c r="F41" s="264">
        <f>SUMIF(CF.data!$B$4:$B$43,CF!$A41,CF.data!S$4:S$43)</f>
        <v>0</v>
      </c>
      <c r="G41" s="264">
        <f>SUMIF(CF.data!$B$4:$B$43,CF!$A41,CF.data!T$4:T$43)</f>
        <v>0</v>
      </c>
      <c r="H41" s="264">
        <f>SUMIF(CF.data!$B$4:$B$43,CF!$A41,CF.data!U$4:U$43)</f>
        <v>0</v>
      </c>
      <c r="I41" s="264">
        <f>SUMIF(CF.data!$B$4:$B$43,CF!$A41,CF.data!V$4:V$43)</f>
        <v>0</v>
      </c>
      <c r="J41" s="264">
        <f>SUMIF(CF.data!$B$4:$B$43,CF!$A41,CF.data!W$4:W$43)</f>
        <v>0</v>
      </c>
      <c r="K41" s="264"/>
      <c r="L41" s="264"/>
      <c r="M41" s="264"/>
      <c r="N41" s="264"/>
      <c r="O41" s="36">
        <f t="shared" si="2"/>
        <v>192230.45789200001</v>
      </c>
      <c r="P41" s="36">
        <f t="shared" si="2"/>
        <v>182392.093482</v>
      </c>
      <c r="Q41" s="36">
        <f t="shared" si="2"/>
        <v>160568.72930000001</v>
      </c>
    </row>
    <row r="42" spans="1:17">
      <c r="A42" s="44"/>
      <c r="B42" s="3"/>
      <c r="C42" s="264">
        <f>SUMIF(CF.data!$B$4:$B$43,CF!$A42,CF.data!P$4:P$43)</f>
        <v>0</v>
      </c>
      <c r="D42" s="264">
        <f>SUMIF(CF.data!$B$4:$B$43,CF!$A42,CF.data!Q$4:Q$43)</f>
        <v>0</v>
      </c>
      <c r="E42" s="264">
        <f>SUMIF(CF.data!$B$4:$B$43,CF!$A42,CF.data!R$4:R$43)</f>
        <v>0</v>
      </c>
      <c r="F42" s="264">
        <f>SUMIF(CF.data!$B$4:$B$43,CF!$A42,CF.data!S$4:S$43)</f>
        <v>0</v>
      </c>
      <c r="G42" s="264">
        <f>SUMIF(CF.data!$B$4:$B$43,CF!$A42,CF.data!T$4:T$43)</f>
        <v>0</v>
      </c>
      <c r="H42" s="264">
        <f>SUMIF(CF.data!$B$4:$B$43,CF!$A42,CF.data!U$4:U$43)</f>
        <v>0</v>
      </c>
      <c r="I42" s="264">
        <f>SUMIF(CF.data!$B$4:$B$43,CF!$A42,CF.data!V$4:V$43)</f>
        <v>0</v>
      </c>
      <c r="J42" s="264">
        <f>SUMIF(CF.data!$B$4:$B$43,CF!$A42,CF.data!W$4:W$43)</f>
        <v>0</v>
      </c>
      <c r="K42" s="264"/>
      <c r="L42" s="264"/>
      <c r="M42" s="264"/>
      <c r="N42" s="264"/>
      <c r="O42" s="36">
        <f t="shared" si="2"/>
        <v>0</v>
      </c>
      <c r="P42" s="36">
        <f t="shared" si="2"/>
        <v>0</v>
      </c>
      <c r="Q42" s="36">
        <f t="shared" si="2"/>
        <v>0</v>
      </c>
    </row>
    <row r="43" spans="1:17" s="16" customFormat="1">
      <c r="A43" s="63">
        <v>30</v>
      </c>
      <c r="B43" s="4" t="s">
        <v>549</v>
      </c>
      <c r="C43" s="307">
        <f>SUM(C35:C41)</f>
        <v>-44792</v>
      </c>
      <c r="D43" s="307">
        <f>SUMIF(CF.data!$B$4:$B$43,CF!$A43,CF.data!Q$4:Q$43)</f>
        <v>0</v>
      </c>
      <c r="E43" s="307">
        <f>SUMIF(CF.data!$B$4:$B$43,CF!$A43,CF.data!R$4:R$43)</f>
        <v>0</v>
      </c>
      <c r="F43" s="307">
        <f>SUMIF(CF.data!$B$4:$B$43,CF!$A43,CF.data!S$4:S$43)</f>
        <v>0</v>
      </c>
      <c r="G43" s="307">
        <f>SUMIF(CF.data!$B$4:$B$43,CF!$A43,CF.data!T$4:T$43)</f>
        <v>0</v>
      </c>
      <c r="H43" s="307">
        <f>SUMIF(CF.data!$B$4:$B$43,CF!$A43,CF.data!U$4:U$43)</f>
        <v>0</v>
      </c>
      <c r="I43" s="307">
        <f>SUMIF(CF.data!$B$4:$B$43,CF!$A43,CF.data!V$4:V$43)</f>
        <v>0</v>
      </c>
      <c r="J43" s="307">
        <f>SUMIF(CF.data!$B$4:$B$43,CF!$A43,CF.data!W$4:W$43)</f>
        <v>0</v>
      </c>
      <c r="K43" s="307"/>
      <c r="L43" s="307"/>
      <c r="M43" s="307"/>
      <c r="N43" s="307"/>
      <c r="O43" s="64">
        <f t="shared" si="2"/>
        <v>0</v>
      </c>
      <c r="P43" s="64">
        <f t="shared" si="2"/>
        <v>0</v>
      </c>
      <c r="Q43" s="64">
        <f t="shared" si="2"/>
        <v>0</v>
      </c>
    </row>
    <row r="44" spans="1:17">
      <c r="B44" s="3"/>
      <c r="C44" s="264">
        <f>SUMIF(CF.data!$B$4:$B$43,CF!$A44,CF.data!P$4:P$43)</f>
        <v>0</v>
      </c>
      <c r="D44" s="264">
        <f>SUMIF(CF.data!$B$4:$B$43,CF!$A44,CF.data!Q$4:Q$43)</f>
        <v>0</v>
      </c>
      <c r="E44" s="264">
        <f>SUMIF(CF.data!$B$4:$B$43,CF!$A44,CF.data!R$4:R$43)</f>
        <v>0</v>
      </c>
      <c r="F44" s="264">
        <f>SUMIF(CF.data!$B$4:$B$43,CF!$A44,CF.data!S$4:S$43)</f>
        <v>0</v>
      </c>
      <c r="G44" s="264">
        <f>SUMIF(CF.data!$B$4:$B$43,CF!$A44,CF.data!T$4:T$43)</f>
        <v>0</v>
      </c>
      <c r="H44" s="264">
        <f>SUMIF(CF.data!$B$4:$B$43,CF!$A44,CF.data!U$4:U$43)</f>
        <v>0</v>
      </c>
      <c r="I44" s="264">
        <f>SUMIF(CF.data!$B$4:$B$43,CF!$A44,CF.data!V$4:V$43)</f>
        <v>0</v>
      </c>
      <c r="J44" s="264">
        <f>SUMIF(CF.data!$B$4:$B$43,CF!$A44,CF.data!W$4:W$43)</f>
        <v>0</v>
      </c>
      <c r="K44" s="264"/>
      <c r="L44" s="264"/>
      <c r="M44" s="264"/>
      <c r="N44" s="264"/>
      <c r="O44" s="36">
        <f t="shared" si="2"/>
        <v>0</v>
      </c>
      <c r="P44" s="36">
        <f t="shared" si="2"/>
        <v>0</v>
      </c>
      <c r="Q44" s="36">
        <f t="shared" si="2"/>
        <v>0</v>
      </c>
    </row>
    <row r="45" spans="1:17">
      <c r="B45" s="4" t="s">
        <v>550</v>
      </c>
      <c r="C45" s="264">
        <f>SUMIF(CF.data!$B$4:$B$43,CF!$A45,CF.data!P$4:P$43)</f>
        <v>0</v>
      </c>
      <c r="D45" s="264">
        <f>SUMIF(CF.data!$B$4:$B$43,CF!$A45,CF.data!Q$4:Q$43)</f>
        <v>0</v>
      </c>
      <c r="E45" s="264">
        <f>SUMIF(CF.data!$B$4:$B$43,CF!$A45,CF.data!R$4:R$43)</f>
        <v>0</v>
      </c>
      <c r="F45" s="264">
        <f>SUMIF(CF.data!$B$4:$B$43,CF!$A45,CF.data!S$4:S$43)</f>
        <v>0</v>
      </c>
      <c r="G45" s="264">
        <f>SUMIF(CF.data!$B$4:$B$43,CF!$A45,CF.data!T$4:T$43)</f>
        <v>0</v>
      </c>
      <c r="H45" s="264">
        <f>SUMIF(CF.data!$B$4:$B$43,CF!$A45,CF.data!U$4:U$43)</f>
        <v>0</v>
      </c>
      <c r="I45" s="264">
        <f>SUMIF(CF.data!$B$4:$B$43,CF!$A45,CF.data!V$4:V$43)</f>
        <v>0</v>
      </c>
      <c r="J45" s="264">
        <f>SUMIF(CF.data!$B$4:$B$43,CF!$A45,CF.data!W$4:W$43)</f>
        <v>0</v>
      </c>
      <c r="K45" s="264"/>
      <c r="L45" s="264"/>
      <c r="M45" s="264"/>
      <c r="N45" s="264"/>
      <c r="O45" s="36">
        <f t="shared" ref="O45:Q64" si="3">O99/$O$2</f>
        <v>0</v>
      </c>
      <c r="P45" s="36">
        <f t="shared" si="3"/>
        <v>0</v>
      </c>
      <c r="Q45" s="36">
        <f t="shared" si="3"/>
        <v>0</v>
      </c>
    </row>
    <row r="46" spans="1:17">
      <c r="A46" s="42">
        <v>31</v>
      </c>
      <c r="B46" s="3" t="s">
        <v>551</v>
      </c>
      <c r="C46" s="264">
        <f>SUMIF(CF.data!$B$4:$B$43,CF!$A46,CF.data!P$4:P$43)</f>
        <v>0</v>
      </c>
      <c r="D46" s="264">
        <f>SUMIF(CF.data!$B$4:$B$43,CF!$A46,CF.data!Q$4:Q$43)</f>
        <v>0</v>
      </c>
      <c r="E46" s="264">
        <f>SUMIF(CF.data!$B$4:$B$43,CF!$A46,CF.data!R$4:R$43)</f>
        <v>0</v>
      </c>
      <c r="F46" s="264">
        <f>SUMIF(CF.data!$B$4:$B$43,CF!$A46,CF.data!S$4:S$43)</f>
        <v>0</v>
      </c>
      <c r="G46" s="264">
        <f>SUMIF(CF.data!$B$4:$B$43,CF!$A46,CF.data!T$4:T$43)</f>
        <v>0</v>
      </c>
      <c r="H46" s="264">
        <f>SUMIF(CF.data!$B$4:$B$43,CF!$A46,CF.data!U$4:U$43)</f>
        <v>0</v>
      </c>
      <c r="I46" s="264">
        <f>SUMIF(CF.data!$B$4:$B$43,CF!$A46,CF.data!V$4:V$43)</f>
        <v>0</v>
      </c>
      <c r="J46" s="264">
        <f>SUMIF(CF.data!$B$4:$B$43,CF!$A46,CF.data!W$4:W$43)</f>
        <v>0</v>
      </c>
      <c r="K46" s="264"/>
      <c r="L46" s="264"/>
      <c r="M46" s="264"/>
      <c r="N46" s="264"/>
      <c r="O46" s="36">
        <f t="shared" si="3"/>
        <v>2340000</v>
      </c>
      <c r="P46" s="36">
        <f t="shared" si="3"/>
        <v>250000</v>
      </c>
      <c r="Q46" s="36">
        <f t="shared" si="3"/>
        <v>500000</v>
      </c>
    </row>
    <row r="47" spans="1:17">
      <c r="A47" s="42">
        <v>32</v>
      </c>
      <c r="B47" s="3" t="s">
        <v>552</v>
      </c>
      <c r="C47" s="264">
        <f>SUMIF(CF.data!$B$4:$B$43,CF!$A47,CF.data!P$4:P$43)</f>
        <v>0</v>
      </c>
      <c r="D47" s="264">
        <f>SUMIF(CF.data!$B$4:$B$43,CF!$A47,CF.data!Q$4:Q$43)</f>
        <v>0</v>
      </c>
      <c r="E47" s="264">
        <f>SUMIF(CF.data!$B$4:$B$43,CF!$A47,CF.data!R$4:R$43)</f>
        <v>0</v>
      </c>
      <c r="F47" s="264">
        <f>SUMIF(CF.data!$B$4:$B$43,CF!$A47,CF.data!S$4:S$43)</f>
        <v>0</v>
      </c>
      <c r="G47" s="264">
        <f>SUMIF(CF.data!$B$4:$B$43,CF!$A47,CF.data!T$4:T$43)</f>
        <v>0</v>
      </c>
      <c r="H47" s="264">
        <f>SUMIF(CF.data!$B$4:$B$43,CF!$A47,CF.data!U$4:U$43)</f>
        <v>0</v>
      </c>
      <c r="I47" s="264">
        <f>SUMIF(CF.data!$B$4:$B$43,CF!$A47,CF.data!V$4:V$43)</f>
        <v>0</v>
      </c>
      <c r="J47" s="264">
        <f>SUMIF(CF.data!$B$4:$B$43,CF!$A47,CF.data!W$4:W$43)</f>
        <v>0</v>
      </c>
      <c r="K47" s="264"/>
      <c r="L47" s="264"/>
      <c r="M47" s="264"/>
      <c r="N47" s="264"/>
      <c r="O47" s="36">
        <f t="shared" si="3"/>
        <v>0</v>
      </c>
      <c r="P47" s="36">
        <f t="shared" si="3"/>
        <v>0</v>
      </c>
      <c r="Q47" s="36">
        <f t="shared" si="3"/>
        <v>0</v>
      </c>
    </row>
    <row r="48" spans="1:17">
      <c r="A48" s="42">
        <v>33</v>
      </c>
      <c r="B48" s="3" t="s">
        <v>553</v>
      </c>
      <c r="C48" s="264">
        <f>SUMIF(CF.data!$B$4:$B$43,CF!$A48,CF.data!P$4:P$43)</f>
        <v>0</v>
      </c>
      <c r="D48" s="264">
        <f>SUMIF(CF.data!$B$4:$B$43,CF!$A48,CF.data!Q$4:Q$43)</f>
        <v>0</v>
      </c>
      <c r="E48" s="264">
        <f>SUMIF(CF.data!$B$4:$B$43,CF!$A48,CF.data!R$4:R$43)</f>
        <v>0</v>
      </c>
      <c r="F48" s="264">
        <f>SUMIF(CF.data!$B$4:$B$43,CF!$A48,CF.data!S$4:S$43)</f>
        <v>0</v>
      </c>
      <c r="G48" s="264">
        <f>SUMIF(CF.data!$B$4:$B$43,CF!$A48,CF.data!T$4:T$43)</f>
        <v>0</v>
      </c>
      <c r="H48" s="264">
        <f>SUMIF(CF.data!$B$4:$B$43,CF!$A48,CF.data!U$4:U$43)</f>
        <v>0</v>
      </c>
      <c r="I48" s="264">
        <f>SUMIF(CF.data!$B$4:$B$43,CF!$A48,CF.data!V$4:V$43)</f>
        <v>0</v>
      </c>
      <c r="J48" s="264">
        <f>SUMIF(CF.data!$B$4:$B$43,CF!$A48,CF.data!W$4:W$43)</f>
        <v>0</v>
      </c>
      <c r="K48" s="264"/>
      <c r="L48" s="264"/>
      <c r="M48" s="264"/>
      <c r="N48" s="264"/>
      <c r="O48" s="36">
        <f t="shared" si="3"/>
        <v>520000</v>
      </c>
      <c r="P48" s="36">
        <f t="shared" si="3"/>
        <v>600000</v>
      </c>
      <c r="Q48" s="36">
        <f t="shared" si="3"/>
        <v>900000</v>
      </c>
    </row>
    <row r="49" spans="1:17">
      <c r="A49" s="42">
        <v>34</v>
      </c>
      <c r="B49" s="3" t="s">
        <v>554</v>
      </c>
      <c r="C49" s="264">
        <f>SUMIF(CF.data!$B$4:$B$43,CF!$A49,CF.data!P$4:P$43)</f>
        <v>0</v>
      </c>
      <c r="D49" s="264">
        <f>SUMIF(CF.data!$B$4:$B$43,CF!$A49,CF.data!Q$4:Q$43)</f>
        <v>0</v>
      </c>
      <c r="E49" s="264">
        <f>SUMIF(CF.data!$B$4:$B$43,CF!$A49,CF.data!R$4:R$43)</f>
        <v>0</v>
      </c>
      <c r="F49" s="264">
        <f>SUMIF(CF.data!$B$4:$B$43,CF!$A49,CF.data!S$4:S$43)</f>
        <v>0</v>
      </c>
      <c r="G49" s="264">
        <f>SUMIF(CF.data!$B$4:$B$43,CF!$A49,CF.data!T$4:T$43)</f>
        <v>0</v>
      </c>
      <c r="H49" s="264">
        <f>SUMIF(CF.data!$B$4:$B$43,CF!$A49,CF.data!U$4:U$43)</f>
        <v>0</v>
      </c>
      <c r="I49" s="264">
        <f>SUMIF(CF.data!$B$4:$B$43,CF!$A49,CF.data!V$4:V$43)</f>
        <v>0</v>
      </c>
      <c r="J49" s="264">
        <f>SUMIF(CF.data!$B$4:$B$43,CF!$A49,CF.data!W$4:W$43)</f>
        <v>0</v>
      </c>
      <c r="K49" s="264"/>
      <c r="L49" s="264"/>
      <c r="M49" s="264"/>
      <c r="N49" s="264"/>
      <c r="O49" s="36">
        <f t="shared" si="3"/>
        <v>-3262152.5295480001</v>
      </c>
      <c r="P49" s="36">
        <f t="shared" si="3"/>
        <v>-180000</v>
      </c>
      <c r="Q49" s="36">
        <f t="shared" si="3"/>
        <v>-130000</v>
      </c>
    </row>
    <row r="50" spans="1:17">
      <c r="A50" s="42">
        <v>35</v>
      </c>
      <c r="B50" s="3" t="s">
        <v>555</v>
      </c>
      <c r="C50" s="264">
        <f>SUMIF(CF.data!$B$4:$B$43,CF!$A50,CF.data!P$4:P$43)</f>
        <v>0</v>
      </c>
      <c r="D50" s="264">
        <f>SUMIF(CF.data!$B$4:$B$43,CF!$A50,CF.data!Q$4:Q$43)</f>
        <v>0</v>
      </c>
      <c r="E50" s="264">
        <f>SUMIF(CF.data!$B$4:$B$43,CF!$A50,CF.data!R$4:R$43)</f>
        <v>0</v>
      </c>
      <c r="F50" s="264">
        <f>SUMIF(CF.data!$B$4:$B$43,CF!$A50,CF.data!S$4:S$43)</f>
        <v>0</v>
      </c>
      <c r="G50" s="264">
        <f>SUMIF(CF.data!$B$4:$B$43,CF!$A50,CF.data!T$4:T$43)</f>
        <v>0</v>
      </c>
      <c r="H50" s="264">
        <f>SUMIF(CF.data!$B$4:$B$43,CF!$A50,CF.data!U$4:U$43)</f>
        <v>0</v>
      </c>
      <c r="I50" s="264">
        <f>SUMIF(CF.data!$B$4:$B$43,CF!$A50,CF.data!V$4:V$43)</f>
        <v>0</v>
      </c>
      <c r="J50" s="264">
        <f>SUMIF(CF.data!$B$4:$B$43,CF!$A50,CF.data!W$4:W$43)</f>
        <v>0</v>
      </c>
      <c r="K50" s="264"/>
      <c r="L50" s="264"/>
      <c r="M50" s="264"/>
      <c r="N50" s="264"/>
    </row>
    <row r="51" spans="1:17">
      <c r="A51" s="42">
        <v>36</v>
      </c>
      <c r="B51" s="3" t="s">
        <v>556</v>
      </c>
      <c r="C51" s="264">
        <f>SUMIF(CF.data!$B$4:$B$43,CF!$A51,CF.data!P$4:P$43)</f>
        <v>0</v>
      </c>
      <c r="D51" s="264">
        <f>SUMIF(CF.data!$B$4:$B$43,CF!$A51,CF.data!Q$4:Q$43)</f>
        <v>0</v>
      </c>
      <c r="E51" s="264">
        <f>SUMIF(CF.data!$B$4:$B$43,CF!$A51,CF.data!R$4:R$43)</f>
        <v>0</v>
      </c>
      <c r="F51" s="264">
        <f>SUMIF(CF.data!$B$4:$B$43,CF!$A51,CF.data!S$4:S$43)</f>
        <v>0</v>
      </c>
      <c r="G51" s="264">
        <f>SUMIF(CF.data!$B$4:$B$43,CF!$A51,CF.data!T$4:T$43)</f>
        <v>0</v>
      </c>
      <c r="H51" s="264">
        <f>SUMIF(CF.data!$B$4:$B$43,CF!$A51,CF.data!U$4:U$43)</f>
        <v>0</v>
      </c>
      <c r="I51" s="264">
        <f>SUMIF(CF.data!$B$4:$B$43,CF!$A51,CF.data!V$4:V$43)</f>
        <v>0</v>
      </c>
      <c r="J51" s="264">
        <f>SUMIF(CF.data!$B$4:$B$43,CF!$A51,CF.data!W$4:W$43)</f>
        <v>0</v>
      </c>
      <c r="K51" s="264"/>
      <c r="L51" s="264"/>
      <c r="M51" s="264"/>
      <c r="N51" s="264"/>
    </row>
    <row r="52" spans="1:17">
      <c r="A52" s="42"/>
      <c r="B52" s="3"/>
      <c r="C52" s="264">
        <f>SUMIF(CF.data!$B$4:$B$43,CF!$A52,CF.data!P$4:P$43)</f>
        <v>0</v>
      </c>
      <c r="D52" s="264">
        <f>SUMIF(CF.data!$B$4:$B$43,CF!$A52,CF.data!Q$4:Q$43)</f>
        <v>0</v>
      </c>
      <c r="E52" s="264">
        <f>SUMIF(CF.data!$B$4:$B$43,CF!$A52,CF.data!R$4:R$43)</f>
        <v>0</v>
      </c>
      <c r="F52" s="264">
        <f>SUMIF(CF.data!$B$4:$B$43,CF!$A52,CF.data!S$4:S$43)</f>
        <v>0</v>
      </c>
      <c r="G52" s="264">
        <f>SUMIF(CF.data!$B$4:$B$43,CF!$A52,CF.data!T$4:T$43)</f>
        <v>0</v>
      </c>
      <c r="H52" s="264">
        <f>SUMIF(CF.data!$B$4:$B$43,CF!$A52,CF.data!U$4:U$43)</f>
        <v>0</v>
      </c>
      <c r="I52" s="264">
        <f>SUMIF(CF.data!$B$4:$B$43,CF!$A52,CF.data!V$4:V$43)</f>
        <v>0</v>
      </c>
      <c r="J52" s="264">
        <f>SUMIF(CF.data!$B$4:$B$43,CF!$A52,CF.data!W$4:W$43)</f>
        <v>0</v>
      </c>
      <c r="K52" s="264"/>
      <c r="L52" s="264"/>
      <c r="M52" s="264"/>
      <c r="N52" s="264"/>
    </row>
    <row r="53" spans="1:17">
      <c r="A53" s="42">
        <v>50</v>
      </c>
      <c r="B53" s="3" t="s">
        <v>557</v>
      </c>
      <c r="C53" s="264">
        <f>SUMIF(CF.data!$B$4:$B$43,CF!$A53,CF.data!P$4:P$43)</f>
        <v>0</v>
      </c>
      <c r="D53" s="264">
        <f>SUMIF(CF.data!$B$4:$B$43,CF!$A53,CF.data!Q$4:Q$43)</f>
        <v>0</v>
      </c>
      <c r="E53" s="264">
        <f>SUMIF(CF.data!$B$4:$B$43,CF!$A53,CF.data!R$4:R$43)</f>
        <v>0</v>
      </c>
      <c r="F53" s="264">
        <f>SUMIF(CF.data!$B$4:$B$43,CF!$A53,CF.data!S$4:S$43)</f>
        <v>0</v>
      </c>
      <c r="G53" s="264">
        <f>SUMIF(CF.data!$B$4:$B$43,CF!$A53,CF.data!T$4:T$43)</f>
        <v>0</v>
      </c>
      <c r="H53" s="264">
        <f>SUMIF(CF.data!$B$4:$B$43,CF!$A53,CF.data!U$4:U$43)</f>
        <v>0</v>
      </c>
      <c r="I53" s="264">
        <f>SUMIF(CF.data!$B$4:$B$43,CF!$A53,CF.data!V$4:V$43)</f>
        <v>0</v>
      </c>
      <c r="J53" s="264">
        <f>SUMIF(CF.data!$B$4:$B$43,CF!$A53,CF.data!W$4:W$43)</f>
        <v>0</v>
      </c>
      <c r="K53" s="264"/>
      <c r="L53" s="264"/>
      <c r="M53" s="264"/>
      <c r="N53" s="264"/>
    </row>
    <row r="54" spans="1:17">
      <c r="A54" s="45">
        <v>60</v>
      </c>
      <c r="B54" s="3" t="s">
        <v>558</v>
      </c>
      <c r="C54" s="264">
        <f>SUMIF(CF.data!$B$4:$B$43,CF!$A54,CF.data!P$4:P$43)</f>
        <v>0</v>
      </c>
      <c r="D54" s="264">
        <f>SUMIF(CF.data!$B$4:$B$43,CF!$A54,CF.data!Q$4:Q$43)</f>
        <v>0</v>
      </c>
      <c r="E54" s="264">
        <f>SUMIF(CF.data!$B$4:$B$43,CF!$A54,CF.data!R$4:R$43)</f>
        <v>0</v>
      </c>
      <c r="F54" s="264">
        <f>SUMIF(CF.data!$B$4:$B$43,CF!$A54,CF.data!S$4:S$43)</f>
        <v>0</v>
      </c>
      <c r="G54" s="264">
        <f>SUMIF(CF.data!$B$4:$B$43,CF!$A54,CF.data!T$4:T$43)</f>
        <v>0</v>
      </c>
      <c r="H54" s="264">
        <f>SUMIF(CF.data!$B$4:$B$43,CF!$A54,CF.data!U$4:U$43)</f>
        <v>0</v>
      </c>
      <c r="I54" s="264">
        <f>SUMIF(CF.data!$B$4:$B$43,CF!$A54,CF.data!V$4:V$43)</f>
        <v>0</v>
      </c>
      <c r="J54" s="264">
        <f>SUMIF(CF.data!$B$4:$B$43,CF!$A54,CF.data!W$4:W$43)</f>
        <v>0</v>
      </c>
      <c r="K54" s="264"/>
      <c r="L54" s="264"/>
      <c r="M54" s="264"/>
      <c r="N54" s="264"/>
    </row>
    <row r="55" spans="1:17">
      <c r="A55" s="45">
        <v>70</v>
      </c>
      <c r="B55" s="3" t="s">
        <v>559</v>
      </c>
      <c r="C55" s="264">
        <f>SUMIF(CF.data!$B$4:$B$43,CF!$A55,CF.data!P$4:P$43)</f>
        <v>0</v>
      </c>
      <c r="D55" s="264">
        <f>SUMIF(CF.data!$B$4:$B$43,CF!$A55,CF.data!Q$4:Q$43)</f>
        <v>0</v>
      </c>
      <c r="E55" s="264">
        <f>SUMIF(CF.data!$B$4:$B$43,CF!$A55,CF.data!R$4:R$43)</f>
        <v>0</v>
      </c>
      <c r="F55" s="264">
        <f>SUMIF(CF.data!$B$4:$B$43,CF!$A55,CF.data!S$4:S$43)</f>
        <v>0</v>
      </c>
      <c r="G55" s="264">
        <f>SUMIF(CF.data!$B$4:$B$43,CF!$A55,CF.data!T$4:T$43)</f>
        <v>0</v>
      </c>
      <c r="H55" s="264">
        <f>SUMIF(CF.data!$B$4:$B$43,CF!$A55,CF.data!U$4:U$43)</f>
        <v>0</v>
      </c>
      <c r="I55" s="264">
        <f>SUMIF(CF.data!$B$4:$B$43,CF!$A55,CF.data!V$4:V$43)</f>
        <v>0</v>
      </c>
      <c r="J55" s="264">
        <f>SUMIF(CF.data!$B$4:$B$43,CF!$A55,CF.data!W$4:W$43)</f>
        <v>0</v>
      </c>
      <c r="K55" s="264"/>
      <c r="L55" s="264"/>
      <c r="M55" s="264"/>
      <c r="N55" s="264"/>
    </row>
    <row r="59" spans="1:17">
      <c r="O59" s="307">
        <v>13287366812.229839</v>
      </c>
      <c r="P59" s="307">
        <v>91425814390.119812</v>
      </c>
      <c r="Q59" s="307">
        <v>156653459590.25201</v>
      </c>
    </row>
    <row r="61" spans="1:17">
      <c r="O61" s="264">
        <v>77662213687.407898</v>
      </c>
      <c r="P61" s="264">
        <v>178483740624.14099</v>
      </c>
      <c r="Q61" s="264">
        <v>302380589500.55188</v>
      </c>
    </row>
    <row r="62" spans="1:17">
      <c r="O62" s="264">
        <v>-521253048</v>
      </c>
      <c r="P62" s="264">
        <v>-469127743.19999981</v>
      </c>
      <c r="Q62" s="264">
        <v>-422214968.88000011</v>
      </c>
    </row>
    <row r="64" spans="1:17">
      <c r="O64" s="264">
        <v>-126862138130.3999</v>
      </c>
      <c r="P64" s="264">
        <v>-131703438366.2075</v>
      </c>
      <c r="Q64" s="264">
        <v>-127083519745.4682</v>
      </c>
    </row>
    <row r="72" spans="15:17">
      <c r="O72" s="264">
        <v>221426920261.90601</v>
      </c>
      <c r="P72" s="264">
        <v>204475455344.6315</v>
      </c>
      <c r="Q72" s="264">
        <v>213381269885.55301</v>
      </c>
    </row>
    <row r="73" spans="15:17">
      <c r="O73" s="264">
        <v>4115748571</v>
      </c>
      <c r="P73" s="264">
        <v>4115748571</v>
      </c>
      <c r="Q73" s="264">
        <v>5355748571</v>
      </c>
    </row>
    <row r="76" spans="15:17">
      <c r="O76" s="264">
        <v>2908915821831.7002</v>
      </c>
      <c r="P76" s="264">
        <v>1036273600000.415</v>
      </c>
      <c r="Q76" s="264">
        <v>-14855957216.101231</v>
      </c>
    </row>
    <row r="77" spans="15:17">
      <c r="O77" s="264">
        <v>-2688504750.900002</v>
      </c>
      <c r="P77" s="264">
        <v>-14786776129.950001</v>
      </c>
      <c r="Q77" s="264">
        <v>-26616197033.91</v>
      </c>
    </row>
    <row r="78" spans="15:17">
      <c r="O78" s="264">
        <v>-1167676356894.1599</v>
      </c>
      <c r="P78" s="264">
        <v>-172666038453.017</v>
      </c>
      <c r="Q78" s="264">
        <v>-21349295807.7855</v>
      </c>
    </row>
    <row r="79" spans="15:17">
      <c r="O79" s="264">
        <v>-61893140805</v>
      </c>
      <c r="P79" s="264">
        <v>-295073050036.5</v>
      </c>
      <c r="Q79" s="264">
        <v>-69943769311.950043</v>
      </c>
    </row>
    <row r="80" spans="15:17">
      <c r="O80" s="264">
        <v>36280922000.099983</v>
      </c>
      <c r="P80" s="264">
        <v>263264149000.45001</v>
      </c>
      <c r="Q80" s="264">
        <v>0</v>
      </c>
    </row>
    <row r="81" spans="15:17">
      <c r="O81" s="264">
        <v>-155532629312.55121</v>
      </c>
      <c r="P81" s="264">
        <v>-143625739643.64969</v>
      </c>
      <c r="Q81" s="264">
        <v>-149881278717.5849</v>
      </c>
    </row>
    <row r="82" spans="15:17">
      <c r="O82" s="264">
        <v>-27000000000</v>
      </c>
      <c r="P82" s="264">
        <v>-30000000000</v>
      </c>
      <c r="Q82" s="264">
        <v>-32000000000</v>
      </c>
    </row>
    <row r="83" spans="15:17">
      <c r="O83" s="264">
        <v>20332090.300000008</v>
      </c>
      <c r="P83" s="264">
        <v>22365299.330000009</v>
      </c>
      <c r="Q83" s="264">
        <v>24601829.263000041</v>
      </c>
    </row>
    <row r="84" spans="15:17">
      <c r="O84" s="264">
        <v>0</v>
      </c>
    </row>
    <row r="89" spans="15:17">
      <c r="O89" s="264">
        <v>-1509320000000</v>
      </c>
      <c r="P89" s="264">
        <v>-1836960000000</v>
      </c>
      <c r="Q89" s="264">
        <v>-1658975850999.55</v>
      </c>
    </row>
    <row r="92" spans="15:17">
      <c r="O92" s="264">
        <v>3622524145</v>
      </c>
      <c r="P92" s="264">
        <v>0</v>
      </c>
      <c r="Q92" s="264">
        <v>0</v>
      </c>
    </row>
    <row r="95" spans="15:17">
      <c r="O95" s="264">
        <v>192230457892</v>
      </c>
      <c r="P95" s="264">
        <v>182392093482</v>
      </c>
      <c r="Q95" s="264">
        <v>160568729300</v>
      </c>
    </row>
    <row r="100" spans="15:17">
      <c r="O100" s="264">
        <v>2340000000000</v>
      </c>
      <c r="P100" s="264">
        <v>250000000000</v>
      </c>
      <c r="Q100" s="264">
        <v>500000000000</v>
      </c>
    </row>
    <row r="102" spans="15:17">
      <c r="O102" s="264">
        <v>520000000000</v>
      </c>
      <c r="P102" s="264">
        <v>600000000000</v>
      </c>
      <c r="Q102" s="264">
        <v>900000000000</v>
      </c>
    </row>
    <row r="103" spans="15:17">
      <c r="O103" s="264">
        <v>-3262152529548</v>
      </c>
      <c r="P103" s="264">
        <v>-180000000000</v>
      </c>
      <c r="Q103" s="264">
        <v>-130000000000</v>
      </c>
    </row>
  </sheetData>
  <pageMargins left="0.7" right="0.7" top="0.75" bottom="0.75" header="0.3" footer="0.3"/>
  <pageSetup orientation="portrait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B1:W78"/>
  <sheetViews>
    <sheetView topLeftCell="A13" workbookViewId="0">
      <selection activeCell="D17" sqref="D17"/>
    </sheetView>
  </sheetViews>
  <sheetFormatPr defaultColWidth="8.88671875" defaultRowHeight="14.4"/>
  <cols>
    <col min="1" max="1" width="3.33203125" style="162" customWidth="1"/>
    <col min="2" max="2" width="8.88671875" style="149" customWidth="1"/>
    <col min="3" max="3" width="64.88671875" style="162" customWidth="1"/>
    <col min="4" max="4" width="31.33203125" style="162" customWidth="1"/>
    <col min="5" max="8" width="9.6640625" style="162" customWidth="1"/>
    <col min="9" max="9" width="11.33203125" style="162" customWidth="1"/>
    <col min="10" max="11" width="9.6640625" style="162" customWidth="1"/>
    <col min="12" max="15" width="11.33203125" style="162" customWidth="1"/>
    <col min="16" max="18" width="11.33203125" style="162" bestFit="1" customWidth="1"/>
    <col min="19" max="23" width="12.33203125" style="162" bestFit="1" customWidth="1"/>
    <col min="24" max="24" width="8.88671875" style="162" customWidth="1"/>
    <col min="25" max="16384" width="8.88671875" style="162"/>
  </cols>
  <sheetData>
    <row r="1" spans="2:23" ht="15.75" customHeight="1" thickBot="1"/>
    <row r="2" spans="2:23" ht="27" customHeight="1" thickBot="1">
      <c r="B2" s="150" t="s">
        <v>560</v>
      </c>
      <c r="C2" s="163"/>
      <c r="D2" s="164"/>
      <c r="E2" s="47" t="s">
        <v>323</v>
      </c>
      <c r="F2" s="47" t="s">
        <v>324</v>
      </c>
      <c r="G2" s="47" t="s">
        <v>325</v>
      </c>
      <c r="H2" s="47" t="s">
        <v>326</v>
      </c>
      <c r="I2" s="47" t="s">
        <v>327</v>
      </c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</row>
    <row r="3" spans="2:23" ht="19.5" customHeight="1" thickTop="1">
      <c r="B3" s="151"/>
      <c r="C3" s="56" t="s">
        <v>561</v>
      </c>
      <c r="D3" s="165"/>
    </row>
    <row r="4" spans="2:23">
      <c r="B4" s="152" t="s">
        <v>447</v>
      </c>
      <c r="C4" s="51" t="s">
        <v>562</v>
      </c>
      <c r="D4" s="165"/>
      <c r="E4" s="264">
        <v>13853638</v>
      </c>
      <c r="F4" s="264">
        <v>15637423</v>
      </c>
      <c r="G4" s="264">
        <v>13942555</v>
      </c>
      <c r="H4" s="264">
        <v>3146451</v>
      </c>
      <c r="I4" s="264">
        <v>12755518</v>
      </c>
      <c r="J4" s="264"/>
      <c r="K4" s="264"/>
      <c r="L4" s="264"/>
      <c r="M4" s="264"/>
      <c r="N4" s="264"/>
      <c r="O4" s="264"/>
      <c r="P4" s="264"/>
      <c r="Q4" s="264"/>
      <c r="R4" s="264"/>
      <c r="S4" s="264"/>
      <c r="T4" s="264"/>
      <c r="U4" s="264"/>
      <c r="V4" s="264"/>
      <c r="W4" s="264"/>
    </row>
    <row r="5" spans="2:23">
      <c r="B5" s="151"/>
      <c r="C5" s="51" t="s">
        <v>563</v>
      </c>
      <c r="D5" s="165"/>
      <c r="E5" s="264"/>
      <c r="F5" s="264"/>
      <c r="G5" s="264"/>
      <c r="H5" s="264"/>
      <c r="I5" s="264"/>
      <c r="J5" s="264"/>
      <c r="K5" s="264"/>
      <c r="L5" s="264"/>
      <c r="M5" s="264"/>
      <c r="N5" s="264"/>
      <c r="O5" s="264"/>
      <c r="P5" s="264"/>
      <c r="Q5" s="264"/>
      <c r="R5" s="264"/>
      <c r="S5" s="264"/>
      <c r="T5" s="264"/>
      <c r="U5" s="264"/>
      <c r="V5" s="264"/>
      <c r="W5" s="264"/>
    </row>
    <row r="6" spans="2:23">
      <c r="B6" s="152" t="s">
        <v>449</v>
      </c>
      <c r="C6" s="57" t="s">
        <v>564</v>
      </c>
      <c r="D6" s="239" t="s">
        <v>36</v>
      </c>
      <c r="E6" s="264">
        <v>5155271</v>
      </c>
      <c r="F6" s="264">
        <v>8337680</v>
      </c>
      <c r="G6" s="264">
        <v>10063535</v>
      </c>
      <c r="H6" s="264">
        <v>14919628</v>
      </c>
      <c r="I6" s="264">
        <v>21284073</v>
      </c>
      <c r="J6" s="264"/>
      <c r="K6" s="264"/>
      <c r="L6" s="264"/>
      <c r="M6" s="264"/>
      <c r="N6" s="264"/>
      <c r="O6" s="264"/>
      <c r="P6" s="264"/>
      <c r="Q6" s="264"/>
      <c r="R6" s="264"/>
      <c r="S6" s="264"/>
      <c r="T6" s="264"/>
      <c r="U6" s="264"/>
      <c r="V6" s="264"/>
      <c r="W6" s="264"/>
    </row>
    <row r="7" spans="2:23">
      <c r="B7" s="153" t="s">
        <v>565</v>
      </c>
      <c r="C7" s="57" t="s">
        <v>566</v>
      </c>
      <c r="D7" s="166" t="s">
        <v>519</v>
      </c>
      <c r="E7" s="264">
        <v>241330</v>
      </c>
      <c r="F7" s="264">
        <v>2629024</v>
      </c>
      <c r="G7" s="264">
        <v>6833379</v>
      </c>
      <c r="H7" s="264">
        <v>10100081</v>
      </c>
      <c r="I7" s="264">
        <v>3325467</v>
      </c>
      <c r="J7" s="264"/>
      <c r="K7" s="264"/>
      <c r="L7" s="264"/>
      <c r="M7" s="264"/>
      <c r="N7" s="264"/>
      <c r="O7" s="264"/>
      <c r="P7" s="264"/>
      <c r="Q7" s="264"/>
      <c r="R7" s="264"/>
      <c r="S7" s="264"/>
      <c r="T7" s="264"/>
      <c r="U7" s="264"/>
      <c r="V7" s="264"/>
      <c r="W7" s="264"/>
    </row>
    <row r="8" spans="2:23">
      <c r="B8" s="153" t="s">
        <v>567</v>
      </c>
      <c r="C8" s="57" t="s">
        <v>568</v>
      </c>
      <c r="D8" s="167"/>
      <c r="E8" s="264">
        <v>192368</v>
      </c>
      <c r="F8" s="264">
        <v>6516</v>
      </c>
      <c r="G8" s="264">
        <v>230354</v>
      </c>
      <c r="H8" s="264">
        <v>-508816</v>
      </c>
      <c r="I8" s="264">
        <v>1847813</v>
      </c>
      <c r="J8" s="264"/>
      <c r="K8" s="264"/>
      <c r="L8" s="264"/>
      <c r="M8" s="264"/>
      <c r="N8" s="264"/>
      <c r="O8" s="264"/>
      <c r="P8" s="264"/>
      <c r="Q8" s="264"/>
      <c r="R8" s="264"/>
      <c r="S8" s="264"/>
      <c r="T8" s="264"/>
      <c r="U8" s="264"/>
      <c r="V8" s="264"/>
      <c r="W8" s="264"/>
    </row>
    <row r="9" spans="2:23">
      <c r="B9" s="153" t="s">
        <v>569</v>
      </c>
      <c r="C9" s="57" t="s">
        <v>570</v>
      </c>
      <c r="D9" s="167"/>
      <c r="E9" s="264">
        <v>-6683400</v>
      </c>
      <c r="F9" s="264">
        <v>-12853241</v>
      </c>
      <c r="G9" s="264">
        <v>-20863970</v>
      </c>
      <c r="H9" s="264">
        <v>-7287409</v>
      </c>
      <c r="I9" s="264">
        <v>-35207028</v>
      </c>
      <c r="J9" s="264"/>
      <c r="K9" s="264"/>
      <c r="L9" s="264"/>
      <c r="M9" s="264"/>
      <c r="N9" s="264"/>
      <c r="O9" s="264"/>
      <c r="P9" s="264"/>
      <c r="Q9" s="264"/>
      <c r="R9" s="264"/>
      <c r="S9" s="264"/>
      <c r="T9" s="264"/>
      <c r="U9" s="264"/>
      <c r="V9" s="264"/>
      <c r="W9" s="264"/>
    </row>
    <row r="10" spans="2:23">
      <c r="B10" s="153" t="s">
        <v>571</v>
      </c>
      <c r="C10" s="57" t="s">
        <v>572</v>
      </c>
      <c r="D10" s="167"/>
      <c r="E10" s="264">
        <v>4283365</v>
      </c>
      <c r="F10" s="264">
        <v>7525183</v>
      </c>
      <c r="G10" s="264">
        <v>11402385</v>
      </c>
      <c r="H10" s="264">
        <v>10288893</v>
      </c>
      <c r="I10" s="264">
        <v>10944221</v>
      </c>
      <c r="J10" s="264"/>
      <c r="K10" s="264"/>
      <c r="L10" s="264"/>
      <c r="M10" s="264"/>
      <c r="N10" s="264"/>
      <c r="O10" s="264"/>
      <c r="P10" s="264"/>
      <c r="Q10" s="264"/>
      <c r="R10" s="264"/>
      <c r="S10" s="264"/>
      <c r="T10" s="264"/>
      <c r="U10" s="264"/>
      <c r="V10" s="264"/>
      <c r="W10" s="264"/>
    </row>
    <row r="11" spans="2:23">
      <c r="B11" s="153" t="s">
        <v>573</v>
      </c>
      <c r="C11" s="57" t="s">
        <v>574</v>
      </c>
      <c r="D11" s="167"/>
      <c r="E11" s="264"/>
      <c r="F11" s="264"/>
      <c r="G11" s="264"/>
      <c r="H11" s="264"/>
      <c r="I11" s="264"/>
      <c r="J11" s="264"/>
      <c r="K11" s="264"/>
      <c r="L11" s="264"/>
      <c r="M11" s="264"/>
      <c r="N11" s="264"/>
      <c r="O11" s="264"/>
      <c r="P11" s="264"/>
      <c r="Q11" s="264"/>
      <c r="R11" s="264"/>
      <c r="S11" s="264"/>
      <c r="T11" s="264"/>
      <c r="U11" s="264"/>
      <c r="V11" s="264"/>
      <c r="W11" s="264"/>
    </row>
    <row r="12" spans="2:23" s="169" customFormat="1">
      <c r="B12" s="153" t="s">
        <v>575</v>
      </c>
      <c r="C12" s="50" t="s">
        <v>576</v>
      </c>
      <c r="D12" s="168"/>
      <c r="E12" s="301">
        <v>17042572</v>
      </c>
      <c r="F12" s="301">
        <v>21282585</v>
      </c>
      <c r="G12" s="301">
        <v>21608238</v>
      </c>
      <c r="H12" s="301">
        <v>30658828</v>
      </c>
      <c r="I12" s="301">
        <v>14950064</v>
      </c>
      <c r="J12" s="301"/>
      <c r="K12" s="301"/>
      <c r="L12" s="301"/>
      <c r="M12" s="301"/>
      <c r="N12" s="301"/>
      <c r="O12" s="301"/>
      <c r="P12" s="301"/>
      <c r="Q12" s="301"/>
      <c r="R12" s="301"/>
      <c r="S12" s="301"/>
      <c r="T12" s="301"/>
      <c r="U12" s="301"/>
      <c r="V12" s="301"/>
      <c r="W12" s="301"/>
    </row>
    <row r="13" spans="2:23">
      <c r="B13" s="153" t="s">
        <v>577</v>
      </c>
      <c r="C13" s="57" t="s">
        <v>578</v>
      </c>
      <c r="D13" s="167" t="s">
        <v>20</v>
      </c>
      <c r="E13" s="264">
        <v>1520338</v>
      </c>
      <c r="F13" s="264">
        <v>-12230441</v>
      </c>
      <c r="G13" s="264">
        <v>5078359</v>
      </c>
      <c r="H13" s="264">
        <v>-16715014</v>
      </c>
      <c r="I13" s="264">
        <v>-56073019</v>
      </c>
      <c r="J13" s="264"/>
      <c r="K13" s="264"/>
      <c r="L13" s="264"/>
      <c r="M13" s="264"/>
      <c r="N13" s="264"/>
      <c r="O13" s="264"/>
      <c r="P13" s="264"/>
      <c r="Q13" s="264"/>
      <c r="R13" s="264"/>
      <c r="S13" s="264"/>
      <c r="T13" s="264"/>
      <c r="U13" s="264"/>
      <c r="V13" s="264"/>
      <c r="W13" s="264"/>
    </row>
    <row r="14" spans="2:23">
      <c r="B14" s="149">
        <v>10</v>
      </c>
      <c r="C14" s="57" t="s">
        <v>579</v>
      </c>
      <c r="D14" s="167" t="s">
        <v>20</v>
      </c>
      <c r="E14" s="264">
        <v>4875332</v>
      </c>
      <c r="F14" s="264">
        <v>-16411200</v>
      </c>
      <c r="G14" s="264">
        <v>16938693</v>
      </c>
      <c r="H14" s="264">
        <v>12889865</v>
      </c>
      <c r="I14" s="264">
        <v>-47051573</v>
      </c>
      <c r="J14" s="264"/>
      <c r="K14" s="264"/>
      <c r="L14" s="264"/>
      <c r="M14" s="264"/>
      <c r="N14" s="264"/>
      <c r="O14" s="264"/>
      <c r="P14" s="264"/>
      <c r="Q14" s="264"/>
      <c r="R14" s="264"/>
      <c r="S14" s="264"/>
      <c r="T14" s="264"/>
      <c r="U14" s="264"/>
      <c r="V14" s="264"/>
      <c r="W14" s="264"/>
    </row>
    <row r="15" spans="2:23">
      <c r="B15" s="149">
        <v>11</v>
      </c>
      <c r="C15" s="57" t="s">
        <v>580</v>
      </c>
      <c r="D15" s="167" t="s">
        <v>20</v>
      </c>
      <c r="E15" s="264">
        <v>-24972741</v>
      </c>
      <c r="F15" s="264">
        <v>39864097</v>
      </c>
      <c r="G15" s="264">
        <v>-9604723</v>
      </c>
      <c r="H15" s="264">
        <v>-24749053</v>
      </c>
      <c r="I15" s="264">
        <v>99915314</v>
      </c>
      <c r="J15" s="264"/>
      <c r="K15" s="264"/>
      <c r="L15" s="264"/>
      <c r="M15" s="264"/>
      <c r="N15" s="264"/>
      <c r="O15" s="264"/>
      <c r="P15" s="264"/>
      <c r="Q15" s="264"/>
      <c r="R15" s="264"/>
      <c r="S15" s="264"/>
      <c r="T15" s="264"/>
      <c r="U15" s="264"/>
      <c r="V15" s="264"/>
      <c r="W15" s="264"/>
    </row>
    <row r="16" spans="2:23">
      <c r="B16" s="149">
        <v>12</v>
      </c>
      <c r="C16" s="57" t="s">
        <v>581</v>
      </c>
      <c r="D16" s="167" t="s">
        <v>20</v>
      </c>
      <c r="E16" s="264">
        <v>1038687</v>
      </c>
      <c r="F16" s="264">
        <v>-1909881</v>
      </c>
      <c r="G16" s="264">
        <v>-1745361</v>
      </c>
      <c r="H16" s="264">
        <v>2669686</v>
      </c>
      <c r="I16" s="264">
        <v>-2538613</v>
      </c>
      <c r="J16" s="264"/>
      <c r="K16" s="264"/>
      <c r="L16" s="264"/>
      <c r="M16" s="264"/>
      <c r="N16" s="264"/>
      <c r="O16" s="264"/>
      <c r="P16" s="264"/>
      <c r="Q16" s="264"/>
      <c r="R16" s="264"/>
      <c r="S16" s="264"/>
      <c r="T16" s="264"/>
      <c r="U16" s="264"/>
      <c r="V16" s="264"/>
      <c r="W16" s="264"/>
    </row>
    <row r="17" spans="2:23">
      <c r="B17" s="149">
        <v>13</v>
      </c>
      <c r="C17" s="57" t="s">
        <v>582</v>
      </c>
      <c r="D17" s="178" t="s">
        <v>35</v>
      </c>
      <c r="E17" s="264">
        <v>12864</v>
      </c>
      <c r="F17" s="264">
        <v>535050</v>
      </c>
      <c r="G17" s="264">
        <v>3641722</v>
      </c>
      <c r="H17" s="264">
        <v>988155</v>
      </c>
      <c r="I17" s="264">
        <v>2556548</v>
      </c>
      <c r="J17" s="264"/>
      <c r="K17" s="264"/>
      <c r="L17" s="264"/>
      <c r="M17" s="264"/>
      <c r="N17" s="264"/>
      <c r="O17" s="264"/>
      <c r="P17" s="264"/>
      <c r="Q17" s="264"/>
      <c r="R17" s="264"/>
      <c r="S17" s="264"/>
      <c r="T17" s="264"/>
      <c r="U17" s="264"/>
      <c r="V17" s="264"/>
      <c r="W17" s="264"/>
    </row>
    <row r="18" spans="2:23">
      <c r="B18" s="149">
        <v>14</v>
      </c>
      <c r="C18" s="57" t="s">
        <v>583</v>
      </c>
      <c r="D18" s="310" t="s">
        <v>14</v>
      </c>
      <c r="E18" s="264">
        <v>-3740381</v>
      </c>
      <c r="F18" s="264">
        <v>-7221315</v>
      </c>
      <c r="G18" s="264">
        <v>-10552304</v>
      </c>
      <c r="H18" s="264">
        <v>-9217300</v>
      </c>
      <c r="I18" s="264">
        <v>-10086550</v>
      </c>
      <c r="J18" s="264"/>
      <c r="K18" s="264"/>
      <c r="L18" s="264"/>
      <c r="M18" s="264"/>
      <c r="N18" s="264"/>
      <c r="O18" s="264"/>
      <c r="P18" s="264"/>
      <c r="Q18" s="264"/>
      <c r="R18" s="264"/>
      <c r="S18" s="264"/>
      <c r="T18" s="264"/>
      <c r="U18" s="264"/>
      <c r="V18" s="264"/>
      <c r="W18" s="264"/>
    </row>
    <row r="19" spans="2:23">
      <c r="B19" s="149">
        <v>15</v>
      </c>
      <c r="C19" s="57" t="s">
        <v>584</v>
      </c>
      <c r="D19" s="311" t="s">
        <v>16</v>
      </c>
      <c r="E19" s="264">
        <v>-5760402</v>
      </c>
      <c r="F19" s="264">
        <v>-7941805</v>
      </c>
      <c r="G19" s="264">
        <v>-9409698</v>
      </c>
      <c r="H19" s="264">
        <v>-10731071</v>
      </c>
      <c r="I19" s="264">
        <v>-4504574</v>
      </c>
      <c r="J19" s="264"/>
      <c r="K19" s="264"/>
      <c r="L19" s="264"/>
      <c r="M19" s="264"/>
      <c r="N19" s="264"/>
      <c r="O19" s="264"/>
      <c r="P19" s="264"/>
      <c r="Q19" s="264"/>
      <c r="R19" s="264"/>
      <c r="S19" s="264"/>
      <c r="T19" s="264"/>
      <c r="U19" s="264"/>
      <c r="V19" s="264"/>
      <c r="W19" s="264"/>
    </row>
    <row r="20" spans="2:23">
      <c r="B20" s="149">
        <v>16</v>
      </c>
      <c r="C20" s="57" t="s">
        <v>585</v>
      </c>
      <c r="D20" s="167" t="s">
        <v>20</v>
      </c>
      <c r="E20" s="264"/>
      <c r="F20" s="264"/>
      <c r="G20" s="264"/>
      <c r="H20" s="264"/>
      <c r="I20" s="264"/>
      <c r="J20" s="264"/>
      <c r="K20" s="264"/>
      <c r="L20" s="264"/>
      <c r="M20" s="264"/>
      <c r="N20" s="264"/>
      <c r="O20" s="264"/>
      <c r="P20" s="264"/>
      <c r="Q20" s="264"/>
      <c r="R20" s="264"/>
      <c r="S20" s="264"/>
      <c r="T20" s="264"/>
      <c r="U20" s="264"/>
      <c r="V20" s="264"/>
      <c r="W20" s="264"/>
    </row>
    <row r="21" spans="2:23">
      <c r="B21" s="149">
        <v>17</v>
      </c>
      <c r="C21" s="57" t="s">
        <v>586</v>
      </c>
      <c r="D21" s="167" t="s">
        <v>20</v>
      </c>
      <c r="E21" s="264"/>
      <c r="F21" s="264"/>
      <c r="G21" s="264"/>
      <c r="H21" s="264"/>
      <c r="I21" s="264"/>
      <c r="J21" s="264"/>
      <c r="K21" s="264"/>
      <c r="L21" s="264"/>
      <c r="M21" s="264"/>
      <c r="N21" s="264"/>
      <c r="O21" s="264"/>
      <c r="P21" s="264"/>
      <c r="Q21" s="264"/>
      <c r="R21" s="264"/>
      <c r="S21" s="264"/>
      <c r="T21" s="264"/>
      <c r="U21" s="264"/>
      <c r="V21" s="264"/>
      <c r="W21" s="264"/>
    </row>
    <row r="22" spans="2:23" s="169" customFormat="1">
      <c r="B22" s="154">
        <v>20</v>
      </c>
      <c r="C22" s="58" t="s">
        <v>587</v>
      </c>
      <c r="D22" s="168"/>
      <c r="E22" s="301">
        <v>-9983730</v>
      </c>
      <c r="F22" s="301">
        <v>15967089</v>
      </c>
      <c r="G22" s="301">
        <v>15954926</v>
      </c>
      <c r="H22" s="301">
        <v>-14205904</v>
      </c>
      <c r="I22" s="301">
        <v>-2832403</v>
      </c>
      <c r="J22" s="301"/>
      <c r="K22" s="301"/>
      <c r="L22" s="301"/>
      <c r="M22" s="301"/>
      <c r="N22" s="301"/>
      <c r="O22" s="301"/>
      <c r="P22" s="301"/>
      <c r="Q22" s="301"/>
      <c r="R22" s="301"/>
      <c r="S22" s="301"/>
      <c r="T22" s="301"/>
      <c r="U22" s="301"/>
      <c r="V22" s="301"/>
      <c r="W22" s="301"/>
    </row>
    <row r="23" spans="2:23" ht="18.75" customHeight="1">
      <c r="B23" s="151"/>
      <c r="C23" s="56" t="s">
        <v>588</v>
      </c>
      <c r="D23" s="165"/>
      <c r="E23" s="264"/>
      <c r="F23" s="264"/>
      <c r="G23" s="264"/>
      <c r="H23" s="264"/>
      <c r="I23" s="264"/>
      <c r="J23" s="264"/>
      <c r="K23" s="264"/>
      <c r="L23" s="264"/>
      <c r="M23" s="264"/>
      <c r="N23" s="264"/>
      <c r="O23" s="264"/>
      <c r="P23" s="264"/>
      <c r="Q23" s="264"/>
      <c r="R23" s="264"/>
      <c r="S23" s="264"/>
      <c r="T23" s="264"/>
      <c r="U23" s="264"/>
      <c r="V23" s="264"/>
      <c r="W23" s="264"/>
    </row>
    <row r="24" spans="2:23">
      <c r="B24" s="152">
        <v>21</v>
      </c>
      <c r="C24" s="51" t="s">
        <v>589</v>
      </c>
      <c r="D24" s="227" t="s">
        <v>24</v>
      </c>
      <c r="E24" s="264">
        <v>-44772133</v>
      </c>
      <c r="F24" s="264">
        <v>-55175557</v>
      </c>
      <c r="G24" s="264">
        <v>-27543989</v>
      </c>
      <c r="H24" s="264">
        <v>-36840586</v>
      </c>
      <c r="I24" s="264">
        <v>-75161529</v>
      </c>
      <c r="J24" s="264"/>
      <c r="K24" s="264"/>
      <c r="L24" s="264"/>
      <c r="M24" s="264"/>
      <c r="N24" s="264"/>
      <c r="O24" s="264"/>
      <c r="P24" s="264"/>
      <c r="Q24" s="264"/>
      <c r="R24" s="264"/>
      <c r="S24" s="264"/>
      <c r="T24" s="264"/>
      <c r="U24" s="264"/>
      <c r="V24" s="264"/>
      <c r="W24" s="264"/>
    </row>
    <row r="25" spans="2:23">
      <c r="B25" s="152">
        <v>22</v>
      </c>
      <c r="C25" s="51" t="s">
        <v>590</v>
      </c>
      <c r="D25" s="227" t="s">
        <v>24</v>
      </c>
      <c r="E25" s="264">
        <v>1305734</v>
      </c>
      <c r="F25" s="264">
        <v>422482</v>
      </c>
      <c r="G25" s="264">
        <v>1249983</v>
      </c>
      <c r="H25" s="264">
        <v>79459</v>
      </c>
      <c r="I25" s="264">
        <v>3323256</v>
      </c>
      <c r="J25" s="264"/>
      <c r="K25" s="264"/>
      <c r="L25" s="264"/>
      <c r="M25" s="264"/>
      <c r="N25" s="264"/>
      <c r="O25" s="264"/>
      <c r="P25" s="264"/>
      <c r="Q25" s="264"/>
      <c r="R25" s="264"/>
      <c r="S25" s="264"/>
      <c r="T25" s="264"/>
      <c r="U25" s="264"/>
      <c r="V25" s="264"/>
      <c r="W25" s="264"/>
    </row>
    <row r="26" spans="2:23">
      <c r="B26" s="152">
        <v>23</v>
      </c>
      <c r="C26" s="51" t="s">
        <v>591</v>
      </c>
      <c r="D26" s="227" t="s">
        <v>35</v>
      </c>
      <c r="E26" s="264">
        <v>-21453789</v>
      </c>
      <c r="F26" s="264">
        <v>-16422931</v>
      </c>
      <c r="G26" s="264">
        <v>-4183635</v>
      </c>
      <c r="H26" s="264">
        <v>-12270575</v>
      </c>
      <c r="I26" s="264">
        <v>-5398167</v>
      </c>
      <c r="J26" s="264"/>
      <c r="K26" s="264"/>
      <c r="L26" s="264"/>
      <c r="M26" s="264"/>
      <c r="N26" s="264"/>
      <c r="O26" s="264"/>
      <c r="P26" s="264"/>
      <c r="Q26" s="264"/>
      <c r="R26" s="264"/>
      <c r="S26" s="264"/>
      <c r="T26" s="264"/>
      <c r="U26" s="264"/>
      <c r="V26" s="264"/>
      <c r="W26" s="264"/>
    </row>
    <row r="27" spans="2:23">
      <c r="B27" s="152">
        <v>24</v>
      </c>
      <c r="C27" s="51" t="s">
        <v>592</v>
      </c>
      <c r="D27" s="227" t="s">
        <v>35</v>
      </c>
      <c r="E27" s="264">
        <v>20729470</v>
      </c>
      <c r="F27" s="264">
        <v>38074294</v>
      </c>
      <c r="G27" s="264">
        <v>9963339</v>
      </c>
      <c r="H27" s="264">
        <v>12955430</v>
      </c>
      <c r="I27" s="264">
        <v>11158782</v>
      </c>
      <c r="J27" s="264"/>
      <c r="K27" s="264"/>
      <c r="L27" s="264"/>
      <c r="M27" s="264"/>
      <c r="N27" s="264"/>
      <c r="O27" s="264"/>
      <c r="P27" s="264"/>
      <c r="Q27" s="264"/>
      <c r="R27" s="264"/>
      <c r="S27" s="264"/>
      <c r="T27" s="264"/>
      <c r="U27" s="264"/>
      <c r="V27" s="264"/>
      <c r="W27" s="264"/>
    </row>
    <row r="28" spans="2:23">
      <c r="B28" s="152">
        <v>25</v>
      </c>
      <c r="C28" s="51" t="s">
        <v>593</v>
      </c>
      <c r="D28" s="227" t="s">
        <v>35</v>
      </c>
      <c r="E28" s="264">
        <v>-46807073</v>
      </c>
      <c r="F28" s="264">
        <v>-61532925</v>
      </c>
      <c r="G28" s="264">
        <v>-21962349</v>
      </c>
      <c r="H28" s="264">
        <v>-4738560</v>
      </c>
      <c r="I28" s="264">
        <v>-11636655</v>
      </c>
      <c r="J28" s="264"/>
      <c r="K28" s="264"/>
      <c r="L28" s="264"/>
      <c r="M28" s="264"/>
      <c r="N28" s="264"/>
      <c r="O28" s="264"/>
      <c r="P28" s="264"/>
      <c r="Q28" s="264"/>
      <c r="R28" s="264"/>
      <c r="S28" s="264"/>
      <c r="T28" s="264"/>
      <c r="U28" s="264"/>
      <c r="V28" s="264"/>
      <c r="W28" s="264"/>
    </row>
    <row r="29" spans="2:23">
      <c r="B29" s="152">
        <v>26</v>
      </c>
      <c r="C29" s="51" t="s">
        <v>594</v>
      </c>
      <c r="D29" s="227" t="s">
        <v>35</v>
      </c>
      <c r="E29" s="264">
        <v>27524119</v>
      </c>
      <c r="F29" s="264">
        <v>34006507</v>
      </c>
      <c r="G29" s="264">
        <v>25139678</v>
      </c>
      <c r="H29" s="264">
        <v>16765078</v>
      </c>
      <c r="I29" s="264">
        <v>50942091</v>
      </c>
      <c r="J29" s="264"/>
      <c r="K29" s="264"/>
      <c r="L29" s="264"/>
      <c r="M29" s="264"/>
      <c r="N29" s="264"/>
      <c r="O29" s="264"/>
      <c r="P29" s="264"/>
      <c r="Q29" s="264"/>
      <c r="R29" s="264"/>
      <c r="S29" s="264"/>
      <c r="T29" s="264"/>
      <c r="U29" s="264"/>
      <c r="V29" s="264"/>
      <c r="W29" s="264"/>
    </row>
    <row r="30" spans="2:23">
      <c r="B30" s="152">
        <v>27</v>
      </c>
      <c r="C30" s="51" t="s">
        <v>595</v>
      </c>
      <c r="D30" s="227" t="s">
        <v>28</v>
      </c>
      <c r="E30" s="264">
        <v>1160050</v>
      </c>
      <c r="F30" s="264">
        <v>762065</v>
      </c>
      <c r="G30" s="264">
        <v>1123131</v>
      </c>
      <c r="H30" s="264">
        <v>1665964</v>
      </c>
      <c r="I30" s="264">
        <v>5812574</v>
      </c>
      <c r="J30" s="264"/>
      <c r="K30" s="264"/>
      <c r="L30" s="264"/>
      <c r="M30" s="264"/>
      <c r="N30" s="264"/>
      <c r="O30" s="264"/>
      <c r="P30" s="264"/>
      <c r="Q30" s="264"/>
      <c r="R30" s="264"/>
      <c r="S30" s="264"/>
      <c r="T30" s="264"/>
      <c r="U30" s="264"/>
      <c r="V30" s="264"/>
      <c r="W30" s="264"/>
    </row>
    <row r="31" spans="2:23" s="169" customFormat="1">
      <c r="B31" s="155">
        <v>30</v>
      </c>
      <c r="C31" s="58" t="s">
        <v>596</v>
      </c>
      <c r="D31" s="168"/>
      <c r="E31" s="301">
        <v>-62313622</v>
      </c>
      <c r="F31" s="301">
        <v>-59866064</v>
      </c>
      <c r="G31" s="301">
        <v>-16213842</v>
      </c>
      <c r="H31" s="301">
        <v>-22383790</v>
      </c>
      <c r="I31" s="301">
        <v>-20959648</v>
      </c>
      <c r="J31" s="301"/>
      <c r="K31" s="301"/>
      <c r="L31" s="301"/>
      <c r="M31" s="301"/>
      <c r="N31" s="301"/>
      <c r="O31" s="301"/>
      <c r="P31" s="301"/>
      <c r="Q31" s="301"/>
      <c r="R31" s="301"/>
      <c r="S31" s="301"/>
      <c r="T31" s="301"/>
      <c r="U31" s="301"/>
      <c r="V31" s="301"/>
      <c r="W31" s="301"/>
    </row>
    <row r="32" spans="2:23" ht="18.75" customHeight="1">
      <c r="B32" s="151"/>
      <c r="C32" s="56" t="s">
        <v>597</v>
      </c>
      <c r="D32" s="165"/>
      <c r="E32" s="264"/>
      <c r="F32" s="264"/>
      <c r="G32" s="264"/>
      <c r="H32" s="264"/>
      <c r="I32" s="264"/>
      <c r="J32" s="264"/>
      <c r="K32" s="264"/>
      <c r="L32" s="264"/>
      <c r="M32" s="264"/>
      <c r="N32" s="264"/>
      <c r="O32" s="264"/>
      <c r="P32" s="264"/>
      <c r="Q32" s="264"/>
      <c r="R32" s="264"/>
      <c r="S32" s="264"/>
      <c r="T32" s="264"/>
      <c r="U32" s="264"/>
      <c r="V32" s="264"/>
      <c r="W32" s="264"/>
    </row>
    <row r="33" spans="2:23">
      <c r="B33" s="152">
        <v>31</v>
      </c>
      <c r="C33" s="51" t="s">
        <v>598</v>
      </c>
      <c r="D33" s="312" t="s">
        <v>41</v>
      </c>
      <c r="E33" s="264">
        <v>24903260</v>
      </c>
      <c r="F33" s="264">
        <v>24156142</v>
      </c>
      <c r="G33" s="264">
        <v>8974955</v>
      </c>
      <c r="H33" s="264">
        <v>20461915</v>
      </c>
      <c r="I33" s="264">
        <v>4723482</v>
      </c>
      <c r="J33" s="264"/>
      <c r="K33" s="264"/>
      <c r="L33" s="264"/>
      <c r="M33" s="264"/>
      <c r="N33" s="264"/>
      <c r="O33" s="264"/>
      <c r="P33" s="264"/>
      <c r="Q33" s="264"/>
      <c r="R33" s="264"/>
      <c r="S33" s="264"/>
      <c r="T33" s="264"/>
      <c r="U33" s="264"/>
      <c r="V33" s="264"/>
      <c r="W33" s="264"/>
    </row>
    <row r="34" spans="2:23">
      <c r="B34" s="152">
        <v>32</v>
      </c>
      <c r="C34" s="51" t="s">
        <v>599</v>
      </c>
      <c r="D34" s="312" t="s">
        <v>41</v>
      </c>
      <c r="E34" s="264"/>
      <c r="F34" s="264">
        <v>-10703530</v>
      </c>
      <c r="G34" s="264">
        <v>-42980</v>
      </c>
      <c r="H34" s="264">
        <v>-4250</v>
      </c>
      <c r="I34" s="264"/>
      <c r="J34" s="264"/>
      <c r="K34" s="264"/>
      <c r="L34" s="264"/>
      <c r="M34" s="264"/>
      <c r="N34" s="264"/>
      <c r="O34" s="264"/>
      <c r="P34" s="264"/>
      <c r="Q34" s="264"/>
      <c r="R34" s="264"/>
      <c r="S34" s="264"/>
      <c r="T34" s="264"/>
      <c r="U34" s="264"/>
      <c r="V34" s="264"/>
      <c r="W34" s="264"/>
    </row>
    <row r="35" spans="2:23">
      <c r="B35" s="152">
        <v>33</v>
      </c>
      <c r="C35" s="51" t="s">
        <v>600</v>
      </c>
      <c r="D35" s="312" t="s">
        <v>39</v>
      </c>
      <c r="E35" s="264">
        <v>91020447</v>
      </c>
      <c r="F35" s="264">
        <v>63707975</v>
      </c>
      <c r="G35" s="264">
        <v>41249657</v>
      </c>
      <c r="H35" s="264">
        <v>70266832</v>
      </c>
      <c r="I35" s="264">
        <v>77697693</v>
      </c>
      <c r="J35" s="264"/>
      <c r="K35" s="264"/>
      <c r="L35" s="264"/>
      <c r="M35" s="264"/>
      <c r="N35" s="264"/>
      <c r="O35" s="264"/>
      <c r="P35" s="264"/>
      <c r="Q35" s="264"/>
      <c r="R35" s="264"/>
      <c r="S35" s="264"/>
      <c r="T35" s="264"/>
      <c r="U35" s="264"/>
      <c r="V35" s="264"/>
      <c r="W35" s="264"/>
    </row>
    <row r="36" spans="2:23">
      <c r="B36" s="152">
        <v>34</v>
      </c>
      <c r="C36" s="51" t="s">
        <v>601</v>
      </c>
      <c r="D36" s="312" t="s">
        <v>39</v>
      </c>
      <c r="E36" s="264">
        <v>-36981047</v>
      </c>
      <c r="F36" s="264">
        <v>-26182542</v>
      </c>
      <c r="G36" s="264">
        <v>-38958120</v>
      </c>
      <c r="H36" s="264">
        <v>-63334265</v>
      </c>
      <c r="I36" s="264">
        <v>-47287263</v>
      </c>
      <c r="J36" s="264"/>
      <c r="K36" s="264"/>
      <c r="L36" s="264"/>
      <c r="M36" s="264"/>
      <c r="N36" s="264"/>
      <c r="O36" s="264"/>
      <c r="P36" s="264"/>
      <c r="Q36" s="264"/>
      <c r="R36" s="264"/>
      <c r="S36" s="264"/>
      <c r="T36" s="264"/>
      <c r="U36" s="264"/>
      <c r="V36" s="264"/>
      <c r="W36" s="264"/>
    </row>
    <row r="37" spans="2:23">
      <c r="B37" s="152">
        <v>35</v>
      </c>
      <c r="C37" s="51" t="s">
        <v>602</v>
      </c>
      <c r="D37" s="312" t="s">
        <v>39</v>
      </c>
      <c r="E37" s="264"/>
      <c r="F37" s="264"/>
      <c r="G37" s="264"/>
      <c r="H37" s="264"/>
      <c r="I37" s="264"/>
      <c r="J37" s="264"/>
      <c r="K37" s="264"/>
      <c r="L37" s="264"/>
      <c r="M37" s="264"/>
      <c r="N37" s="264"/>
      <c r="O37" s="264"/>
      <c r="P37" s="264"/>
      <c r="Q37" s="264"/>
      <c r="R37" s="264"/>
      <c r="S37" s="264"/>
      <c r="T37" s="264"/>
      <c r="U37" s="264"/>
      <c r="V37" s="264"/>
      <c r="W37" s="264"/>
    </row>
    <row r="38" spans="2:23">
      <c r="B38" s="152">
        <v>36</v>
      </c>
      <c r="C38" s="51" t="s">
        <v>603</v>
      </c>
      <c r="D38" s="312" t="s">
        <v>30</v>
      </c>
      <c r="E38" s="264">
        <v>-1222822</v>
      </c>
      <c r="F38" s="264">
        <v>-2188674</v>
      </c>
      <c r="G38" s="264">
        <v>-7188</v>
      </c>
      <c r="H38" s="264">
        <v>-1718207</v>
      </c>
      <c r="I38" s="264">
        <v>-3382021</v>
      </c>
      <c r="J38" s="264"/>
      <c r="K38" s="264"/>
      <c r="L38" s="264"/>
      <c r="M38" s="264"/>
      <c r="N38" s="264"/>
      <c r="O38" s="264"/>
      <c r="P38" s="264"/>
      <c r="Q38" s="264"/>
      <c r="R38" s="264"/>
      <c r="S38" s="264"/>
      <c r="T38" s="264"/>
      <c r="U38" s="264"/>
      <c r="V38" s="264"/>
      <c r="W38" s="264"/>
    </row>
    <row r="39" spans="2:23" s="169" customFormat="1">
      <c r="B39" s="155">
        <v>40</v>
      </c>
      <c r="C39" s="58" t="s">
        <v>604</v>
      </c>
      <c r="D39" s="168"/>
      <c r="E39" s="301">
        <v>77719838</v>
      </c>
      <c r="F39" s="301">
        <v>48789371</v>
      </c>
      <c r="G39" s="301">
        <v>11216324</v>
      </c>
      <c r="H39" s="301">
        <v>25672025</v>
      </c>
      <c r="I39" s="301">
        <v>31751891</v>
      </c>
      <c r="J39" s="301"/>
      <c r="K39" s="301"/>
      <c r="L39" s="301"/>
      <c r="M39" s="301"/>
      <c r="N39" s="301"/>
      <c r="O39" s="301"/>
      <c r="P39" s="301"/>
      <c r="Q39" s="301"/>
      <c r="R39" s="301"/>
      <c r="S39" s="301"/>
      <c r="T39" s="301"/>
      <c r="U39" s="301"/>
      <c r="V39" s="301"/>
      <c r="W39" s="301"/>
    </row>
    <row r="40" spans="2:23" s="169" customFormat="1">
      <c r="B40" s="155">
        <v>50</v>
      </c>
      <c r="C40" s="58" t="s">
        <v>605</v>
      </c>
      <c r="D40" s="168"/>
      <c r="E40" s="301">
        <v>5422486</v>
      </c>
      <c r="F40" s="301">
        <v>4890396</v>
      </c>
      <c r="G40" s="301">
        <v>10957408</v>
      </c>
      <c r="H40" s="301">
        <v>-10917669</v>
      </c>
      <c r="I40" s="301">
        <v>7959840</v>
      </c>
      <c r="J40" s="301"/>
      <c r="K40" s="301"/>
      <c r="L40" s="301"/>
      <c r="M40" s="301"/>
      <c r="N40" s="301"/>
      <c r="O40" s="301"/>
      <c r="P40" s="301"/>
      <c r="Q40" s="301"/>
      <c r="R40" s="301"/>
      <c r="S40" s="301"/>
      <c r="T40" s="301"/>
      <c r="U40" s="301"/>
      <c r="V40" s="301"/>
      <c r="W40" s="301"/>
    </row>
    <row r="41" spans="2:23" s="169" customFormat="1">
      <c r="B41" s="155">
        <v>60</v>
      </c>
      <c r="C41" s="58" t="s">
        <v>606</v>
      </c>
      <c r="D41" s="168"/>
      <c r="E41" s="301">
        <v>8141750</v>
      </c>
      <c r="F41" s="301">
        <v>13557055</v>
      </c>
      <c r="G41" s="301">
        <v>18446968</v>
      </c>
      <c r="H41" s="301">
        <v>29403688</v>
      </c>
      <c r="I41" s="301">
        <v>18352236</v>
      </c>
      <c r="J41" s="301"/>
      <c r="K41" s="301"/>
      <c r="L41" s="301"/>
      <c r="M41" s="301"/>
      <c r="N41" s="301"/>
      <c r="O41" s="301"/>
      <c r="P41" s="301"/>
      <c r="Q41" s="301"/>
      <c r="R41" s="301"/>
      <c r="S41" s="301"/>
      <c r="T41" s="301"/>
      <c r="U41" s="301"/>
      <c r="V41" s="301"/>
      <c r="W41" s="301"/>
    </row>
    <row r="42" spans="2:23" s="169" customFormat="1">
      <c r="B42" s="155">
        <v>61</v>
      </c>
      <c r="C42" s="58" t="s">
        <v>607</v>
      </c>
      <c r="D42" s="168"/>
      <c r="E42" s="301">
        <v>-7180</v>
      </c>
      <c r="F42" s="301">
        <v>-482</v>
      </c>
      <c r="G42" s="301">
        <v>-688</v>
      </c>
      <c r="H42" s="301">
        <v>-133783</v>
      </c>
      <c r="I42" s="301">
        <v>-98774</v>
      </c>
      <c r="J42" s="301"/>
      <c r="K42" s="301"/>
      <c r="L42" s="301"/>
      <c r="M42" s="301"/>
      <c r="N42" s="301"/>
      <c r="O42" s="301"/>
      <c r="P42" s="301"/>
      <c r="Q42" s="301"/>
      <c r="R42" s="301"/>
      <c r="S42" s="301"/>
      <c r="T42" s="301"/>
      <c r="U42" s="301"/>
      <c r="V42" s="301"/>
      <c r="W42" s="301"/>
    </row>
    <row r="43" spans="2:23" s="169" customFormat="1">
      <c r="B43" s="155">
        <v>70</v>
      </c>
      <c r="C43" s="58" t="s">
        <v>608</v>
      </c>
      <c r="D43" s="168"/>
      <c r="E43" s="301">
        <v>13557055</v>
      </c>
      <c r="F43" s="301">
        <v>18446969</v>
      </c>
      <c r="G43" s="301">
        <v>29403688</v>
      </c>
      <c r="H43" s="301">
        <v>18352236</v>
      </c>
      <c r="I43" s="301">
        <v>26213302</v>
      </c>
      <c r="J43" s="301"/>
      <c r="K43" s="301"/>
      <c r="L43" s="301"/>
      <c r="M43" s="301"/>
      <c r="N43" s="301"/>
      <c r="O43" s="301"/>
      <c r="P43" s="301"/>
      <c r="Q43" s="301"/>
      <c r="R43" s="301"/>
      <c r="S43" s="301"/>
      <c r="T43" s="301"/>
      <c r="U43" s="301"/>
      <c r="V43" s="301"/>
      <c r="W43" s="301"/>
    </row>
    <row r="46" spans="2:23" ht="26.25" customHeight="1" thickBot="1">
      <c r="B46" s="156" t="s">
        <v>609</v>
      </c>
      <c r="C46" s="170"/>
    </row>
    <row r="47" spans="2:23" ht="15.75" customHeight="1" thickTop="1">
      <c r="B47" s="157"/>
      <c r="C47" s="144" t="s">
        <v>561</v>
      </c>
    </row>
    <row r="48" spans="2:23">
      <c r="B48" s="152" t="s">
        <v>447</v>
      </c>
      <c r="C48" s="147" t="s">
        <v>610</v>
      </c>
    </row>
    <row r="49" spans="2:3">
      <c r="B49" s="152" t="s">
        <v>449</v>
      </c>
      <c r="C49" s="147" t="s">
        <v>611</v>
      </c>
    </row>
    <row r="50" spans="2:3">
      <c r="B50" s="153" t="s">
        <v>565</v>
      </c>
      <c r="C50" s="147" t="s">
        <v>612</v>
      </c>
    </row>
    <row r="51" spans="2:3">
      <c r="B51" s="153" t="s">
        <v>567</v>
      </c>
      <c r="C51" s="147" t="s">
        <v>613</v>
      </c>
    </row>
    <row r="52" spans="2:3">
      <c r="B52" s="153" t="s">
        <v>569</v>
      </c>
      <c r="C52" s="147" t="s">
        <v>614</v>
      </c>
    </row>
    <row r="53" spans="2:3">
      <c r="B53" s="153" t="s">
        <v>571</v>
      </c>
      <c r="C53" s="147" t="s">
        <v>615</v>
      </c>
    </row>
    <row r="54" spans="2:3">
      <c r="B54" s="153" t="s">
        <v>573</v>
      </c>
      <c r="C54" s="147" t="s">
        <v>616</v>
      </c>
    </row>
    <row r="55" spans="2:3">
      <c r="B55" s="159">
        <v>20</v>
      </c>
      <c r="C55" s="148" t="s">
        <v>587</v>
      </c>
    </row>
    <row r="56" spans="2:3">
      <c r="B56" s="158"/>
      <c r="C56" s="146"/>
    </row>
    <row r="57" spans="2:3">
      <c r="B57" s="158"/>
      <c r="C57" s="146" t="s">
        <v>588</v>
      </c>
    </row>
    <row r="58" spans="2:3">
      <c r="B58" s="158">
        <v>21</v>
      </c>
      <c r="C58" s="147" t="s">
        <v>589</v>
      </c>
    </row>
    <row r="59" spans="2:3">
      <c r="B59" s="158">
        <v>22</v>
      </c>
      <c r="C59" s="147" t="s">
        <v>590</v>
      </c>
    </row>
    <row r="60" spans="2:3">
      <c r="B60" s="158">
        <v>23</v>
      </c>
      <c r="C60" s="147" t="s">
        <v>591</v>
      </c>
    </row>
    <row r="61" spans="2:3">
      <c r="B61" s="158">
        <v>24</v>
      </c>
      <c r="C61" s="147" t="s">
        <v>592</v>
      </c>
    </row>
    <row r="62" spans="2:3">
      <c r="B62" s="158">
        <v>25</v>
      </c>
      <c r="C62" s="147" t="s">
        <v>593</v>
      </c>
    </row>
    <row r="63" spans="2:3">
      <c r="B63" s="158">
        <v>26</v>
      </c>
      <c r="C63" s="147" t="s">
        <v>594</v>
      </c>
    </row>
    <row r="64" spans="2:3">
      <c r="B64" s="158">
        <v>27</v>
      </c>
      <c r="C64" s="147" t="s">
        <v>595</v>
      </c>
    </row>
    <row r="65" spans="2:3">
      <c r="B65" s="159">
        <v>30</v>
      </c>
      <c r="C65" s="148" t="s">
        <v>596</v>
      </c>
    </row>
    <row r="66" spans="2:3">
      <c r="B66" s="158"/>
      <c r="C66" s="146"/>
    </row>
    <row r="67" spans="2:3">
      <c r="B67" s="158"/>
      <c r="C67" s="146" t="s">
        <v>597</v>
      </c>
    </row>
    <row r="68" spans="2:3">
      <c r="B68" s="158">
        <v>31</v>
      </c>
      <c r="C68" s="147" t="s">
        <v>617</v>
      </c>
    </row>
    <row r="69" spans="2:3" ht="28.5" customHeight="1">
      <c r="B69" s="158">
        <v>32</v>
      </c>
      <c r="C69" s="147" t="s">
        <v>618</v>
      </c>
    </row>
    <row r="70" spans="2:3">
      <c r="B70" s="158">
        <v>33</v>
      </c>
      <c r="C70" s="147" t="s">
        <v>619</v>
      </c>
    </row>
    <row r="71" spans="2:3">
      <c r="B71" s="158">
        <v>34</v>
      </c>
      <c r="C71" s="147" t="s">
        <v>620</v>
      </c>
    </row>
    <row r="72" spans="2:3">
      <c r="B72" s="158">
        <v>35</v>
      </c>
      <c r="C72" s="147" t="s">
        <v>621</v>
      </c>
    </row>
    <row r="73" spans="2:3">
      <c r="B73" s="158">
        <v>36</v>
      </c>
      <c r="C73" s="147" t="s">
        <v>603</v>
      </c>
    </row>
    <row r="74" spans="2:3">
      <c r="B74" s="159">
        <v>40</v>
      </c>
      <c r="C74" s="148" t="s">
        <v>604</v>
      </c>
    </row>
    <row r="75" spans="2:3">
      <c r="B75" s="160">
        <v>50</v>
      </c>
      <c r="C75" s="146" t="s">
        <v>622</v>
      </c>
    </row>
    <row r="76" spans="2:3">
      <c r="B76" s="160">
        <v>60</v>
      </c>
      <c r="C76" s="146" t="s">
        <v>606</v>
      </c>
    </row>
    <row r="77" spans="2:3">
      <c r="B77" s="158">
        <v>61</v>
      </c>
      <c r="C77" s="147" t="s">
        <v>607</v>
      </c>
    </row>
    <row r="78" spans="2:3" ht="15.75" customHeight="1" thickBot="1">
      <c r="B78" s="161">
        <v>70</v>
      </c>
      <c r="C78" s="145" t="s">
        <v>623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AL105"/>
  <sheetViews>
    <sheetView zoomScale="80" zoomScaleNormal="80" workbookViewId="0">
      <selection activeCell="G12" sqref="G12"/>
    </sheetView>
  </sheetViews>
  <sheetFormatPr defaultColWidth="8.6640625" defaultRowHeight="14.4"/>
  <cols>
    <col min="1" max="1" width="32.109375" style="162" customWidth="1"/>
    <col min="2" max="2" width="15.44140625" style="162" customWidth="1"/>
    <col min="3" max="3" width="11" style="162" customWidth="1"/>
    <col min="4" max="5" width="10.44140625" style="162" customWidth="1"/>
    <col min="6" max="6" width="12" style="162" bestFit="1" customWidth="1"/>
    <col min="7" max="9" width="12.44140625" style="162" bestFit="1" customWidth="1"/>
    <col min="10" max="13" width="12.33203125" style="162" bestFit="1" customWidth="1"/>
    <col min="14" max="14" width="11.33203125" style="162" customWidth="1"/>
    <col min="15" max="15" width="10.109375" style="162" customWidth="1"/>
    <col min="16" max="16" width="43.6640625" style="162" customWidth="1"/>
    <col min="17" max="17" width="8.6640625" style="162" customWidth="1"/>
    <col min="18" max="18" width="13.33203125" style="162" customWidth="1"/>
    <col min="19" max="20" width="12.109375" style="162" customWidth="1"/>
    <col min="21" max="21" width="11.33203125" style="162" bestFit="1" customWidth="1"/>
    <col min="22" max="22" width="11.6640625" style="162" bestFit="1" customWidth="1"/>
    <col min="23" max="23" width="11.88671875" style="162" bestFit="1" customWidth="1"/>
    <col min="24" max="24" width="13.109375" style="162" bestFit="1" customWidth="1"/>
    <col min="25" max="25" width="13.6640625" style="162" bestFit="1" customWidth="1"/>
    <col min="26" max="28" width="13.33203125" style="162" customWidth="1"/>
    <col min="30" max="30" width="13.109375" style="162" bestFit="1" customWidth="1"/>
  </cols>
  <sheetData>
    <row r="1" spans="1:30" ht="21.75" customHeight="1">
      <c r="A1" s="220" t="s">
        <v>120</v>
      </c>
      <c r="B1" s="220"/>
      <c r="D1" s="221">
        <v>2022</v>
      </c>
      <c r="E1" s="221">
        <v>2023</v>
      </c>
      <c r="F1" s="221">
        <v>2024</v>
      </c>
      <c r="G1" s="221">
        <v>2025</v>
      </c>
    </row>
    <row r="2" spans="1:30" ht="21.75" customHeight="1">
      <c r="A2" t="s">
        <v>121</v>
      </c>
      <c r="C2" s="96"/>
      <c r="D2" s="96">
        <v>0.16461188878387861</v>
      </c>
      <c r="E2" s="96">
        <v>0.19088938653448109</v>
      </c>
      <c r="F2" s="96">
        <v>0.20541357274745661</v>
      </c>
      <c r="G2" s="96">
        <v>0.19195965291527761</v>
      </c>
    </row>
    <row r="3" spans="1:30" ht="21.75" customHeight="1">
      <c r="A3" t="s">
        <v>122</v>
      </c>
      <c r="C3" s="96"/>
      <c r="D3" s="96">
        <v>0.12600083563777861</v>
      </c>
      <c r="E3" s="96">
        <v>0.1312276287753312</v>
      </c>
      <c r="F3" s="96">
        <v>0.14315187659833981</v>
      </c>
      <c r="G3" s="96">
        <v>0.15076010858098871</v>
      </c>
    </row>
    <row r="4" spans="1:30" ht="21.75" customHeight="1">
      <c r="A4" t="s">
        <v>123</v>
      </c>
      <c r="D4" s="222">
        <v>873458</v>
      </c>
      <c r="E4" s="222">
        <v>958677.94680707401</v>
      </c>
      <c r="F4" s="222">
        <v>1296893.7722773659</v>
      </c>
      <c r="G4" s="222">
        <v>1814838.4185436091</v>
      </c>
      <c r="H4" s="96"/>
    </row>
    <row r="5" spans="1:30" ht="21.75" customHeight="1">
      <c r="A5" t="s">
        <v>124</v>
      </c>
      <c r="C5" s="98">
        <v>0.5</v>
      </c>
      <c r="D5" s="96"/>
      <c r="E5" s="96"/>
      <c r="F5" s="96"/>
      <c r="G5" s="96"/>
      <c r="H5" s="96"/>
    </row>
    <row r="6" spans="1:30" ht="18" customHeight="1">
      <c r="A6" t="s">
        <v>125</v>
      </c>
      <c r="C6" s="99">
        <v>1422878</v>
      </c>
      <c r="D6" s="96"/>
      <c r="E6" s="96"/>
      <c r="F6" s="96"/>
      <c r="G6" s="96"/>
      <c r="H6" s="96"/>
    </row>
    <row r="7" spans="1:30" ht="21.75" customHeight="1">
      <c r="A7" s="16" t="s">
        <v>126</v>
      </c>
    </row>
    <row r="8" spans="1:30">
      <c r="A8" t="s">
        <v>127</v>
      </c>
      <c r="C8" s="98">
        <v>0</v>
      </c>
      <c r="I8" s="223"/>
      <c r="J8" s="223"/>
      <c r="O8" s="18"/>
      <c r="R8" s="222"/>
      <c r="S8" s="222"/>
      <c r="T8" s="222"/>
      <c r="U8" s="222"/>
      <c r="V8" s="222"/>
      <c r="W8" s="222"/>
      <c r="X8" s="222"/>
      <c r="Y8" s="222"/>
      <c r="Z8" s="222"/>
      <c r="AA8" s="222"/>
      <c r="AB8" s="222"/>
    </row>
    <row r="9" spans="1:30">
      <c r="A9" t="s">
        <v>128</v>
      </c>
      <c r="D9" s="224">
        <f>J31-D4</f>
        <v>-873458</v>
      </c>
      <c r="E9" s="224">
        <f>K31-E4</f>
        <v>0</v>
      </c>
      <c r="F9" s="224">
        <f>L31-F4</f>
        <v>2.7939677238464355E-9</v>
      </c>
      <c r="G9" s="224">
        <f>M31-G4</f>
        <v>-2.7939677238464355E-9</v>
      </c>
      <c r="I9" s="223"/>
      <c r="J9" s="223"/>
      <c r="O9" s="18"/>
      <c r="R9" s="222"/>
      <c r="S9" s="222"/>
      <c r="T9" s="222"/>
      <c r="U9" s="222"/>
      <c r="V9" s="222"/>
      <c r="W9" s="222"/>
      <c r="X9" s="222"/>
      <c r="Y9" s="222"/>
      <c r="Z9" s="222"/>
      <c r="AA9" s="222"/>
      <c r="AB9" s="222"/>
    </row>
    <row r="10" spans="1:30">
      <c r="I10" s="223"/>
      <c r="J10" s="223"/>
      <c r="O10" s="18"/>
      <c r="R10" s="222"/>
      <c r="S10" s="222"/>
      <c r="T10" s="222"/>
      <c r="U10" s="222"/>
      <c r="V10" s="222"/>
      <c r="W10" s="222"/>
      <c r="X10" s="222"/>
      <c r="Y10" s="222"/>
      <c r="Z10" s="222"/>
      <c r="AA10" s="222"/>
      <c r="AB10" s="222"/>
    </row>
    <row r="11" spans="1:30">
      <c r="A11" s="16" t="s">
        <v>129</v>
      </c>
    </row>
    <row r="12" spans="1:30" s="19" customFormat="1">
      <c r="A12" t="s">
        <v>130</v>
      </c>
      <c r="C12" s="225">
        <v>2202028.1324999998</v>
      </c>
    </row>
    <row r="13" spans="1:30">
      <c r="A13" t="s">
        <v>131</v>
      </c>
      <c r="C13" s="98">
        <v>0</v>
      </c>
      <c r="AD13" s="226"/>
    </row>
    <row r="14" spans="1:30" s="19" customFormat="1">
      <c r="A14" t="s">
        <v>132</v>
      </c>
      <c r="C14" s="100">
        <f>C12*(1-capital)</f>
        <v>2202028.1324999998</v>
      </c>
    </row>
    <row r="15" spans="1:30" s="19" customFormat="1" ht="13.2"/>
    <row r="16" spans="1:30">
      <c r="A16" s="220"/>
      <c r="B16" s="220"/>
    </row>
    <row r="17" spans="1:38" ht="23.25" customHeight="1">
      <c r="A17" s="227"/>
      <c r="B17" s="89"/>
      <c r="C17" s="228"/>
      <c r="D17" s="229"/>
      <c r="E17" s="229"/>
      <c r="F17" s="229"/>
      <c r="G17" s="223"/>
      <c r="H17" s="223"/>
      <c r="K17" t="s">
        <v>133</v>
      </c>
      <c r="L17" t="s">
        <v>133</v>
      </c>
      <c r="M17" t="s">
        <v>133</v>
      </c>
    </row>
    <row r="18" spans="1:38" s="19" customFormat="1" ht="13.8">
      <c r="A18" s="230" t="s">
        <v>4</v>
      </c>
      <c r="B18" s="230" t="s">
        <v>5</v>
      </c>
      <c r="C18" s="221">
        <f>D18-1</f>
        <v>2015</v>
      </c>
      <c r="D18" s="221">
        <f>E18-1</f>
        <v>2016</v>
      </c>
      <c r="E18" s="221">
        <v>2017</v>
      </c>
      <c r="F18" s="221">
        <v>2018</v>
      </c>
      <c r="G18" s="221">
        <v>2019</v>
      </c>
      <c r="H18" s="221">
        <v>2020</v>
      </c>
      <c r="I18" s="221">
        <v>2021</v>
      </c>
      <c r="J18" s="221">
        <v>2022</v>
      </c>
      <c r="K18" s="221">
        <v>2023</v>
      </c>
      <c r="L18" s="221">
        <v>2024</v>
      </c>
      <c r="M18" s="221">
        <v>2025</v>
      </c>
      <c r="N18" s="221"/>
      <c r="P18" s="230" t="s">
        <v>6</v>
      </c>
      <c r="Q18" s="230"/>
      <c r="R18" s="221">
        <f t="shared" ref="R18:AB18" si="0">C40</f>
        <v>2015</v>
      </c>
      <c r="S18" s="221">
        <f t="shared" si="0"/>
        <v>2016</v>
      </c>
      <c r="T18" s="221">
        <f t="shared" si="0"/>
        <v>2017</v>
      </c>
      <c r="U18" s="221">
        <f t="shared" si="0"/>
        <v>2018</v>
      </c>
      <c r="V18" s="221">
        <f t="shared" si="0"/>
        <v>2019</v>
      </c>
      <c r="W18" s="221">
        <f t="shared" si="0"/>
        <v>2020</v>
      </c>
      <c r="X18" s="221">
        <f t="shared" si="0"/>
        <v>2021</v>
      </c>
      <c r="Y18" s="221">
        <f t="shared" si="0"/>
        <v>2022</v>
      </c>
      <c r="Z18" s="221">
        <f t="shared" si="0"/>
        <v>2023</v>
      </c>
      <c r="AA18" s="221">
        <f t="shared" si="0"/>
        <v>2024</v>
      </c>
      <c r="AB18" s="221">
        <f t="shared" si="0"/>
        <v>2025</v>
      </c>
    </row>
    <row r="19" spans="1:38">
      <c r="A19" s="231" t="s">
        <v>7</v>
      </c>
      <c r="B19" s="231"/>
      <c r="C19" s="232"/>
      <c r="D19" s="232"/>
      <c r="E19" s="232"/>
      <c r="F19" s="232"/>
      <c r="G19" s="233"/>
      <c r="H19" s="233"/>
      <c r="I19" s="233"/>
      <c r="J19" s="233"/>
      <c r="K19" s="90"/>
      <c r="L19" s="90"/>
      <c r="M19" s="90"/>
      <c r="N19" s="90"/>
      <c r="P19" s="234" t="s">
        <v>8</v>
      </c>
      <c r="Q19" s="220"/>
      <c r="R19" s="235">
        <f t="shared" ref="R19:AB19" si="1">C38</f>
        <v>-45335</v>
      </c>
      <c r="S19" s="235">
        <f t="shared" si="1"/>
        <v>162019</v>
      </c>
      <c r="T19" s="235">
        <f t="shared" si="1"/>
        <v>0</v>
      </c>
      <c r="U19" s="235">
        <f t="shared" si="1"/>
        <v>0</v>
      </c>
      <c r="V19" s="235">
        <f t="shared" si="1"/>
        <v>0</v>
      </c>
      <c r="W19" s="235">
        <f t="shared" si="1"/>
        <v>0</v>
      </c>
      <c r="X19" s="235">
        <f t="shared" si="1"/>
        <v>0</v>
      </c>
      <c r="Y19" s="235">
        <f t="shared" si="1"/>
        <v>0</v>
      </c>
      <c r="Z19" s="235">
        <f t="shared" si="1"/>
        <v>2223504</v>
      </c>
      <c r="AA19" s="235">
        <f t="shared" si="1"/>
        <v>2940829.0000000037</v>
      </c>
      <c r="AB19" s="235">
        <f t="shared" si="1"/>
        <v>3386013.9999999963</v>
      </c>
    </row>
    <row r="20" spans="1:38" s="19" customFormat="1">
      <c r="A20" s="227" t="s">
        <v>9</v>
      </c>
      <c r="B20" s="227"/>
      <c r="C20" s="29">
        <f>PL!C7</f>
        <v>0</v>
      </c>
      <c r="D20" s="29">
        <f>PL!D7</f>
        <v>0</v>
      </c>
      <c r="E20" s="29">
        <f>PL!E7</f>
        <v>0</v>
      </c>
      <c r="F20" s="29">
        <f>PL!F7</f>
        <v>0</v>
      </c>
      <c r="G20" s="29">
        <f>PL!G7</f>
        <v>0</v>
      </c>
      <c r="H20" s="29">
        <f>PL!H7</f>
        <v>0</v>
      </c>
      <c r="I20" s="29">
        <f>PL!I7</f>
        <v>0</v>
      </c>
      <c r="J20" s="29">
        <f>PL!J7</f>
        <v>0</v>
      </c>
      <c r="K20" s="91">
        <f>22973150*(1-test)</f>
        <v>22973150</v>
      </c>
      <c r="L20" s="91">
        <f>28097515*(1-test)</f>
        <v>28097515</v>
      </c>
      <c r="M20" s="91">
        <f>30725084*(1-test)</f>
        <v>30725084</v>
      </c>
      <c r="N20" s="91"/>
      <c r="P20" s="236" t="s">
        <v>10</v>
      </c>
      <c r="Q20" s="237"/>
      <c r="R20" s="238"/>
      <c r="S20" s="238"/>
      <c r="T20" s="238"/>
      <c r="U20" s="238"/>
      <c r="V20" s="238"/>
      <c r="W20" s="238"/>
      <c r="X20" s="238"/>
      <c r="Y20" s="238"/>
    </row>
    <row r="21" spans="1:38">
      <c r="A21" s="227" t="s">
        <v>11</v>
      </c>
      <c r="B21" s="239"/>
      <c r="C21" s="240">
        <f>PL!C8</f>
        <v>0</v>
      </c>
      <c r="D21" s="240">
        <f>PL!D8</f>
        <v>0</v>
      </c>
      <c r="E21" s="240">
        <f>PL!E8</f>
        <v>0</v>
      </c>
      <c r="F21" s="240">
        <f>PL!F8</f>
        <v>0</v>
      </c>
      <c r="G21" s="240">
        <f>PL!G8</f>
        <v>0</v>
      </c>
      <c r="H21" s="240">
        <f>PL!H8</f>
        <v>0</v>
      </c>
      <c r="I21" s="240">
        <f>PL!I8</f>
        <v>0</v>
      </c>
      <c r="J21" s="240">
        <f>-J20*(1-D3)</f>
        <v>0</v>
      </c>
      <c r="K21" s="240">
        <f>-K20*(1-E3)</f>
        <v>-19958438</v>
      </c>
      <c r="L21" s="240">
        <f>-L20*(1-F3)</f>
        <v>-24075302.999999996</v>
      </c>
      <c r="M21" s="240">
        <f>-M20*(1-G3)</f>
        <v>-26092967.000000004</v>
      </c>
      <c r="N21" s="91"/>
      <c r="P21" s="227" t="s">
        <v>134</v>
      </c>
      <c r="Q21" s="19"/>
      <c r="R21" s="240">
        <f>CF.data!P18</f>
        <v>0</v>
      </c>
      <c r="S21" s="240">
        <f>CF.data!Q18</f>
        <v>0</v>
      </c>
      <c r="T21" s="240">
        <f>CF.data!R18</f>
        <v>0</v>
      </c>
      <c r="U21" s="240">
        <f>CF.data!S18</f>
        <v>0</v>
      </c>
      <c r="V21" s="240">
        <f>CF.data!T18</f>
        <v>0</v>
      </c>
      <c r="W21" s="240">
        <f>CF.data!U18</f>
        <v>0</v>
      </c>
      <c r="X21" s="240">
        <f>CF.data!V18</f>
        <v>0</v>
      </c>
      <c r="Y21" s="240">
        <f>CF.data!W18</f>
        <v>0</v>
      </c>
      <c r="Z21" s="222">
        <f>K27</f>
        <v>-860485</v>
      </c>
      <c r="AA21" s="222">
        <f>L27</f>
        <v>-1070855</v>
      </c>
      <c r="AB21" s="222">
        <f>M27</f>
        <v>-835939</v>
      </c>
    </row>
    <row r="22" spans="1:38" s="23" customFormat="1">
      <c r="A22" s="220" t="s">
        <v>13</v>
      </c>
      <c r="B22" s="220"/>
      <c r="C22" s="235">
        <f t="shared" ref="C22:M22" si="2">C20+C21</f>
        <v>0</v>
      </c>
      <c r="D22" s="235">
        <f t="shared" si="2"/>
        <v>0</v>
      </c>
      <c r="E22" s="235">
        <f t="shared" si="2"/>
        <v>0</v>
      </c>
      <c r="F22" s="235">
        <f t="shared" si="2"/>
        <v>0</v>
      </c>
      <c r="G22" s="235">
        <f t="shared" si="2"/>
        <v>0</v>
      </c>
      <c r="H22" s="235">
        <f t="shared" si="2"/>
        <v>0</v>
      </c>
      <c r="I22" s="235">
        <f t="shared" si="2"/>
        <v>0</v>
      </c>
      <c r="J22" s="235">
        <f t="shared" si="2"/>
        <v>0</v>
      </c>
      <c r="K22" s="235">
        <f t="shared" si="2"/>
        <v>3014712</v>
      </c>
      <c r="L22" s="235">
        <f t="shared" si="2"/>
        <v>4022212.0000000037</v>
      </c>
      <c r="M22" s="235">
        <f t="shared" si="2"/>
        <v>4632116.9999999963</v>
      </c>
      <c r="N22" s="92"/>
      <c r="O22" s="19"/>
      <c r="P22" s="241" t="s">
        <v>135</v>
      </c>
      <c r="R22" s="240">
        <f>CF.data!P19</f>
        <v>0</v>
      </c>
      <c r="S22" s="240">
        <f>CF.data!Q19</f>
        <v>0</v>
      </c>
      <c r="T22" s="240">
        <f>CF.data!R19</f>
        <v>0</v>
      </c>
      <c r="U22" s="240">
        <f>CF.data!S19</f>
        <v>0</v>
      </c>
      <c r="V22" s="240">
        <f>CF.data!T19</f>
        <v>0</v>
      </c>
      <c r="W22" s="240">
        <f>CF.data!U19</f>
        <v>0</v>
      </c>
      <c r="X22" s="240">
        <f>CF.data!V19</f>
        <v>0</v>
      </c>
      <c r="Y22" s="240">
        <f>CF.data!W19</f>
        <v>0</v>
      </c>
      <c r="Z22" s="240">
        <f>K30</f>
        <v>-226176.05319292605</v>
      </c>
      <c r="AA22" s="240">
        <f>L30</f>
        <v>-335268.22772263503</v>
      </c>
      <c r="AB22" s="240">
        <f>M30</f>
        <v>-431136.58145638992</v>
      </c>
      <c r="AC22" s="19"/>
    </row>
    <row r="23" spans="1:38" s="23" customFormat="1">
      <c r="A23" s="227" t="s">
        <v>15</v>
      </c>
      <c r="B23" s="239"/>
      <c r="C23" s="240">
        <f>PL!C14+PL!C15</f>
        <v>-133909</v>
      </c>
      <c r="D23" s="240">
        <f>PL!D14+PL!D15</f>
        <v>0</v>
      </c>
      <c r="E23" s="240">
        <f>PL!E14+PL!E15</f>
        <v>0</v>
      </c>
      <c r="F23" s="240">
        <f>PL!F14+PL!F15</f>
        <v>0</v>
      </c>
      <c r="G23" s="240">
        <f>PL!G14+PL!G15</f>
        <v>0</v>
      </c>
      <c r="H23" s="240">
        <f>PL!H14+PL!H15</f>
        <v>0</v>
      </c>
      <c r="I23" s="240">
        <f>PL!I14+PL!I15</f>
        <v>0</v>
      </c>
      <c r="J23" s="240">
        <f>PL!J14+PL!J15</f>
        <v>0</v>
      </c>
      <c r="K23" s="91">
        <v>-1501675</v>
      </c>
      <c r="L23" s="91">
        <v>-1862644</v>
      </c>
      <c r="M23" s="91">
        <v>-2105001</v>
      </c>
      <c r="N23" s="91"/>
      <c r="O23" s="242"/>
      <c r="P23" s="21" t="s">
        <v>136</v>
      </c>
      <c r="Q23" s="19"/>
      <c r="R23" s="235">
        <f t="shared" ref="R23:AB23" si="3">SUM(R19:R22)</f>
        <v>-45335</v>
      </c>
      <c r="S23" s="235">
        <f t="shared" si="3"/>
        <v>162019</v>
      </c>
      <c r="T23" s="235">
        <f t="shared" si="3"/>
        <v>0</v>
      </c>
      <c r="U23" s="235">
        <f t="shared" si="3"/>
        <v>0</v>
      </c>
      <c r="V23" s="235">
        <f t="shared" si="3"/>
        <v>0</v>
      </c>
      <c r="W23" s="235">
        <f t="shared" si="3"/>
        <v>0</v>
      </c>
      <c r="X23" s="235">
        <f t="shared" si="3"/>
        <v>0</v>
      </c>
      <c r="Y23" s="235">
        <f t="shared" si="3"/>
        <v>0</v>
      </c>
      <c r="Z23" s="235">
        <f t="shared" si="3"/>
        <v>1136842.9468070739</v>
      </c>
      <c r="AA23" s="235">
        <f t="shared" si="3"/>
        <v>1534705.7722773687</v>
      </c>
      <c r="AB23" s="235">
        <f t="shared" si="3"/>
        <v>2118938.4185436065</v>
      </c>
    </row>
    <row r="24" spans="1:38" s="23" customFormat="1">
      <c r="A24" s="22" t="s">
        <v>17</v>
      </c>
      <c r="B24" s="19"/>
      <c r="C24" s="240"/>
      <c r="D24" s="240"/>
      <c r="E24" s="240"/>
      <c r="F24" s="240"/>
      <c r="G24" s="240"/>
      <c r="H24" s="240"/>
      <c r="I24" s="240"/>
      <c r="J24" s="240"/>
      <c r="K24" s="90" t="s">
        <v>137</v>
      </c>
      <c r="L24" s="90" t="s">
        <v>138</v>
      </c>
      <c r="M24" s="90" t="s">
        <v>138</v>
      </c>
      <c r="N24" s="90"/>
      <c r="O24" s="19"/>
      <c r="P24" s="236" t="s">
        <v>20</v>
      </c>
      <c r="Q24" s="241"/>
      <c r="R24" s="240">
        <f>SUM(CF.data!P13:P21)-CF.data!P19-CF.data!P18-CF.data!P17</f>
        <v>0</v>
      </c>
      <c r="S24" s="240">
        <f>SUM(CF.data!Q13:Q21)-CF.data!Q19-CF.data!Q18-CF.data!Q17</f>
        <v>0</v>
      </c>
      <c r="T24" s="240">
        <f>SUM(CF.data!R13:R21)-CF.data!R19-CF.data!R18-CF.data!R17</f>
        <v>0</v>
      </c>
      <c r="U24" s="240">
        <f>SUM(CF.data!S13:S21)-CF.data!S19-CF.data!S18-CF.data!S17</f>
        <v>0</v>
      </c>
      <c r="V24" s="240">
        <f>SUM(CF.data!T13:T21)-CF.data!T19-CF.data!T18-CF.data!T17</f>
        <v>0</v>
      </c>
      <c r="W24" s="240">
        <f>SUM(CF.data!U13:U21)-CF.data!U19-CF.data!U18-CF.data!U17</f>
        <v>0</v>
      </c>
      <c r="X24" s="240">
        <f>SUM(CF.data!V13:V21)-CF.data!V19-CF.data!V18-CF.data!V17</f>
        <v>0</v>
      </c>
      <c r="Y24" s="240">
        <f>SUM(CF.data!W13:W21)-CF.data!W19-CF.data!W18-CF.data!W17</f>
        <v>0</v>
      </c>
      <c r="Z24" s="222">
        <v>734412</v>
      </c>
      <c r="AA24" s="222">
        <v>-184774</v>
      </c>
      <c r="AB24" s="222">
        <v>-445309</v>
      </c>
      <c r="AC24" s="19"/>
      <c r="AD24" s="243"/>
    </row>
    <row r="25" spans="1:38" s="23" customFormat="1">
      <c r="A25" s="220" t="s">
        <v>19</v>
      </c>
      <c r="B25" s="220"/>
      <c r="C25" s="235">
        <f t="shared" ref="C25:M25" si="4">SUM(C22:C24)</f>
        <v>-133909</v>
      </c>
      <c r="D25" s="235">
        <f t="shared" si="4"/>
        <v>0</v>
      </c>
      <c r="E25" s="235">
        <f t="shared" si="4"/>
        <v>0</v>
      </c>
      <c r="F25" s="235">
        <f t="shared" si="4"/>
        <v>0</v>
      </c>
      <c r="G25" s="235">
        <f t="shared" si="4"/>
        <v>0</v>
      </c>
      <c r="H25" s="235">
        <f t="shared" si="4"/>
        <v>0</v>
      </c>
      <c r="I25" s="235">
        <f t="shared" si="4"/>
        <v>0</v>
      </c>
      <c r="J25" s="235">
        <f t="shared" si="4"/>
        <v>0</v>
      </c>
      <c r="K25" s="235">
        <f t="shared" si="4"/>
        <v>1513037</v>
      </c>
      <c r="L25" s="235">
        <f t="shared" si="4"/>
        <v>2159568.0000000037</v>
      </c>
      <c r="M25" s="235">
        <f t="shared" si="4"/>
        <v>2527115.9999999963</v>
      </c>
      <c r="N25" s="92"/>
      <c r="O25" s="242"/>
      <c r="P25" s="244" t="s">
        <v>139</v>
      </c>
      <c r="Q25" s="244"/>
      <c r="R25" s="245">
        <f t="shared" ref="R25:AB25" si="5">R23+R24</f>
        <v>-45335</v>
      </c>
      <c r="S25" s="245">
        <f t="shared" si="5"/>
        <v>162019</v>
      </c>
      <c r="T25" s="245">
        <f t="shared" si="5"/>
        <v>0</v>
      </c>
      <c r="U25" s="245">
        <f t="shared" si="5"/>
        <v>0</v>
      </c>
      <c r="V25" s="245">
        <f t="shared" si="5"/>
        <v>0</v>
      </c>
      <c r="W25" s="245">
        <f t="shared" si="5"/>
        <v>0</v>
      </c>
      <c r="X25" s="245">
        <f t="shared" si="5"/>
        <v>0</v>
      </c>
      <c r="Y25" s="245">
        <f t="shared" si="5"/>
        <v>0</v>
      </c>
      <c r="Z25" s="245">
        <f t="shared" si="5"/>
        <v>1871254.9468070739</v>
      </c>
      <c r="AA25" s="245">
        <f t="shared" si="5"/>
        <v>1349931.7722773687</v>
      </c>
      <c r="AB25" s="245">
        <f t="shared" si="5"/>
        <v>1673629.4185436065</v>
      </c>
    </row>
    <row r="26" spans="1:38" s="24" customFormat="1">
      <c r="A26" s="227" t="s">
        <v>21</v>
      </c>
      <c r="B26" s="220"/>
      <c r="C26" s="240">
        <f>PL!C19+PL!C13</f>
        <v>68031</v>
      </c>
      <c r="D26" s="240">
        <f>PL!D19+PL!D13</f>
        <v>0</v>
      </c>
      <c r="E26" s="240">
        <f>PL!E19+PL!E13</f>
        <v>0</v>
      </c>
      <c r="F26" s="240">
        <f>PL!F19+PL!F13</f>
        <v>0</v>
      </c>
      <c r="G26" s="240">
        <f>PL!G19+PL!G13</f>
        <v>0</v>
      </c>
      <c r="H26" s="240">
        <f>PL!H19+PL!H13</f>
        <v>0</v>
      </c>
      <c r="I26" s="240">
        <f>PL!I19+PL!I13</f>
        <v>0</v>
      </c>
      <c r="J26" s="240">
        <f>PL!J19+PL!J13</f>
        <v>0</v>
      </c>
      <c r="K26" s="90" t="s">
        <v>138</v>
      </c>
      <c r="L26" s="90" t="s">
        <v>138</v>
      </c>
      <c r="M26" s="90" t="s">
        <v>138</v>
      </c>
      <c r="N26" s="90"/>
      <c r="P26" s="227" t="s">
        <v>140</v>
      </c>
      <c r="R26" s="243">
        <v>-4687</v>
      </c>
      <c r="S26" s="243">
        <v>-147495</v>
      </c>
      <c r="T26" s="243">
        <v>549</v>
      </c>
      <c r="U26" s="243">
        <v>49884</v>
      </c>
      <c r="V26" s="243">
        <v>-52440</v>
      </c>
      <c r="W26" s="243">
        <v>28688</v>
      </c>
      <c r="X26" s="243">
        <v>260087</v>
      </c>
      <c r="Y26" s="243">
        <v>479609</v>
      </c>
      <c r="Z26" s="243">
        <v>-33492</v>
      </c>
      <c r="AA26" s="243">
        <v>30042</v>
      </c>
      <c r="AB26" s="243">
        <v>29711</v>
      </c>
      <c r="AE26" s="246"/>
      <c r="AF26" s="246"/>
      <c r="AG26" s="246"/>
      <c r="AH26" s="246"/>
      <c r="AI26" s="246"/>
      <c r="AJ26" s="246"/>
      <c r="AK26" s="246"/>
      <c r="AL26" s="246"/>
    </row>
    <row r="27" spans="1:38">
      <c r="A27" s="241" t="s">
        <v>23</v>
      </c>
      <c r="B27" s="239"/>
      <c r="C27" s="240">
        <f>PL!C12</f>
        <v>-80245</v>
      </c>
      <c r="D27" s="240">
        <f>PL!D12</f>
        <v>0</v>
      </c>
      <c r="E27" s="240">
        <f>PL!E12</f>
        <v>0</v>
      </c>
      <c r="F27" s="240">
        <f>PL!F12</f>
        <v>0</v>
      </c>
      <c r="G27" s="240">
        <f>PL!G12</f>
        <v>0</v>
      </c>
      <c r="H27" s="240">
        <f>PL!H12</f>
        <v>0</v>
      </c>
      <c r="I27" s="240">
        <f>PL!I12</f>
        <v>0</v>
      </c>
      <c r="J27" s="240">
        <f>PL!J12</f>
        <v>0</v>
      </c>
      <c r="K27" s="240">
        <v>-860485</v>
      </c>
      <c r="L27" s="240">
        <v>-1070855</v>
      </c>
      <c r="M27" s="240">
        <v>-835939</v>
      </c>
      <c r="N27" s="240"/>
      <c r="P27" s="227" t="s">
        <v>24</v>
      </c>
      <c r="Q27" s="239"/>
      <c r="R27" s="240">
        <f>CF.data!P24</f>
        <v>0</v>
      </c>
      <c r="S27" s="240">
        <f>CF.data!Q24</f>
        <v>0</v>
      </c>
      <c r="T27" s="240">
        <f>CF.data!R24</f>
        <v>0</v>
      </c>
      <c r="U27" s="240">
        <f>CF.data!S24</f>
        <v>0</v>
      </c>
      <c r="V27" s="240">
        <f>CF.data!T24</f>
        <v>0</v>
      </c>
      <c r="W27" s="240">
        <f>CF.data!U24</f>
        <v>0</v>
      </c>
      <c r="X27" s="240">
        <f>CF.data!V24</f>
        <v>0</v>
      </c>
      <c r="Y27" s="240">
        <f>CF.data!W24</f>
        <v>0</v>
      </c>
      <c r="Z27" s="240">
        <v>-3678740</v>
      </c>
      <c r="AA27" s="240">
        <v>-2035790</v>
      </c>
      <c r="AB27" s="240">
        <v>-486594</v>
      </c>
    </row>
    <row r="28" spans="1:38">
      <c r="A28" s="227" t="s">
        <v>25</v>
      </c>
      <c r="B28" s="241"/>
      <c r="C28" s="240">
        <f>PL!C10+PL!C11-PL!C12</f>
        <v>11975</v>
      </c>
      <c r="D28" s="240">
        <f>PL!D10+PL!D11-PL!D12</f>
        <v>-216333</v>
      </c>
      <c r="E28" s="240">
        <f>PL!E10+PL!E11-PL!E12</f>
        <v>0</v>
      </c>
      <c r="F28" s="240">
        <f>PL!F10+PL!F11-PL!F12</f>
        <v>0</v>
      </c>
      <c r="G28" s="240">
        <f>PL!G10+PL!G11-PL!G12</f>
        <v>0</v>
      </c>
      <c r="H28" s="240">
        <f>PL!H10+PL!H11-PL!H12</f>
        <v>0</v>
      </c>
      <c r="I28" s="240">
        <f>PL!I10+PL!I11-PL!I12</f>
        <v>0</v>
      </c>
      <c r="J28" s="240">
        <f>PL!J10+PL!J11-PL!J12</f>
        <v>0</v>
      </c>
      <c r="K28" s="91">
        <f>-328183-K27</f>
        <v>532302</v>
      </c>
      <c r="L28" s="91">
        <f>-527406-L27</f>
        <v>543449</v>
      </c>
      <c r="M28" s="91">
        <f>-281141-M27</f>
        <v>554798</v>
      </c>
      <c r="N28" s="91"/>
      <c r="O28" s="19"/>
      <c r="P28" s="227" t="s">
        <v>33</v>
      </c>
      <c r="Q28" s="220"/>
      <c r="R28" s="240">
        <f>CF.data!P25</f>
        <v>0</v>
      </c>
      <c r="S28" s="240">
        <f>CF.data!Q25</f>
        <v>0</v>
      </c>
      <c r="T28" s="240">
        <f>CF.data!R25</f>
        <v>0</v>
      </c>
      <c r="U28" s="240">
        <f>CF.data!S25</f>
        <v>0</v>
      </c>
      <c r="V28" s="240">
        <f>CF.data!T25</f>
        <v>0</v>
      </c>
      <c r="W28" s="240">
        <f>CF.data!U25</f>
        <v>0</v>
      </c>
      <c r="X28" s="240">
        <f>CF.data!V25</f>
        <v>0</v>
      </c>
      <c r="Y28" s="240">
        <f>CF.data!W25</f>
        <v>0</v>
      </c>
      <c r="Z28" s="240"/>
      <c r="AA28" s="240"/>
      <c r="AB28" s="240"/>
      <c r="AC28" s="19"/>
    </row>
    <row r="29" spans="1:38">
      <c r="A29" s="220" t="s">
        <v>27</v>
      </c>
      <c r="B29" s="220"/>
      <c r="C29" s="235">
        <f t="shared" ref="C29:M29" si="6">SUM(C25:C28)</f>
        <v>-134148</v>
      </c>
      <c r="D29" s="235">
        <f t="shared" si="6"/>
        <v>-216333</v>
      </c>
      <c r="E29" s="235">
        <f t="shared" si="6"/>
        <v>0</v>
      </c>
      <c r="F29" s="235">
        <f t="shared" si="6"/>
        <v>0</v>
      </c>
      <c r="G29" s="235">
        <f t="shared" si="6"/>
        <v>0</v>
      </c>
      <c r="H29" s="235">
        <f t="shared" si="6"/>
        <v>0</v>
      </c>
      <c r="I29" s="235">
        <f t="shared" si="6"/>
        <v>0</v>
      </c>
      <c r="J29" s="235">
        <f t="shared" si="6"/>
        <v>0</v>
      </c>
      <c r="K29" s="235">
        <f t="shared" si="6"/>
        <v>1184854</v>
      </c>
      <c r="L29" s="235">
        <f t="shared" si="6"/>
        <v>1632162.0000000037</v>
      </c>
      <c r="M29" s="235">
        <f t="shared" si="6"/>
        <v>2245974.9999999963</v>
      </c>
      <c r="N29" s="235"/>
      <c r="P29" s="227" t="s">
        <v>28</v>
      </c>
      <c r="Q29" s="227"/>
      <c r="R29" s="240">
        <f>CF.data!P30</f>
        <v>0</v>
      </c>
      <c r="S29" s="240">
        <f>CF.data!Q30</f>
        <v>0</v>
      </c>
      <c r="T29" s="240">
        <f>CF.data!R30</f>
        <v>0</v>
      </c>
      <c r="U29" s="240">
        <f>CF.data!S30</f>
        <v>0</v>
      </c>
      <c r="V29" s="240">
        <f>CF.data!T30</f>
        <v>0</v>
      </c>
      <c r="W29" s="240">
        <f>CF.data!U30</f>
        <v>0</v>
      </c>
      <c r="X29" s="240">
        <f>CF.data!V30</f>
        <v>0</v>
      </c>
      <c r="Y29" s="240">
        <f>CF.data!W30</f>
        <v>0</v>
      </c>
      <c r="Z29" s="240">
        <v>502001</v>
      </c>
      <c r="AA29" s="240">
        <v>513150</v>
      </c>
      <c r="AB29" s="240">
        <v>524594</v>
      </c>
    </row>
    <row r="30" spans="1:38">
      <c r="A30" s="241" t="s">
        <v>29</v>
      </c>
      <c r="B30" s="239"/>
      <c r="C30" s="240">
        <f>PL!C21+PL!C22</f>
        <v>-19333</v>
      </c>
      <c r="D30" s="240">
        <f>PL!D21+PL!D22</f>
        <v>0</v>
      </c>
      <c r="E30" s="240">
        <f>PL!E21+PL!E22</f>
        <v>0</v>
      </c>
      <c r="F30" s="240">
        <f>PL!F21+PL!F22</f>
        <v>0</v>
      </c>
      <c r="G30" s="240">
        <f>PL!G21+PL!G22</f>
        <v>0</v>
      </c>
      <c r="H30" s="240">
        <f>PL!H21+PL!H22</f>
        <v>0</v>
      </c>
      <c r="I30" s="240">
        <f>PL!I21+PL!I22</f>
        <v>0</v>
      </c>
      <c r="J30" s="240">
        <f>PL!J21+PL!J22</f>
        <v>0</v>
      </c>
      <c r="K30" s="91">
        <f>-K29*E2</f>
        <v>-226176.05319292605</v>
      </c>
      <c r="L30" s="91">
        <f>-L29*F2</f>
        <v>-335268.22772263503</v>
      </c>
      <c r="M30" s="91">
        <f>-M29*G2</f>
        <v>-431136.58145638992</v>
      </c>
      <c r="N30" s="91"/>
      <c r="O30" s="19"/>
      <c r="P30" s="227" t="s">
        <v>141</v>
      </c>
      <c r="Q30" s="23"/>
      <c r="R30" s="240">
        <f>SUM(CF.data!P26:P29)+CF.data!P17</f>
        <v>0</v>
      </c>
      <c r="S30" s="240">
        <f>SUM(CF.data!Q26:Q29)+CF.data!Q17</f>
        <v>0</v>
      </c>
      <c r="T30" s="240">
        <f>SUM(CF.data!R26:R29)+CF.data!R17</f>
        <v>0</v>
      </c>
      <c r="U30" s="240">
        <f>SUM(CF.data!S26:S29)+CF.data!S17</f>
        <v>0</v>
      </c>
      <c r="V30" s="240">
        <f>SUM(CF.data!T26:T29)+CF.data!T17</f>
        <v>0</v>
      </c>
      <c r="W30" s="240">
        <f>SUM(CF.data!U26:U29)+CF.data!U17</f>
        <v>0</v>
      </c>
      <c r="X30" s="240">
        <f>SUM(CF.data!V26:V29)+CF.data!V17</f>
        <v>0</v>
      </c>
      <c r="Y30" s="240">
        <f>SUM(CF.data!W26:W29)+CF.data!W17</f>
        <v>0</v>
      </c>
      <c r="Z30" s="240"/>
      <c r="AA30" s="240"/>
      <c r="AB30" s="240"/>
      <c r="AC30" s="19"/>
    </row>
    <row r="31" spans="1:38">
      <c r="A31" s="220" t="s">
        <v>31</v>
      </c>
      <c r="B31" s="220"/>
      <c r="C31" s="235">
        <f t="shared" ref="C31:M31" si="7">C29+C30</f>
        <v>-153481</v>
      </c>
      <c r="D31" s="235">
        <f t="shared" si="7"/>
        <v>-216333</v>
      </c>
      <c r="E31" s="235">
        <f t="shared" si="7"/>
        <v>0</v>
      </c>
      <c r="F31" s="235">
        <f t="shared" si="7"/>
        <v>0</v>
      </c>
      <c r="G31" s="235">
        <f t="shared" si="7"/>
        <v>0</v>
      </c>
      <c r="H31" s="235">
        <f t="shared" si="7"/>
        <v>0</v>
      </c>
      <c r="I31" s="235">
        <f t="shared" si="7"/>
        <v>0</v>
      </c>
      <c r="J31" s="235">
        <f t="shared" si="7"/>
        <v>0</v>
      </c>
      <c r="K31" s="235">
        <f t="shared" si="7"/>
        <v>958677.94680707389</v>
      </c>
      <c r="L31" s="235">
        <f t="shared" si="7"/>
        <v>1296893.7722773687</v>
      </c>
      <c r="M31" s="235">
        <f t="shared" si="7"/>
        <v>1814838.4185436063</v>
      </c>
      <c r="N31" s="235"/>
      <c r="P31" s="244" t="s">
        <v>142</v>
      </c>
      <c r="Q31" s="244"/>
      <c r="R31" s="247">
        <f t="shared" ref="R31:AB31" si="8">SUM(R25:R30)</f>
        <v>-50022</v>
      </c>
      <c r="S31" s="247">
        <f t="shared" si="8"/>
        <v>14524</v>
      </c>
      <c r="T31" s="247">
        <f t="shared" si="8"/>
        <v>549</v>
      </c>
      <c r="U31" s="247">
        <f t="shared" si="8"/>
        <v>49884</v>
      </c>
      <c r="V31" s="247">
        <f t="shared" si="8"/>
        <v>-52440</v>
      </c>
      <c r="W31" s="247">
        <f t="shared" si="8"/>
        <v>28688</v>
      </c>
      <c r="X31" s="247">
        <f t="shared" si="8"/>
        <v>260087</v>
      </c>
      <c r="Y31" s="247">
        <f t="shared" si="8"/>
        <v>479609</v>
      </c>
      <c r="Z31" s="247">
        <f t="shared" si="8"/>
        <v>-1338976.0531929261</v>
      </c>
      <c r="AA31" s="247">
        <f t="shared" si="8"/>
        <v>-142666.2277226313</v>
      </c>
      <c r="AB31" s="247">
        <f t="shared" si="8"/>
        <v>1741340.4185436065</v>
      </c>
    </row>
    <row r="32" spans="1:38">
      <c r="A32" s="220"/>
      <c r="B32" s="220"/>
      <c r="C32" s="27"/>
      <c r="D32" s="27"/>
      <c r="E32" s="27"/>
      <c r="F32" s="27"/>
      <c r="G32" s="27"/>
      <c r="H32" s="27"/>
      <c r="I32" s="27"/>
      <c r="J32" s="27"/>
      <c r="K32" s="90"/>
      <c r="L32" s="90"/>
      <c r="M32" s="90"/>
      <c r="N32" s="90"/>
      <c r="O32" s="23"/>
      <c r="P32" s="241" t="s">
        <v>30</v>
      </c>
      <c r="Q32" s="239"/>
      <c r="R32" s="240">
        <f>CF.data!P38</f>
        <v>0</v>
      </c>
      <c r="S32" s="240">
        <f>CF.data!Q38</f>
        <v>0</v>
      </c>
      <c r="T32" s="240">
        <f>CF.data!R38</f>
        <v>0</v>
      </c>
      <c r="U32" s="240">
        <f>CF.data!S38</f>
        <v>0</v>
      </c>
      <c r="V32" s="240">
        <f>CF.data!T38</f>
        <v>0</v>
      </c>
      <c r="W32" s="240">
        <f>CF.data!U38</f>
        <v>0</v>
      </c>
      <c r="X32" s="240">
        <f>CF.data!V38</f>
        <v>0</v>
      </c>
      <c r="Y32" s="240">
        <f>CF.data!W38</f>
        <v>0</v>
      </c>
      <c r="Z32" s="240">
        <v>-62241</v>
      </c>
      <c r="AA32" s="240">
        <v>-46680</v>
      </c>
      <c r="AB32" s="240">
        <v>-31120</v>
      </c>
      <c r="AC32" s="23"/>
    </row>
    <row r="33" spans="1:30">
      <c r="A33" s="248" t="s">
        <v>34</v>
      </c>
      <c r="B33" s="23"/>
      <c r="C33" s="240"/>
      <c r="D33" s="240"/>
      <c r="E33" s="240"/>
      <c r="F33" s="240"/>
      <c r="G33" s="240"/>
      <c r="H33" s="240"/>
      <c r="I33" s="240"/>
      <c r="J33" s="240"/>
      <c r="K33" s="90"/>
      <c r="L33" s="90"/>
      <c r="M33" s="90"/>
      <c r="N33" s="90"/>
      <c r="O33" s="23"/>
      <c r="P33" s="241" t="s">
        <v>143</v>
      </c>
      <c r="Q33" s="241"/>
      <c r="R33" s="240">
        <f>SUM(CF.data!P35:P37)</f>
        <v>0</v>
      </c>
      <c r="S33" s="240">
        <f>SUM(CF.data!Q35:Q37)</f>
        <v>0</v>
      </c>
      <c r="T33" s="240">
        <f>SUM(CF.data!R35:R37)</f>
        <v>0</v>
      </c>
      <c r="U33" s="240">
        <f>SUM(CF.data!S35:S37)</f>
        <v>0</v>
      </c>
      <c r="V33" s="240">
        <f>SUM(CF.data!T35:T37)</f>
        <v>0</v>
      </c>
      <c r="W33" s="240">
        <f>SUM(CF.data!U35:U37)</f>
        <v>0</v>
      </c>
      <c r="X33" s="240">
        <f>SUM(CF.data!V35:V37)</f>
        <v>0</v>
      </c>
      <c r="Y33" s="240">
        <f>SUM(CF.data!W35:W37)</f>
        <v>0</v>
      </c>
      <c r="Z33" s="240">
        <v>-897512</v>
      </c>
      <c r="AA33" s="240">
        <v>922695</v>
      </c>
      <c r="AB33" s="240">
        <v>-1741912</v>
      </c>
      <c r="AC33" s="23"/>
    </row>
    <row r="34" spans="1:30">
      <c r="A34" s="239" t="s">
        <v>36</v>
      </c>
      <c r="B34" s="239"/>
      <c r="C34" s="249">
        <f>CF!C7</f>
        <v>88574</v>
      </c>
      <c r="D34" s="249">
        <f>CF!D7</f>
        <v>162019</v>
      </c>
      <c r="E34" s="249">
        <f>CF!E7</f>
        <v>0</v>
      </c>
      <c r="F34" s="249">
        <f>CF!F7</f>
        <v>0</v>
      </c>
      <c r="G34" s="249">
        <f>CF!G7</f>
        <v>0</v>
      </c>
      <c r="H34" s="249">
        <f>CF!H7</f>
        <v>0</v>
      </c>
      <c r="I34" s="249">
        <f>CF!I7</f>
        <v>0</v>
      </c>
      <c r="J34" s="249">
        <f>CF!J7</f>
        <v>0</v>
      </c>
      <c r="K34" s="91">
        <v>710467</v>
      </c>
      <c r="L34" s="91">
        <v>781261</v>
      </c>
      <c r="M34" s="91">
        <v>858898</v>
      </c>
      <c r="N34" s="91"/>
      <c r="O34" s="23"/>
      <c r="P34" s="241" t="s">
        <v>144</v>
      </c>
      <c r="Q34" s="241"/>
      <c r="R34" s="240">
        <f>SUM(CF.data!P33:P34)</f>
        <v>0</v>
      </c>
      <c r="S34" s="240">
        <f>SUM(CF.data!Q33:Q34)</f>
        <v>0</v>
      </c>
      <c r="T34" s="240">
        <f>SUM(CF.data!R33:R34)</f>
        <v>0</v>
      </c>
      <c r="U34" s="240">
        <f>SUM(CF.data!S33:S34)</f>
        <v>0</v>
      </c>
      <c r="V34" s="240">
        <f>SUM(CF.data!T33:T34)</f>
        <v>0</v>
      </c>
      <c r="W34" s="240">
        <f>SUM(CF.data!U33:U34)</f>
        <v>0</v>
      </c>
      <c r="X34" s="240">
        <f>SUM(CF.data!V33:V34)</f>
        <v>0</v>
      </c>
      <c r="Y34" s="240">
        <f>SUM(CF.data!W33:W34)</f>
        <v>0</v>
      </c>
      <c r="Z34" s="240">
        <f>2072360-C14</f>
        <v>-129668.13249999983</v>
      </c>
      <c r="AA34" s="240">
        <v>-129668</v>
      </c>
      <c r="AB34" s="240">
        <v>-129668</v>
      </c>
      <c r="AC34" s="23"/>
    </row>
    <row r="35" spans="1:30">
      <c r="A35" s="23" t="s">
        <v>38</v>
      </c>
      <c r="B35" s="23"/>
      <c r="C35" s="249"/>
      <c r="D35" s="249"/>
      <c r="E35" s="249"/>
      <c r="F35" s="249"/>
      <c r="G35" s="249"/>
      <c r="H35" s="249"/>
      <c r="I35" s="249"/>
      <c r="J35" s="249"/>
      <c r="K35" s="90"/>
      <c r="L35" s="90"/>
      <c r="M35" s="90"/>
      <c r="N35" s="90"/>
      <c r="O35" s="23"/>
      <c r="P35" s="244" t="s">
        <v>43</v>
      </c>
      <c r="Q35" s="244"/>
      <c r="R35" s="245">
        <f t="shared" ref="R35:AB35" si="9">SUM(R31:R34)</f>
        <v>-50022</v>
      </c>
      <c r="S35" s="245">
        <f t="shared" si="9"/>
        <v>14524</v>
      </c>
      <c r="T35" s="245">
        <f t="shared" si="9"/>
        <v>549</v>
      </c>
      <c r="U35" s="245">
        <f t="shared" si="9"/>
        <v>49884</v>
      </c>
      <c r="V35" s="245">
        <f t="shared" si="9"/>
        <v>-52440</v>
      </c>
      <c r="W35" s="245">
        <f t="shared" si="9"/>
        <v>28688</v>
      </c>
      <c r="X35" s="245">
        <f t="shared" si="9"/>
        <v>260087</v>
      </c>
      <c r="Y35" s="245">
        <f t="shared" si="9"/>
        <v>479609</v>
      </c>
      <c r="Z35" s="245">
        <f t="shared" si="9"/>
        <v>-2428397.1856929259</v>
      </c>
      <c r="AA35" s="245">
        <f t="shared" si="9"/>
        <v>603680.7722773687</v>
      </c>
      <c r="AB35" s="245">
        <f t="shared" si="9"/>
        <v>-161359.58145639347</v>
      </c>
      <c r="AC35" s="23"/>
    </row>
    <row r="36" spans="1:30">
      <c r="A36" s="23" t="s">
        <v>40</v>
      </c>
      <c r="B36" s="24"/>
      <c r="C36" s="249"/>
      <c r="D36" s="249"/>
      <c r="E36" s="249"/>
      <c r="F36" s="249"/>
      <c r="G36" s="249"/>
      <c r="H36" s="249"/>
      <c r="I36" s="249"/>
      <c r="J36" s="249"/>
      <c r="K36" s="90"/>
      <c r="L36" s="90"/>
      <c r="M36" s="90"/>
      <c r="N36" s="90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</row>
    <row r="37" spans="1:30">
      <c r="A37" s="239" t="s">
        <v>42</v>
      </c>
      <c r="B37" s="239"/>
      <c r="C37" s="249">
        <v>884.2</v>
      </c>
      <c r="D37" s="249">
        <v>361.6</v>
      </c>
      <c r="E37" s="249">
        <v>3804.3</v>
      </c>
      <c r="F37" s="249">
        <v>26675.4</v>
      </c>
      <c r="G37" s="249">
        <v>25597.957999999999</v>
      </c>
      <c r="H37" s="249">
        <v>31319.371999999999</v>
      </c>
      <c r="I37" s="249">
        <v>31390.971614999999</v>
      </c>
      <c r="J37" s="249">
        <v>52921.161744999998</v>
      </c>
      <c r="K37" s="91">
        <v>55707</v>
      </c>
      <c r="L37" s="91">
        <v>54076</v>
      </c>
      <c r="M37" s="91">
        <v>50948</v>
      </c>
      <c r="N37" s="91"/>
      <c r="AD37" s="250"/>
    </row>
    <row r="38" spans="1:30">
      <c r="A38" s="248" t="s">
        <v>8</v>
      </c>
      <c r="B38" s="248"/>
      <c r="C38" s="249">
        <f t="shared" ref="C38:M38" si="10">C25+C34+C35</f>
        <v>-45335</v>
      </c>
      <c r="D38" s="249">
        <f t="shared" si="10"/>
        <v>162019</v>
      </c>
      <c r="E38" s="249">
        <f t="shared" si="10"/>
        <v>0</v>
      </c>
      <c r="F38" s="249">
        <f t="shared" si="10"/>
        <v>0</v>
      </c>
      <c r="G38" s="249">
        <f t="shared" si="10"/>
        <v>0</v>
      </c>
      <c r="H38" s="249">
        <f t="shared" si="10"/>
        <v>0</v>
      </c>
      <c r="I38" s="249">
        <f t="shared" si="10"/>
        <v>0</v>
      </c>
      <c r="J38" s="249">
        <f t="shared" si="10"/>
        <v>0</v>
      </c>
      <c r="K38" s="249">
        <f t="shared" si="10"/>
        <v>2223504</v>
      </c>
      <c r="L38" s="249">
        <f t="shared" si="10"/>
        <v>2940829.0000000037</v>
      </c>
      <c r="M38" s="249">
        <f t="shared" si="10"/>
        <v>3386013.9999999963</v>
      </c>
      <c r="N38" s="249"/>
      <c r="AC38" s="250"/>
      <c r="AD38" s="29"/>
    </row>
    <row r="39" spans="1:30">
      <c r="A39" s="248" t="s">
        <v>45</v>
      </c>
      <c r="B39" s="220"/>
      <c r="C39" s="249">
        <f t="shared" ref="C39:M39" si="11">C38+C37</f>
        <v>-44450.8</v>
      </c>
      <c r="D39" s="249">
        <f t="shared" si="11"/>
        <v>162380.6</v>
      </c>
      <c r="E39" s="249">
        <f t="shared" si="11"/>
        <v>3804.3</v>
      </c>
      <c r="F39" s="249">
        <f t="shared" si="11"/>
        <v>26675.4</v>
      </c>
      <c r="G39" s="249">
        <f t="shared" si="11"/>
        <v>25597.957999999999</v>
      </c>
      <c r="H39" s="249">
        <f t="shared" si="11"/>
        <v>31319.371999999999</v>
      </c>
      <c r="I39" s="249">
        <f t="shared" si="11"/>
        <v>31390.971614999999</v>
      </c>
      <c r="J39" s="249">
        <f t="shared" si="11"/>
        <v>52921.161744999998</v>
      </c>
      <c r="K39" s="249">
        <f t="shared" si="11"/>
        <v>2279211</v>
      </c>
      <c r="L39" s="249">
        <f t="shared" si="11"/>
        <v>2994905.0000000037</v>
      </c>
      <c r="M39" s="249">
        <f t="shared" si="11"/>
        <v>3436961.9999999963</v>
      </c>
      <c r="N39" s="249"/>
      <c r="R39" s="18"/>
      <c r="S39" s="18"/>
      <c r="T39" s="18"/>
      <c r="U39" s="18"/>
      <c r="V39" s="18"/>
      <c r="W39" s="18"/>
      <c r="X39" s="18"/>
      <c r="Y39" s="18"/>
      <c r="AC39" s="250"/>
    </row>
    <row r="40" spans="1:30">
      <c r="A40" s="230" t="s">
        <v>46</v>
      </c>
      <c r="B40" s="230"/>
      <c r="C40" s="221">
        <f t="shared" ref="C40:M40" si="12">C18</f>
        <v>2015</v>
      </c>
      <c r="D40" s="221">
        <f t="shared" si="12"/>
        <v>2016</v>
      </c>
      <c r="E40" s="221">
        <f t="shared" si="12"/>
        <v>2017</v>
      </c>
      <c r="F40" s="221">
        <f t="shared" si="12"/>
        <v>2018</v>
      </c>
      <c r="G40" s="221">
        <f t="shared" si="12"/>
        <v>2019</v>
      </c>
      <c r="H40" s="221">
        <f t="shared" si="12"/>
        <v>2020</v>
      </c>
      <c r="I40" s="221">
        <f t="shared" si="12"/>
        <v>2021</v>
      </c>
      <c r="J40" s="221">
        <f t="shared" si="12"/>
        <v>2022</v>
      </c>
      <c r="K40" s="221">
        <f t="shared" si="12"/>
        <v>2023</v>
      </c>
      <c r="L40" s="221">
        <f t="shared" si="12"/>
        <v>2024</v>
      </c>
      <c r="M40" s="221">
        <f t="shared" si="12"/>
        <v>2025</v>
      </c>
      <c r="N40" s="221"/>
      <c r="P40" s="230" t="s">
        <v>47</v>
      </c>
      <c r="Q40" s="230"/>
      <c r="R40" s="221">
        <f t="shared" ref="R40:AB40" si="13">R18</f>
        <v>2015</v>
      </c>
      <c r="S40" s="221">
        <f t="shared" si="13"/>
        <v>2016</v>
      </c>
      <c r="T40" s="221">
        <f t="shared" si="13"/>
        <v>2017</v>
      </c>
      <c r="U40" s="221">
        <f t="shared" si="13"/>
        <v>2018</v>
      </c>
      <c r="V40" s="221">
        <f t="shared" si="13"/>
        <v>2019</v>
      </c>
      <c r="W40" s="221">
        <f t="shared" si="13"/>
        <v>2020</v>
      </c>
      <c r="X40" s="221">
        <f t="shared" si="13"/>
        <v>2021</v>
      </c>
      <c r="Y40" s="221">
        <f t="shared" si="13"/>
        <v>2022</v>
      </c>
      <c r="Z40" s="221">
        <f t="shared" si="13"/>
        <v>2023</v>
      </c>
      <c r="AA40" s="221">
        <f t="shared" si="13"/>
        <v>2024</v>
      </c>
      <c r="AB40" s="221">
        <f t="shared" si="13"/>
        <v>2025</v>
      </c>
    </row>
    <row r="41" spans="1:30">
      <c r="A41" s="220"/>
      <c r="B41" s="220"/>
      <c r="C41" s="220"/>
      <c r="D41" s="220"/>
      <c r="E41" s="220"/>
      <c r="F41" s="220"/>
      <c r="G41" s="220"/>
      <c r="H41" s="220"/>
      <c r="I41" s="220"/>
      <c r="J41" s="220"/>
      <c r="K41" s="90"/>
      <c r="L41" s="90"/>
      <c r="M41" s="90"/>
      <c r="N41" s="90"/>
      <c r="P41" s="220"/>
      <c r="Q41" s="220"/>
      <c r="R41" s="220"/>
      <c r="S41" s="220"/>
      <c r="T41" s="220"/>
      <c r="U41" s="220"/>
      <c r="V41" s="251"/>
      <c r="W41" s="251"/>
      <c r="X41" s="251"/>
      <c r="Y41" s="251"/>
    </row>
    <row r="42" spans="1:30">
      <c r="A42" s="227" t="s">
        <v>48</v>
      </c>
      <c r="B42" s="241"/>
      <c r="C42" s="252">
        <f>SUMIF(BS.data!$D$5:$D$116,'Stress test'!$A42,BS.data!P$5:P$116)</f>
        <v>0</v>
      </c>
      <c r="D42" s="252">
        <f>SUMIF(BS.data!$D$5:$D$116,'Stress test'!$A42,BS.data!Q$5:Q$116)</f>
        <v>0</v>
      </c>
      <c r="E42" s="252">
        <f>SUMIF(BS.data!$D$5:$D$116,'Stress test'!$A42,BS.data!R$5:R$116)</f>
        <v>0</v>
      </c>
      <c r="F42" s="252">
        <f>SUMIF(BS.data!$D$5:$D$116,'Stress test'!$A42,BS.data!S$5:S$116)</f>
        <v>0</v>
      </c>
      <c r="G42" s="252">
        <f>SUMIF(BS.data!$D$5:$D$116,'Stress test'!$A42,BS.data!T$5:T$116)</f>
        <v>0</v>
      </c>
      <c r="H42" s="252">
        <f>SUMIF(BS.data!$D$5:$D$116,'Stress test'!$A42,BS.data!U$5:U$116)</f>
        <v>0</v>
      </c>
      <c r="I42" s="252">
        <f>SUMIF(BS.data!$D$5:$D$116,'Stress test'!$A42,BS.data!V$5:V$116)</f>
        <v>0</v>
      </c>
      <c r="J42" s="252">
        <f>SUMIF(BS.data!$D$5:$D$116,'Stress test'!$A42,BS.data!W$5:W$116)</f>
        <v>0</v>
      </c>
      <c r="K42" s="252">
        <f>J42+Z35</f>
        <v>-2428397.1856929259</v>
      </c>
      <c r="L42" s="252">
        <f>K42+AA35</f>
        <v>-1824716.4134155572</v>
      </c>
      <c r="M42" s="252">
        <f>L42+AB35</f>
        <v>-1986075.9948719507</v>
      </c>
      <c r="N42" s="94"/>
      <c r="P42" s="220" t="s">
        <v>49</v>
      </c>
      <c r="Q42" s="220"/>
      <c r="R42" s="220"/>
      <c r="S42" s="220"/>
      <c r="T42" s="220"/>
      <c r="U42" s="220"/>
      <c r="V42" s="251"/>
      <c r="W42" s="251"/>
      <c r="X42" s="251"/>
      <c r="Y42" s="251"/>
    </row>
    <row r="43" spans="1:30">
      <c r="A43" s="227" t="s">
        <v>50</v>
      </c>
      <c r="B43" s="241"/>
      <c r="C43" s="252">
        <f>SUMIF(BS.data!$D$5:$D$116,'Stress test'!$A43,BS.data!P$5:P$116)</f>
        <v>0</v>
      </c>
      <c r="D43" s="252">
        <f>SUMIF(BS.data!$D$5:$D$116,'Stress test'!$A43,BS.data!Q$5:Q$116)</f>
        <v>0</v>
      </c>
      <c r="E43" s="252">
        <f>SUMIF(BS.data!$D$5:$D$116,'Stress test'!$A43,BS.data!R$5:R$116)</f>
        <v>0</v>
      </c>
      <c r="F43" s="252">
        <f>SUMIF(BS.data!$D$5:$D$116,'Stress test'!$A43,BS.data!S$5:S$116)</f>
        <v>0</v>
      </c>
      <c r="G43" s="252">
        <f>SUMIF(BS.data!$D$5:$D$116,'Stress test'!$A43,BS.data!T$5:T$116)</f>
        <v>0</v>
      </c>
      <c r="H43" s="252">
        <f>SUMIF(BS.data!$D$5:$D$116,'Stress test'!$A43,BS.data!U$5:U$116)</f>
        <v>0</v>
      </c>
      <c r="I43" s="252">
        <f>SUMIF(BS.data!$D$5:$D$116,'Stress test'!$A43,BS.data!V$5:V$116)</f>
        <v>0</v>
      </c>
      <c r="J43" s="252">
        <f>SUMIF(BS.data!$D$5:$D$116,'Stress test'!$A43,BS.data!W$5:W$116)</f>
        <v>0</v>
      </c>
      <c r="K43" s="91">
        <v>7428067</v>
      </c>
      <c r="L43" s="91">
        <v>7837952</v>
      </c>
      <c r="M43" s="91">
        <v>8286718</v>
      </c>
      <c r="N43" s="94"/>
      <c r="O43" s="250"/>
      <c r="P43" s="227" t="s">
        <v>51</v>
      </c>
      <c r="Q43" s="227"/>
      <c r="R43" s="227"/>
      <c r="S43" s="101" t="e">
        <f t="shared" ref="S43:AB43" si="14">D20/C20-1</f>
        <v>#DIV/0!</v>
      </c>
      <c r="T43" s="101" t="e">
        <f t="shared" si="14"/>
        <v>#DIV/0!</v>
      </c>
      <c r="U43" s="101" t="e">
        <f t="shared" si="14"/>
        <v>#DIV/0!</v>
      </c>
      <c r="V43" s="101" t="e">
        <f t="shared" si="14"/>
        <v>#DIV/0!</v>
      </c>
      <c r="W43" s="101" t="e">
        <f t="shared" si="14"/>
        <v>#DIV/0!</v>
      </c>
      <c r="X43" s="101" t="e">
        <f t="shared" si="14"/>
        <v>#DIV/0!</v>
      </c>
      <c r="Y43" s="101" t="e">
        <f t="shared" si="14"/>
        <v>#DIV/0!</v>
      </c>
      <c r="Z43" s="102" t="e">
        <f t="shared" si="14"/>
        <v>#DIV/0!</v>
      </c>
      <c r="AA43" s="102">
        <f t="shared" si="14"/>
        <v>0.22305887525219648</v>
      </c>
      <c r="AB43" s="102">
        <f t="shared" si="14"/>
        <v>9.3516063609183853E-2</v>
      </c>
    </row>
    <row r="44" spans="1:30">
      <c r="A44" s="241" t="s">
        <v>53</v>
      </c>
      <c r="B44" s="241"/>
      <c r="C44" s="252">
        <f>SUMIF(BS.data!$D$5:$D$116,'Stress test'!$A44,BS.data!P$5:P$116)</f>
        <v>0</v>
      </c>
      <c r="D44" s="252">
        <f>SUMIF(BS.data!$D$5:$D$116,'Stress test'!$A44,BS.data!Q$5:Q$116)</f>
        <v>0</v>
      </c>
      <c r="E44" s="252">
        <f>SUMIF(BS.data!$D$5:$D$116,'Stress test'!$A44,BS.data!R$5:R$116)</f>
        <v>0</v>
      </c>
      <c r="F44" s="252">
        <f>SUMIF(BS.data!$D$5:$D$116,'Stress test'!$A44,BS.data!S$5:S$116)</f>
        <v>0</v>
      </c>
      <c r="G44" s="252">
        <f>SUMIF(BS.data!$D$5:$D$116,'Stress test'!$A44,BS.data!T$5:T$116)</f>
        <v>0</v>
      </c>
      <c r="H44" s="252">
        <f>SUMIF(BS.data!$D$5:$D$116,'Stress test'!$A44,BS.data!U$5:U$116)</f>
        <v>0</v>
      </c>
      <c r="I44" s="252">
        <f>SUMIF(BS.data!$D$5:$D$116,'Stress test'!$A44,BS.data!V$5:V$116)</f>
        <v>0</v>
      </c>
      <c r="J44" s="252">
        <f>SUMIF(BS.data!$D$5:$D$116,'Stress test'!$A44,BS.data!W$5:W$116)</f>
        <v>0</v>
      </c>
      <c r="K44" s="91">
        <v>4092568</v>
      </c>
      <c r="L44" s="91">
        <v>5119409</v>
      </c>
      <c r="M44" s="91">
        <v>4438871</v>
      </c>
      <c r="N44" s="94"/>
      <c r="O44" s="250"/>
      <c r="P44" s="22" t="s">
        <v>54</v>
      </c>
      <c r="R44" s="88" t="e">
        <f t="shared" ref="R44:AB44" si="15">C22/C20</f>
        <v>#DIV/0!</v>
      </c>
      <c r="S44" s="88" t="e">
        <f t="shared" si="15"/>
        <v>#DIV/0!</v>
      </c>
      <c r="T44" s="88" t="e">
        <f t="shared" si="15"/>
        <v>#DIV/0!</v>
      </c>
      <c r="U44" s="88" t="e">
        <f t="shared" si="15"/>
        <v>#DIV/0!</v>
      </c>
      <c r="V44" s="88" t="e">
        <f t="shared" si="15"/>
        <v>#DIV/0!</v>
      </c>
      <c r="W44" s="88" t="e">
        <f t="shared" si="15"/>
        <v>#DIV/0!</v>
      </c>
      <c r="X44" s="88" t="e">
        <f t="shared" si="15"/>
        <v>#DIV/0!</v>
      </c>
      <c r="Y44" s="88" t="e">
        <f t="shared" si="15"/>
        <v>#DIV/0!</v>
      </c>
      <c r="Z44" s="102">
        <f t="shared" si="15"/>
        <v>0.1312276287753312</v>
      </c>
      <c r="AA44" s="102">
        <f t="shared" si="15"/>
        <v>0.14315187659833989</v>
      </c>
      <c r="AB44" s="102">
        <f t="shared" si="15"/>
        <v>0.15076010858098862</v>
      </c>
    </row>
    <row r="45" spans="1:30">
      <c r="A45" t="s">
        <v>55</v>
      </c>
      <c r="C45" s="252">
        <f>SUMIF(BS.data!$D$5:$D$116,'Stress test'!$A45,BS.data!P$5:P$116)</f>
        <v>0</v>
      </c>
      <c r="D45" s="252">
        <f>SUMIF(BS.data!$D$5:$D$116,'Stress test'!$A45,BS.data!Q$5:Q$116)</f>
        <v>0</v>
      </c>
      <c r="E45" s="252">
        <f>SUMIF(BS.data!$D$5:$D$116,'Stress test'!$A45,BS.data!R$5:R$116)</f>
        <v>0</v>
      </c>
      <c r="F45" s="252">
        <f>SUMIF(BS.data!$D$5:$D$116,'Stress test'!$A45,BS.data!S$5:S$116)</f>
        <v>0</v>
      </c>
      <c r="G45" s="252">
        <f>SUMIF(BS.data!$D$5:$D$116,'Stress test'!$A45,BS.data!T$5:T$116)</f>
        <v>0</v>
      </c>
      <c r="H45" s="252">
        <f>SUMIF(BS.data!$D$5:$D$116,'Stress test'!$A45,BS.data!U$5:U$116)</f>
        <v>0</v>
      </c>
      <c r="I45" s="252">
        <f>SUMIF(BS.data!$D$5:$D$116,'Stress test'!$A45,BS.data!V$5:V$116)</f>
        <v>0</v>
      </c>
      <c r="J45" s="252">
        <f>SUMIF(BS.data!$D$5:$D$116,'Stress test'!$A45,BS.data!W$5:W$116)</f>
        <v>0</v>
      </c>
      <c r="K45" s="90">
        <v>0</v>
      </c>
      <c r="L45" s="90">
        <v>0</v>
      </c>
      <c r="M45" s="90">
        <v>0</v>
      </c>
      <c r="N45" s="94"/>
      <c r="P45" s="27" t="s">
        <v>56</v>
      </c>
      <c r="Q45" s="27"/>
      <c r="R45" s="27" t="e">
        <f t="shared" ref="R45:AB45" si="16">C38/C20</f>
        <v>#DIV/0!</v>
      </c>
      <c r="S45" s="27" t="e">
        <f t="shared" si="16"/>
        <v>#DIV/0!</v>
      </c>
      <c r="T45" s="27" t="e">
        <f t="shared" si="16"/>
        <v>#DIV/0!</v>
      </c>
      <c r="U45" s="27" t="e">
        <f t="shared" si="16"/>
        <v>#DIV/0!</v>
      </c>
      <c r="V45" s="27" t="e">
        <f t="shared" si="16"/>
        <v>#DIV/0!</v>
      </c>
      <c r="W45" s="27" t="e">
        <f t="shared" si="16"/>
        <v>#DIV/0!</v>
      </c>
      <c r="X45" s="27" t="e">
        <f t="shared" si="16"/>
        <v>#DIV/0!</v>
      </c>
      <c r="Y45" s="27" t="e">
        <f t="shared" si="16"/>
        <v>#DIV/0!</v>
      </c>
      <c r="Z45" s="102">
        <f t="shared" si="16"/>
        <v>9.6787075346654677E-2</v>
      </c>
      <c r="AA45" s="102">
        <f t="shared" si="16"/>
        <v>0.10466509226883601</v>
      </c>
      <c r="AB45" s="102">
        <f t="shared" si="16"/>
        <v>0.11020357177868077</v>
      </c>
    </row>
    <row r="46" spans="1:30">
      <c r="A46" t="s">
        <v>57</v>
      </c>
      <c r="C46" s="252">
        <f>SUMIF(BS.data!$D$5:$D$116,'Stress test'!$A46,BS.data!P$5:P$116)</f>
        <v>0</v>
      </c>
      <c r="D46" s="252">
        <f>SUMIF(BS.data!$D$5:$D$116,'Stress test'!$A46,BS.data!Q$5:Q$116)</f>
        <v>0</v>
      </c>
      <c r="E46" s="252">
        <f>SUMIF(BS.data!$D$5:$D$116,'Stress test'!$A46,BS.data!R$5:R$116)</f>
        <v>0</v>
      </c>
      <c r="F46" s="252">
        <f>SUMIF(BS.data!$D$5:$D$116,'Stress test'!$A46,BS.data!S$5:S$116)</f>
        <v>0</v>
      </c>
      <c r="G46" s="252">
        <f>SUMIF(BS.data!$D$5:$D$116,'Stress test'!$A46,BS.data!T$5:T$116)</f>
        <v>0</v>
      </c>
      <c r="H46" s="252">
        <f>SUMIF(BS.data!$D$5:$D$116,'Stress test'!$A46,BS.data!U$5:U$116)</f>
        <v>0</v>
      </c>
      <c r="I46" s="252">
        <f>SUMIF(BS.data!$D$5:$D$116,'Stress test'!$A46,BS.data!V$5:V$116)</f>
        <v>0</v>
      </c>
      <c r="J46" s="252">
        <f>SUMIF(BS.data!$D$5:$D$116,'Stress test'!$A46,BS.data!W$5:W$116)</f>
        <v>0</v>
      </c>
      <c r="K46" s="90">
        <v>0</v>
      </c>
      <c r="L46" s="90">
        <v>0</v>
      </c>
      <c r="M46" s="90">
        <v>0</v>
      </c>
      <c r="N46" s="94"/>
      <c r="P46" s="227" t="s">
        <v>58</v>
      </c>
      <c r="R46" s="88" t="e">
        <f t="shared" ref="R46:AB46" si="17">R23/C20</f>
        <v>#DIV/0!</v>
      </c>
      <c r="S46" s="88" t="e">
        <f t="shared" si="17"/>
        <v>#DIV/0!</v>
      </c>
      <c r="T46" s="88" t="e">
        <f t="shared" si="17"/>
        <v>#DIV/0!</v>
      </c>
      <c r="U46" s="88" t="e">
        <f t="shared" si="17"/>
        <v>#DIV/0!</v>
      </c>
      <c r="V46" s="88" t="e">
        <f t="shared" si="17"/>
        <v>#DIV/0!</v>
      </c>
      <c r="W46" s="88" t="e">
        <f t="shared" si="17"/>
        <v>#DIV/0!</v>
      </c>
      <c r="X46" s="88" t="e">
        <f t="shared" si="17"/>
        <v>#DIV/0!</v>
      </c>
      <c r="Y46" s="88" t="e">
        <f t="shared" si="17"/>
        <v>#DIV/0!</v>
      </c>
      <c r="Z46" s="102">
        <f t="shared" si="17"/>
        <v>4.9485723412203982E-2</v>
      </c>
      <c r="AA46" s="102">
        <f t="shared" si="17"/>
        <v>5.4620694117517819E-2</v>
      </c>
      <c r="AB46" s="102">
        <f t="shared" si="17"/>
        <v>6.8964446721890379E-2</v>
      </c>
    </row>
    <row r="47" spans="1:30">
      <c r="A47" s="241" t="s">
        <v>59</v>
      </c>
      <c r="B47" s="241"/>
      <c r="C47" s="252">
        <f>SUMIF(BS.data!$D$5:$D$116,'Stress test'!$A47,BS.data!P$5:P$116)</f>
        <v>0</v>
      </c>
      <c r="D47" s="252">
        <f>SUMIF(BS.data!$D$5:$D$116,'Stress test'!$A47,BS.data!Q$5:Q$116)</f>
        <v>0</v>
      </c>
      <c r="E47" s="252">
        <f>SUMIF(BS.data!$D$5:$D$116,'Stress test'!$A47,BS.data!R$5:R$116)</f>
        <v>0</v>
      </c>
      <c r="F47" s="252">
        <f>SUMIF(BS.data!$D$5:$D$116,'Stress test'!$A47,BS.data!S$5:S$116)</f>
        <v>0</v>
      </c>
      <c r="G47" s="252">
        <f>SUMIF(BS.data!$D$5:$D$116,'Stress test'!$A47,BS.data!T$5:T$116)</f>
        <v>0</v>
      </c>
      <c r="H47" s="252">
        <f>SUMIF(BS.data!$D$5:$D$116,'Stress test'!$A47,BS.data!U$5:U$116)</f>
        <v>0</v>
      </c>
      <c r="I47" s="252">
        <f>SUMIF(BS.data!$D$5:$D$116,'Stress test'!$A47,BS.data!V$5:V$116)</f>
        <v>0</v>
      </c>
      <c r="J47" s="252">
        <f>SUMIF(BS.data!$D$5:$D$116,'Stress test'!$A47,BS.data!W$5:W$116)</f>
        <v>0</v>
      </c>
      <c r="K47" s="91">
        <f>1857684+223328</f>
        <v>2081012</v>
      </c>
      <c r="L47" s="91">
        <f>1826079+236045</f>
        <v>2062124</v>
      </c>
      <c r="M47" s="91">
        <f>1791397+244460</f>
        <v>2035857</v>
      </c>
      <c r="N47" s="94"/>
      <c r="P47" s="227" t="s">
        <v>62</v>
      </c>
      <c r="R47" s="25" t="e">
        <f>(C43/C20)*365</f>
        <v>#DIV/0!</v>
      </c>
      <c r="S47" s="25" t="e">
        <f t="shared" ref="S47:AB47" si="18">((D43+C43)/2/D20)*365</f>
        <v>#DIV/0!</v>
      </c>
      <c r="T47" s="25" t="e">
        <f t="shared" si="18"/>
        <v>#DIV/0!</v>
      </c>
      <c r="U47" s="25" t="e">
        <f t="shared" si="18"/>
        <v>#DIV/0!</v>
      </c>
      <c r="V47" s="25" t="e">
        <f t="shared" si="18"/>
        <v>#DIV/0!</v>
      </c>
      <c r="W47" s="25" t="e">
        <f t="shared" si="18"/>
        <v>#DIV/0!</v>
      </c>
      <c r="X47" s="25" t="e">
        <f t="shared" si="18"/>
        <v>#DIV/0!</v>
      </c>
      <c r="Y47" s="25" t="e">
        <f t="shared" si="18"/>
        <v>#DIV/0!</v>
      </c>
      <c r="Z47" s="103">
        <f t="shared" si="18"/>
        <v>59.008983421951278</v>
      </c>
      <c r="AA47" s="103">
        <f t="shared" si="18"/>
        <v>99.156401108781324</v>
      </c>
      <c r="AB47" s="103">
        <f t="shared" si="18"/>
        <v>95.776866712553172</v>
      </c>
    </row>
    <row r="48" spans="1:30">
      <c r="A48" s="227" t="s">
        <v>61</v>
      </c>
      <c r="B48" s="252"/>
      <c r="C48" s="252">
        <f>SUMIF(BS.data!$D$5:$D$116,'Stress test'!$A48,BS.data!P$5:P$116)</f>
        <v>0</v>
      </c>
      <c r="D48" s="252">
        <f>SUMIF(BS.data!$D$5:$D$116,'Stress test'!$A48,BS.data!Q$5:Q$116)</f>
        <v>0</v>
      </c>
      <c r="E48" s="252">
        <f>SUMIF(BS.data!$D$5:$D$116,'Stress test'!$A48,BS.data!R$5:R$116)</f>
        <v>0</v>
      </c>
      <c r="F48" s="252">
        <f>SUMIF(BS.data!$D$5:$D$116,'Stress test'!$A48,BS.data!S$5:S$116)</f>
        <v>0</v>
      </c>
      <c r="G48" s="252">
        <f>SUMIF(BS.data!$D$5:$D$116,'Stress test'!$A48,BS.data!T$5:T$116)</f>
        <v>0</v>
      </c>
      <c r="H48" s="252">
        <f>SUMIF(BS.data!$D$5:$D$116,'Stress test'!$A48,BS.data!U$5:U$116)</f>
        <v>0</v>
      </c>
      <c r="I48" s="252">
        <f>SUMIF(BS.data!$D$5:$D$116,'Stress test'!$A48,BS.data!V$5:V$116)</f>
        <v>0</v>
      </c>
      <c r="J48" s="252">
        <f>SUMIF(BS.data!$D$5:$D$116,'Stress test'!$A48,BS.data!W$5:W$116)</f>
        <v>0</v>
      </c>
      <c r="K48" s="91">
        <v>3108949</v>
      </c>
      <c r="L48" s="91">
        <v>3082955</v>
      </c>
      <c r="M48" s="91">
        <v>3056960</v>
      </c>
      <c r="N48" s="94"/>
      <c r="P48" s="227" t="s">
        <v>64</v>
      </c>
      <c r="R48" s="25" t="e">
        <f>(C44/-C21)*365</f>
        <v>#DIV/0!</v>
      </c>
      <c r="S48" s="25" t="e">
        <f t="shared" ref="S48:AB48" si="19">((D44+C44)/2/-D21)*365</f>
        <v>#DIV/0!</v>
      </c>
      <c r="T48" s="25" t="e">
        <f t="shared" si="19"/>
        <v>#DIV/0!</v>
      </c>
      <c r="U48" s="25" t="e">
        <f t="shared" si="19"/>
        <v>#DIV/0!</v>
      </c>
      <c r="V48" s="25" t="e">
        <f t="shared" si="19"/>
        <v>#DIV/0!</v>
      </c>
      <c r="W48" s="25" t="e">
        <f t="shared" si="19"/>
        <v>#DIV/0!</v>
      </c>
      <c r="X48" s="25" t="e">
        <f t="shared" si="19"/>
        <v>#DIV/0!</v>
      </c>
      <c r="Y48" s="25" t="e">
        <f t="shared" si="19"/>
        <v>#DIV/0!</v>
      </c>
      <c r="Z48" s="103">
        <f t="shared" si="19"/>
        <v>37.422450594580603</v>
      </c>
      <c r="AA48" s="103">
        <f t="shared" si="19"/>
        <v>69.830307120122242</v>
      </c>
      <c r="AB48" s="103">
        <f t="shared" si="19"/>
        <v>66.852730852723639</v>
      </c>
    </row>
    <row r="49" spans="1:30">
      <c r="A49" s="227" t="s">
        <v>63</v>
      </c>
      <c r="B49" s="241"/>
      <c r="C49" s="252">
        <f>SUMIF(BS.data!$D$5:$D$116,'Stress test'!$A49,BS.data!P$5:P$116)</f>
        <v>0</v>
      </c>
      <c r="D49" s="252">
        <f>SUMIF(BS.data!$D$5:$D$116,'Stress test'!$A49,BS.data!Q$5:Q$116)</f>
        <v>0</v>
      </c>
      <c r="E49" s="252">
        <f>SUMIF(BS.data!$D$5:$D$116,'Stress test'!$A49,BS.data!R$5:R$116)</f>
        <v>0</v>
      </c>
      <c r="F49" s="252">
        <f>SUMIF(BS.data!$D$5:$D$116,'Stress test'!$A49,BS.data!S$5:S$116)</f>
        <v>0</v>
      </c>
      <c r="G49" s="252">
        <f>SUMIF(BS.data!$D$5:$D$116,'Stress test'!$A49,BS.data!T$5:T$116)</f>
        <v>0</v>
      </c>
      <c r="H49" s="252">
        <f>SUMIF(BS.data!$D$5:$D$116,'Stress test'!$A49,BS.data!U$5:U$116)</f>
        <v>0</v>
      </c>
      <c r="I49" s="252">
        <f>SUMIF(BS.data!$D$5:$D$116,'Stress test'!$A49,BS.data!V$5:V$116)</f>
        <v>0</v>
      </c>
      <c r="J49" s="252">
        <f>SUMIF(BS.data!$D$5:$D$116,'Stress test'!$A49,BS.data!W$5:W$116)</f>
        <v>0</v>
      </c>
      <c r="K49" s="91">
        <v>7475868</v>
      </c>
      <c r="L49" s="91">
        <v>8794698</v>
      </c>
      <c r="M49" s="91">
        <v>8486695</v>
      </c>
      <c r="N49" s="94"/>
      <c r="P49" s="227" t="s">
        <v>66</v>
      </c>
      <c r="R49" s="25" t="e">
        <f>(C53/-C21)*365</f>
        <v>#DIV/0!</v>
      </c>
      <c r="S49" s="25" t="e">
        <f t="shared" ref="S49:AB49" si="20">((D53+C53)/2/-D21)*365</f>
        <v>#DIV/0!</v>
      </c>
      <c r="T49" s="25" t="e">
        <f t="shared" si="20"/>
        <v>#DIV/0!</v>
      </c>
      <c r="U49" s="25" t="e">
        <f t="shared" si="20"/>
        <v>#DIV/0!</v>
      </c>
      <c r="V49" s="25" t="e">
        <f t="shared" si="20"/>
        <v>#DIV/0!</v>
      </c>
      <c r="W49" s="25" t="e">
        <f t="shared" si="20"/>
        <v>#DIV/0!</v>
      </c>
      <c r="X49" s="25" t="e">
        <f t="shared" si="20"/>
        <v>#DIV/0!</v>
      </c>
      <c r="Y49" s="25" t="e">
        <f t="shared" si="20"/>
        <v>#DIV/0!</v>
      </c>
      <c r="Z49" s="103">
        <f t="shared" si="20"/>
        <v>10.484329986144205</v>
      </c>
      <c r="AA49" s="103">
        <f t="shared" si="20"/>
        <v>25.350935977835881</v>
      </c>
      <c r="AB49" s="103">
        <f t="shared" si="20"/>
        <v>25.350934794038558</v>
      </c>
    </row>
    <row r="50" spans="1:30">
      <c r="A50" s="241" t="s">
        <v>65</v>
      </c>
      <c r="B50" s="241"/>
      <c r="C50" s="252">
        <f>SUMIF(BS.data!$D$5:$D$116,'Stress test'!$A50,BS.data!P$5:P$116)</f>
        <v>0</v>
      </c>
      <c r="D50" s="252">
        <f>SUMIF(BS.data!$D$5:$D$116,'Stress test'!$A50,BS.data!Q$5:Q$116)</f>
        <v>0</v>
      </c>
      <c r="E50" s="252">
        <f>SUMIF(BS.data!$D$5:$D$116,'Stress test'!$A50,BS.data!R$5:R$116)</f>
        <v>0</v>
      </c>
      <c r="F50" s="252">
        <f>SUMIF(BS.data!$D$5:$D$116,'Stress test'!$A50,BS.data!S$5:S$116)</f>
        <v>0</v>
      </c>
      <c r="G50" s="252">
        <f>SUMIF(BS.data!$D$5:$D$116,'Stress test'!$A50,BS.data!T$5:T$116)</f>
        <v>0</v>
      </c>
      <c r="H50" s="252">
        <f>SUMIF(BS.data!$D$5:$D$116,'Stress test'!$A50,BS.data!U$5:U$116)</f>
        <v>0</v>
      </c>
      <c r="I50" s="252">
        <f>SUMIF(BS.data!$D$5:$D$116,'Stress test'!$A50,BS.data!V$5:V$116)</f>
        <v>0</v>
      </c>
      <c r="J50" s="252">
        <f>SUMIF(BS.data!$D$5:$D$116,'Stress test'!$A50,BS.data!W$5:W$116)</f>
        <v>0</v>
      </c>
      <c r="K50" s="91">
        <v>62424</v>
      </c>
      <c r="L50" s="91">
        <v>45865</v>
      </c>
      <c r="M50" s="91">
        <v>29306</v>
      </c>
      <c r="N50" s="94"/>
      <c r="P50" s="227" t="s">
        <v>145</v>
      </c>
      <c r="R50" s="25" t="e">
        <f t="shared" ref="R50:AB50" si="21">(C55+C56)/C20*365</f>
        <v>#DIV/0!</v>
      </c>
      <c r="S50" s="25" t="e">
        <f t="shared" si="21"/>
        <v>#DIV/0!</v>
      </c>
      <c r="T50" s="25" t="e">
        <f t="shared" si="21"/>
        <v>#DIV/0!</v>
      </c>
      <c r="U50" s="25" t="e">
        <f t="shared" si="21"/>
        <v>#DIV/0!</v>
      </c>
      <c r="V50" s="25" t="e">
        <f t="shared" si="21"/>
        <v>#DIV/0!</v>
      </c>
      <c r="W50" s="25" t="e">
        <f t="shared" si="21"/>
        <v>#DIV/0!</v>
      </c>
      <c r="X50" s="25" t="e">
        <f t="shared" si="21"/>
        <v>#DIV/0!</v>
      </c>
      <c r="Y50" s="25" t="e">
        <f t="shared" si="21"/>
        <v>#DIV/0!</v>
      </c>
      <c r="Z50" s="103">
        <f t="shared" si="21"/>
        <v>0</v>
      </c>
      <c r="AA50" s="103">
        <f t="shared" si="21"/>
        <v>0</v>
      </c>
      <c r="AB50" s="103">
        <f t="shared" si="21"/>
        <v>0</v>
      </c>
    </row>
    <row r="51" spans="1:30">
      <c r="A51" s="220" t="s">
        <v>67</v>
      </c>
      <c r="B51" s="220"/>
      <c r="C51" s="253">
        <f t="shared" ref="C51:M51" si="22">SUM(C42:C50)</f>
        <v>0</v>
      </c>
      <c r="D51" s="253">
        <f t="shared" si="22"/>
        <v>0</v>
      </c>
      <c r="E51" s="253">
        <f t="shared" si="22"/>
        <v>0</v>
      </c>
      <c r="F51" s="253">
        <f t="shared" si="22"/>
        <v>0</v>
      </c>
      <c r="G51" s="253">
        <f t="shared" si="22"/>
        <v>0</v>
      </c>
      <c r="H51" s="253">
        <f t="shared" si="22"/>
        <v>0</v>
      </c>
      <c r="I51" s="253">
        <f t="shared" si="22"/>
        <v>0</v>
      </c>
      <c r="J51" s="253">
        <f t="shared" si="22"/>
        <v>0</v>
      </c>
      <c r="K51" s="253">
        <f t="shared" si="22"/>
        <v>21820490.814307075</v>
      </c>
      <c r="L51" s="253">
        <f t="shared" si="22"/>
        <v>25118286.586584441</v>
      </c>
      <c r="M51" s="253">
        <f t="shared" si="22"/>
        <v>24348331.005128048</v>
      </c>
      <c r="N51" s="94"/>
      <c r="P51" s="227" t="s">
        <v>146</v>
      </c>
      <c r="R51" s="25" t="e">
        <f t="shared" ref="R51:AB51" si="23">-C45/C21*365</f>
        <v>#DIV/0!</v>
      </c>
      <c r="S51" s="25" t="e">
        <f t="shared" si="23"/>
        <v>#DIV/0!</v>
      </c>
      <c r="T51" s="25" t="e">
        <f t="shared" si="23"/>
        <v>#DIV/0!</v>
      </c>
      <c r="U51" s="25" t="e">
        <f t="shared" si="23"/>
        <v>#DIV/0!</v>
      </c>
      <c r="V51" s="25" t="e">
        <f t="shared" si="23"/>
        <v>#DIV/0!</v>
      </c>
      <c r="W51" s="25" t="e">
        <f t="shared" si="23"/>
        <v>#DIV/0!</v>
      </c>
      <c r="X51" s="25" t="e">
        <f t="shared" si="23"/>
        <v>#DIV/0!</v>
      </c>
      <c r="Y51" s="25" t="e">
        <f t="shared" si="23"/>
        <v>#DIV/0!</v>
      </c>
      <c r="Z51" s="103">
        <f t="shared" si="23"/>
        <v>0</v>
      </c>
      <c r="AA51" s="103">
        <f t="shared" si="23"/>
        <v>0</v>
      </c>
      <c r="AB51" s="103">
        <f t="shared" si="23"/>
        <v>0</v>
      </c>
    </row>
    <row r="52" spans="1:30">
      <c r="A52" s="220"/>
      <c r="B52" s="220"/>
      <c r="C52" s="253"/>
      <c r="D52" s="253"/>
      <c r="E52" s="253"/>
      <c r="F52" s="253"/>
      <c r="G52" s="253"/>
      <c r="H52" s="253"/>
      <c r="I52" s="253"/>
      <c r="J52" s="253"/>
      <c r="K52" s="90"/>
      <c r="L52" s="90"/>
      <c r="M52" s="90"/>
      <c r="N52" s="90"/>
      <c r="P52" s="27" t="s">
        <v>147</v>
      </c>
      <c r="Q52" s="27"/>
      <c r="R52" s="27" t="e">
        <f t="shared" ref="R52:AB52" si="24">(C43+C44+C45+C46-C53-C54-C55-C56)/C20</f>
        <v>#DIV/0!</v>
      </c>
      <c r="S52" s="27" t="e">
        <f t="shared" si="24"/>
        <v>#DIV/0!</v>
      </c>
      <c r="T52" s="27" t="e">
        <f t="shared" si="24"/>
        <v>#DIV/0!</v>
      </c>
      <c r="U52" s="27" t="e">
        <f t="shared" si="24"/>
        <v>#DIV/0!</v>
      </c>
      <c r="V52" s="27" t="e">
        <f t="shared" si="24"/>
        <v>#DIV/0!</v>
      </c>
      <c r="W52" s="27" t="e">
        <f t="shared" si="24"/>
        <v>#DIV/0!</v>
      </c>
      <c r="X52" s="27" t="e">
        <f t="shared" si="24"/>
        <v>#DIV/0!</v>
      </c>
      <c r="Y52" s="27" t="e">
        <f t="shared" si="24"/>
        <v>#DIV/0!</v>
      </c>
      <c r="Z52" s="102">
        <f t="shared" si="24"/>
        <v>0.45157303199604754</v>
      </c>
      <c r="AA52" s="102">
        <f t="shared" si="24"/>
        <v>0.38293987920284056</v>
      </c>
      <c r="AB52" s="102">
        <f t="shared" si="24"/>
        <v>0.3677365698983931</v>
      </c>
    </row>
    <row r="53" spans="1:30">
      <c r="A53" s="241" t="s">
        <v>70</v>
      </c>
      <c r="B53" s="241"/>
      <c r="C53" s="252">
        <f>SUMIF(BS.data!$D$5:$D$116,'Stress test'!$A53,BS.data!P$5:P$116)</f>
        <v>0</v>
      </c>
      <c r="D53" s="252">
        <f>SUMIF(BS.data!$D$5:$D$116,'Stress test'!$A53,BS.data!Q$5:Q$116)</f>
        <v>0</v>
      </c>
      <c r="E53" s="252">
        <f>SUMIF(BS.data!$D$5:$D$116,'Stress test'!$A53,BS.data!R$5:R$116)</f>
        <v>0</v>
      </c>
      <c r="F53" s="252">
        <f>SUMIF(BS.data!$D$5:$D$116,'Stress test'!$A53,BS.data!S$5:S$116)</f>
        <v>0</v>
      </c>
      <c r="G53" s="252">
        <f>SUMIF(BS.data!$D$5:$D$116,'Stress test'!$A53,BS.data!T$5:T$116)</f>
        <v>0</v>
      </c>
      <c r="H53" s="252">
        <f>SUMIF(BS.data!$D$5:$D$116,'Stress test'!$A53,BS.data!U$5:U$116)</f>
        <v>0</v>
      </c>
      <c r="I53" s="252">
        <f>SUMIF(BS.data!$D$5:$D$116,'Stress test'!$A53,BS.data!V$5:V$116)</f>
        <v>0</v>
      </c>
      <c r="J53" s="252">
        <f>SUMIF(BS.data!$D$5:$D$116,'Stress test'!$A53,BS.data!W$5:W$116)</f>
        <v>0</v>
      </c>
      <c r="K53" s="91">
        <v>1146580</v>
      </c>
      <c r="L53" s="91">
        <v>2197702</v>
      </c>
      <c r="M53" s="91">
        <v>1426852</v>
      </c>
      <c r="N53" s="91"/>
      <c r="P53" s="27" t="s">
        <v>71</v>
      </c>
      <c r="Q53" s="27"/>
      <c r="R53" s="254" t="e">
        <f t="shared" ref="R53:AB53" si="25">C20/C49</f>
        <v>#DIV/0!</v>
      </c>
      <c r="S53" s="254" t="e">
        <f t="shared" si="25"/>
        <v>#DIV/0!</v>
      </c>
      <c r="T53" s="254" t="e">
        <f t="shared" si="25"/>
        <v>#DIV/0!</v>
      </c>
      <c r="U53" s="254" t="e">
        <f t="shared" si="25"/>
        <v>#DIV/0!</v>
      </c>
      <c r="V53" s="30" t="e">
        <f t="shared" si="25"/>
        <v>#DIV/0!</v>
      </c>
      <c r="W53" s="30" t="e">
        <f t="shared" si="25"/>
        <v>#DIV/0!</v>
      </c>
      <c r="X53" s="30" t="e">
        <f t="shared" si="25"/>
        <v>#DIV/0!</v>
      </c>
      <c r="Y53" s="30" t="e">
        <f t="shared" si="25"/>
        <v>#DIV/0!</v>
      </c>
      <c r="Z53" s="104">
        <f t="shared" si="25"/>
        <v>3.0729742686735508</v>
      </c>
      <c r="AA53" s="104">
        <f t="shared" si="25"/>
        <v>3.1948243134670458</v>
      </c>
      <c r="AB53" s="104">
        <f t="shared" si="25"/>
        <v>3.6203827284944259</v>
      </c>
    </row>
    <row r="54" spans="1:30">
      <c r="A54" s="241" t="s">
        <v>72</v>
      </c>
      <c r="B54" s="241"/>
      <c r="C54" s="252">
        <f>SUMIF(BS.data!$D$5:$D$116,'Stress test'!$A54,BS.data!P$5:P$116)</f>
        <v>0</v>
      </c>
      <c r="D54" s="252">
        <f>SUMIF(BS.data!$D$5:$D$116,'Stress test'!$A54,BS.data!Q$5:Q$116)</f>
        <v>0</v>
      </c>
      <c r="E54" s="252">
        <f>SUMIF(BS.data!$D$5:$D$116,'Stress test'!$A54,BS.data!R$5:R$116)</f>
        <v>0</v>
      </c>
      <c r="F54" s="252">
        <f>SUMIF(BS.data!$D$5:$D$116,'Stress test'!$A54,BS.data!S$5:S$116)</f>
        <v>0</v>
      </c>
      <c r="G54" s="252">
        <f>SUMIF(BS.data!$D$5:$D$116,'Stress test'!$A54,BS.data!T$5:T$116)</f>
        <v>0</v>
      </c>
      <c r="H54" s="252">
        <f>SUMIF(BS.data!$D$5:$D$116,'Stress test'!$A54,BS.data!U$5:U$116)</f>
        <v>0</v>
      </c>
      <c r="I54" s="252">
        <f>SUMIF(BS.data!$D$5:$D$116,'Stress test'!$A54,BS.data!V$5:V$116)</f>
        <v>0</v>
      </c>
      <c r="J54" s="252">
        <f>SUMIF(BS.data!$D$5:$D$116,'Stress test'!$A54,BS.data!W$5:W$116)</f>
        <v>0</v>
      </c>
      <c r="K54" s="90">
        <v>0</v>
      </c>
      <c r="L54" s="90">
        <v>0</v>
      </c>
      <c r="M54" s="90">
        <v>0</v>
      </c>
      <c r="N54" s="90"/>
      <c r="P54" s="27" t="s">
        <v>73</v>
      </c>
      <c r="Q54" s="27"/>
      <c r="R54" s="27">
        <f t="shared" ref="R54:AB54" si="26">-R27/C34</f>
        <v>0</v>
      </c>
      <c r="S54" s="27">
        <f t="shared" si="26"/>
        <v>0</v>
      </c>
      <c r="T54" s="27" t="e">
        <f t="shared" si="26"/>
        <v>#DIV/0!</v>
      </c>
      <c r="U54" s="27" t="e">
        <f t="shared" si="26"/>
        <v>#DIV/0!</v>
      </c>
      <c r="V54" s="27" t="e">
        <f t="shared" si="26"/>
        <v>#DIV/0!</v>
      </c>
      <c r="W54" s="27" t="e">
        <f t="shared" si="26"/>
        <v>#DIV/0!</v>
      </c>
      <c r="X54" s="27" t="e">
        <f t="shared" si="26"/>
        <v>#DIV/0!</v>
      </c>
      <c r="Y54" s="27" t="e">
        <f t="shared" si="26"/>
        <v>#DIV/0!</v>
      </c>
      <c r="Z54" s="102">
        <f t="shared" si="26"/>
        <v>5.1779181862071004</v>
      </c>
      <c r="AA54" s="102">
        <f t="shared" si="26"/>
        <v>2.6057745106948893</v>
      </c>
      <c r="AB54" s="102">
        <f t="shared" si="26"/>
        <v>0.56653292940488864</v>
      </c>
    </row>
    <row r="55" spans="1:30">
      <c r="A55" s="241" t="s">
        <v>74</v>
      </c>
      <c r="C55" s="252">
        <f>SUMIF(BS.data!$D$5:$D$116,'Stress test'!$A55,BS.data!P$5:P$116)</f>
        <v>0</v>
      </c>
      <c r="D55" s="252">
        <f>SUMIF(BS.data!$D$5:$D$116,'Stress test'!$A55,BS.data!Q$5:Q$116)</f>
        <v>0</v>
      </c>
      <c r="E55" s="252">
        <f>SUMIF(BS.data!$D$5:$D$116,'Stress test'!$A55,BS.data!R$5:R$116)</f>
        <v>0</v>
      </c>
      <c r="F55" s="252">
        <f>SUMIF(BS.data!$D$5:$D$116,'Stress test'!$A55,BS.data!S$5:S$116)</f>
        <v>0</v>
      </c>
      <c r="G55" s="252">
        <f>SUMIF(BS.data!$D$5:$D$116,'Stress test'!$A55,BS.data!T$5:T$116)</f>
        <v>0</v>
      </c>
      <c r="H55" s="252">
        <f>SUMIF(BS.data!$D$5:$D$116,'Stress test'!$A55,BS.data!U$5:U$116)</f>
        <v>0</v>
      </c>
      <c r="I55" s="252">
        <f>SUMIF(BS.data!$D$5:$D$116,'Stress test'!$A55,BS.data!V$5:V$116)</f>
        <v>0</v>
      </c>
      <c r="J55" s="252">
        <f>SUMIF(BS.data!$D$5:$D$116,'Stress test'!$A55,BS.data!W$5:W$116)</f>
        <v>0</v>
      </c>
      <c r="K55" s="90">
        <v>0</v>
      </c>
      <c r="L55" s="90">
        <v>0</v>
      </c>
      <c r="M55" s="90">
        <v>0</v>
      </c>
      <c r="N55" s="90"/>
      <c r="P55" s="27" t="s">
        <v>75</v>
      </c>
      <c r="R55" s="88" t="e">
        <f t="shared" ref="R55:AB55" si="27">-R27/C20</f>
        <v>#DIV/0!</v>
      </c>
      <c r="S55" s="88" t="e">
        <f t="shared" si="27"/>
        <v>#DIV/0!</v>
      </c>
      <c r="T55" s="88" t="e">
        <f t="shared" si="27"/>
        <v>#DIV/0!</v>
      </c>
      <c r="U55" s="88" t="e">
        <f t="shared" si="27"/>
        <v>#DIV/0!</v>
      </c>
      <c r="V55" s="88" t="e">
        <f t="shared" si="27"/>
        <v>#DIV/0!</v>
      </c>
      <c r="W55" s="88" t="e">
        <f t="shared" si="27"/>
        <v>#DIV/0!</v>
      </c>
      <c r="X55" s="88" t="e">
        <f t="shared" si="27"/>
        <v>#DIV/0!</v>
      </c>
      <c r="Y55" s="88" t="e">
        <f t="shared" si="27"/>
        <v>#DIV/0!</v>
      </c>
      <c r="Z55" s="102">
        <f t="shared" si="27"/>
        <v>0.16013215427575234</v>
      </c>
      <c r="AA55" s="102">
        <f t="shared" si="27"/>
        <v>7.2454450153332059E-2</v>
      </c>
      <c r="AB55" s="102">
        <f t="shared" si="27"/>
        <v>1.5837027491934604E-2</v>
      </c>
      <c r="AD55"/>
    </row>
    <row r="56" spans="1:30">
      <c r="A56" s="241" t="s">
        <v>76</v>
      </c>
      <c r="C56" s="252">
        <f>SUMIF(BS.data!$D$5:$D$116,'Stress test'!$A56,BS.data!P$5:P$116)</f>
        <v>0</v>
      </c>
      <c r="D56" s="252">
        <f>SUMIF(BS.data!$D$5:$D$116,'Stress test'!$A56,BS.data!Q$5:Q$116)</f>
        <v>0</v>
      </c>
      <c r="E56" s="252">
        <f>SUMIF(BS.data!$D$5:$D$116,'Stress test'!$A56,BS.data!R$5:R$116)</f>
        <v>0</v>
      </c>
      <c r="F56" s="252">
        <f>SUMIF(BS.data!$D$5:$D$116,'Stress test'!$A56,BS.data!S$5:S$116)</f>
        <v>0</v>
      </c>
      <c r="G56" s="252">
        <f>SUMIF(BS.data!$D$5:$D$116,'Stress test'!$A56,BS.data!T$5:T$116)</f>
        <v>0</v>
      </c>
      <c r="H56" s="252">
        <f>SUMIF(BS.data!$D$5:$D$116,'Stress test'!$A56,BS.data!U$5:U$116)</f>
        <v>0</v>
      </c>
      <c r="I56" s="252">
        <f>SUMIF(BS.data!$D$5:$D$116,'Stress test'!$A56,BS.data!V$5:V$116)</f>
        <v>0</v>
      </c>
      <c r="J56" s="252">
        <f>SUMIF(BS.data!$D$5:$D$116,'Stress test'!$A56,BS.data!W$5:W$116)</f>
        <v>0</v>
      </c>
      <c r="K56" s="90">
        <v>0</v>
      </c>
      <c r="L56" s="90">
        <v>0</v>
      </c>
      <c r="M56" s="90">
        <v>0</v>
      </c>
      <c r="N56" s="90"/>
      <c r="P56" s="27"/>
      <c r="Q56" s="27"/>
      <c r="R56" s="27"/>
      <c r="S56" s="27"/>
      <c r="T56" s="27"/>
      <c r="U56" s="27"/>
      <c r="V56" s="27"/>
      <c r="W56" s="27"/>
      <c r="X56" s="27"/>
      <c r="Y56" s="27"/>
    </row>
    <row r="57" spans="1:30">
      <c r="A57" s="241" t="s">
        <v>77</v>
      </c>
      <c r="B57" s="241"/>
      <c r="C57" s="252">
        <f>SUMIF(BS.data!$D$5:$D$116,'Stress test'!$A57,BS.data!P$5:P$116)-C59</f>
        <v>0</v>
      </c>
      <c r="D57" s="252">
        <f>SUMIF(BS.data!$D$5:$D$116,'Stress test'!$A57,BS.data!Q$5:Q$116)-D59</f>
        <v>0</v>
      </c>
      <c r="E57" s="252">
        <f>SUMIF(BS.data!$D$5:$D$116,'Stress test'!$A57,BS.data!R$5:R$116)-E59</f>
        <v>0</v>
      </c>
      <c r="F57" s="252">
        <f>SUMIF(BS.data!$D$5:$D$116,'Stress test'!$A57,BS.data!S$5:S$116)-F59</f>
        <v>0</v>
      </c>
      <c r="G57" s="252">
        <f>SUMIF(BS.data!$D$5:$D$116,'Stress test'!$A57,BS.data!T$5:T$116)-G59</f>
        <v>0</v>
      </c>
      <c r="H57" s="252">
        <f>SUMIF(BS.data!$D$5:$D$116,'Stress test'!$A57,BS.data!U$5:U$116)-H59</f>
        <v>0</v>
      </c>
      <c r="I57" s="252">
        <f>SUMIF(BS.data!$D$5:$D$116,'Stress test'!$A57,BS.data!V$5:V$116)-I59</f>
        <v>-715495</v>
      </c>
      <c r="J57" s="252">
        <f>SUMIF(BS.data!$D$5:$D$116,'Stress test'!$A57,BS.data!W$5:W$116)-J59</f>
        <v>-2433294</v>
      </c>
      <c r="K57" s="91">
        <f>4549415-K59</f>
        <v>2116121</v>
      </c>
      <c r="L57" s="91">
        <f>4752845-L59</f>
        <v>2319551</v>
      </c>
      <c r="M57" s="91">
        <f>4841505-M59</f>
        <v>2408211</v>
      </c>
      <c r="N57" s="91"/>
      <c r="P57" s="26" t="s">
        <v>148</v>
      </c>
      <c r="Q57" s="26"/>
      <c r="R57" s="26"/>
      <c r="S57" s="26"/>
      <c r="T57" s="26"/>
      <c r="U57" s="26"/>
      <c r="V57" s="26"/>
      <c r="W57" s="26"/>
      <c r="X57" s="26"/>
      <c r="Y57" s="26"/>
    </row>
    <row r="58" spans="1:30">
      <c r="A58" s="241" t="s">
        <v>79</v>
      </c>
      <c r="B58" s="241"/>
      <c r="C58" s="252">
        <f>SUMIF(BS.data!$D$5:$D$116,'Stress test'!$A58,BS.data!P$5:P$116)</f>
        <v>0</v>
      </c>
      <c r="D58" s="252">
        <f>SUMIF(BS.data!$D$5:$D$116,'Stress test'!$A58,BS.data!Q$5:Q$116)</f>
        <v>0</v>
      </c>
      <c r="E58" s="252">
        <f>SUMIF(BS.data!$D$5:$D$116,'Stress test'!$A58,BS.data!R$5:R$116)</f>
        <v>0</v>
      </c>
      <c r="F58" s="252">
        <f>SUMIF(BS.data!$D$5:$D$116,'Stress test'!$A58,BS.data!S$5:S$116)</f>
        <v>0</v>
      </c>
      <c r="G58" s="252">
        <f>SUMIF(BS.data!$D$5:$D$116,'Stress test'!$A58,BS.data!T$5:T$116)</f>
        <v>0</v>
      </c>
      <c r="H58" s="252">
        <f>SUMIF(BS.data!$D$5:$D$116,'Stress test'!$A58,BS.data!U$5:U$116)</f>
        <v>0</v>
      </c>
      <c r="I58" s="252">
        <f>SUMIF(BS.data!$D$5:$D$116,'Stress test'!$A58,BS.data!V$5:V$116)</f>
        <v>0</v>
      </c>
      <c r="J58" s="252">
        <f>SUMIF(BS.data!$D$5:$D$116,'Stress test'!$A58,BS.data!W$5:W$116)</f>
        <v>0</v>
      </c>
      <c r="K58" s="90">
        <v>0</v>
      </c>
      <c r="L58" s="90">
        <v>0</v>
      </c>
      <c r="M58" s="90">
        <v>0</v>
      </c>
      <c r="N58" s="90"/>
      <c r="P58" s="16" t="s">
        <v>78</v>
      </c>
    </row>
    <row r="59" spans="1:30">
      <c r="A59" s="241" t="s">
        <v>149</v>
      </c>
      <c r="B59" s="241"/>
      <c r="C59" s="252">
        <v>0</v>
      </c>
      <c r="D59" s="252">
        <v>0</v>
      </c>
      <c r="E59" s="252">
        <v>0</v>
      </c>
      <c r="F59" s="252">
        <v>0</v>
      </c>
      <c r="G59" s="252">
        <v>0</v>
      </c>
      <c r="H59" s="252">
        <v>0</v>
      </c>
      <c r="I59" s="252">
        <v>715495</v>
      </c>
      <c r="J59" s="252">
        <v>2433294</v>
      </c>
      <c r="K59" s="255">
        <f>J59</f>
        <v>2433294</v>
      </c>
      <c r="L59" s="255">
        <f>K59</f>
        <v>2433294</v>
      </c>
      <c r="M59" s="255">
        <f>L59</f>
        <v>2433294</v>
      </c>
      <c r="N59" s="91"/>
      <c r="O59" s="250"/>
      <c r="P59" s="27" t="s">
        <v>80</v>
      </c>
      <c r="Q59" s="26"/>
      <c r="R59" s="101" t="e">
        <f t="shared" ref="R59:AB59" si="28">C63/SUM(C65:C67)</f>
        <v>#DIV/0!</v>
      </c>
      <c r="S59" s="101" t="e">
        <f t="shared" si="28"/>
        <v>#DIV/0!</v>
      </c>
      <c r="T59" s="101" t="e">
        <f t="shared" si="28"/>
        <v>#DIV/0!</v>
      </c>
      <c r="U59" s="101" t="e">
        <f t="shared" si="28"/>
        <v>#DIV/0!</v>
      </c>
      <c r="V59" s="101" t="e">
        <f t="shared" si="28"/>
        <v>#DIV/0!</v>
      </c>
      <c r="W59" s="101" t="e">
        <f t="shared" si="28"/>
        <v>#DIV/0!</v>
      </c>
      <c r="X59" s="101" t="e">
        <f t="shared" si="28"/>
        <v>#DIV/0!</v>
      </c>
      <c r="Y59" s="101" t="e">
        <f t="shared" si="28"/>
        <v>#DIV/0!</v>
      </c>
      <c r="Z59" s="102">
        <f t="shared" si="28"/>
        <v>1.2185990156110464</v>
      </c>
      <c r="AA59" s="102">
        <f t="shared" si="28"/>
        <v>1.1802816875856637</v>
      </c>
      <c r="AB59" s="102">
        <f t="shared" si="28"/>
        <v>0.90063840753695334</v>
      </c>
    </row>
    <row r="60" spans="1:30">
      <c r="A60" s="241" t="s">
        <v>81</v>
      </c>
      <c r="B60" s="241"/>
      <c r="C60" s="252">
        <f>SUMIF(BS.data!$D$5:$D$116,'Stress test'!$A60,BS.data!P$5:P$116)</f>
        <v>0</v>
      </c>
      <c r="D60" s="252">
        <f>SUMIF(BS.data!$D$5:$D$116,'Stress test'!$A60,BS.data!Q$5:Q$116)</f>
        <v>0</v>
      </c>
      <c r="E60" s="252">
        <f>SUMIF(BS.data!$D$5:$D$116,'Stress test'!$A60,BS.data!R$5:R$116)</f>
        <v>0</v>
      </c>
      <c r="F60" s="252">
        <f>SUMIF(BS.data!$D$5:$D$116,'Stress test'!$A60,BS.data!S$5:S$116)</f>
        <v>0</v>
      </c>
      <c r="G60" s="252">
        <f>SUMIF(BS.data!$D$5:$D$116,'Stress test'!$A60,BS.data!T$5:T$116)</f>
        <v>0</v>
      </c>
      <c r="H60" s="252">
        <f>SUMIF(BS.data!$D$5:$D$116,'Stress test'!$A60,BS.data!U$5:U$116)</f>
        <v>0</v>
      </c>
      <c r="I60" s="252">
        <f>SUMIF(BS.data!$D$5:$D$116,'Stress test'!$A60,BS.data!V$5:V$116)</f>
        <v>0</v>
      </c>
      <c r="J60" s="252">
        <f>SUMIF(BS.data!$D$5:$D$116,'Stress test'!$A60,BS.data!W$5:W$116)</f>
        <v>0</v>
      </c>
      <c r="K60" s="91">
        <f>8026738</f>
        <v>8026738</v>
      </c>
      <c r="L60" s="91">
        <f>7886657</f>
        <v>7886657</v>
      </c>
      <c r="M60" s="91">
        <f>6815721</f>
        <v>6815721</v>
      </c>
      <c r="N60" s="91"/>
      <c r="P60" s="227" t="s">
        <v>82</v>
      </c>
      <c r="Q60" s="227"/>
      <c r="R60" s="27" t="e">
        <f t="shared" ref="R60:X60" si="29">(C65+C66+C67)/C64</f>
        <v>#DIV/0!</v>
      </c>
      <c r="S60" s="27" t="e">
        <f t="shared" si="29"/>
        <v>#DIV/0!</v>
      </c>
      <c r="T60" s="27" t="e">
        <f t="shared" si="29"/>
        <v>#DIV/0!</v>
      </c>
      <c r="U60" s="27" t="e">
        <f t="shared" si="29"/>
        <v>#DIV/0!</v>
      </c>
      <c r="V60" s="27" t="e">
        <f t="shared" si="29"/>
        <v>#DIV/0!</v>
      </c>
      <c r="W60" s="27" t="e">
        <f t="shared" si="29"/>
        <v>#DIV/0!</v>
      </c>
      <c r="X60" s="27" t="e">
        <f t="shared" si="29"/>
        <v>#DIV/0!</v>
      </c>
      <c r="Y60" s="27" t="e">
        <f>(J65+J66)/J64</f>
        <v>#DIV/0!</v>
      </c>
      <c r="Z60" s="102">
        <f>(K65+K66)/K64</f>
        <v>0.59992671063739511</v>
      </c>
      <c r="AA60" s="102">
        <f>(L65+L66)/L64</f>
        <v>0.58970236179061575</v>
      </c>
      <c r="AB60" s="102">
        <f>(M65+M66)/M64</f>
        <v>0.78569827787522484</v>
      </c>
    </row>
    <row r="61" spans="1:30">
      <c r="A61" s="241" t="s">
        <v>83</v>
      </c>
      <c r="B61" s="241"/>
      <c r="C61" s="252">
        <f>SUMIF(BS.data!$D$5:$D$116,'Stress test'!$A61,BS.data!P$5:P$116)</f>
        <v>0</v>
      </c>
      <c r="D61" s="252">
        <f>SUMIF(BS.data!$D$5:$D$116,'Stress test'!$A61,BS.data!Q$5:Q$116)</f>
        <v>0</v>
      </c>
      <c r="E61" s="252">
        <f>SUMIF(BS.data!$D$5:$D$116,'Stress test'!$A61,BS.data!R$5:R$116)</f>
        <v>0</v>
      </c>
      <c r="F61" s="252">
        <f>SUMIF(BS.data!$D$5:$D$116,'Stress test'!$A61,BS.data!S$5:S$116)</f>
        <v>0</v>
      </c>
      <c r="G61" s="252">
        <f>SUMIF(BS.data!$D$5:$D$116,'Stress test'!$A61,BS.data!T$5:T$116)</f>
        <v>0</v>
      </c>
      <c r="H61" s="252">
        <f>SUMIF(BS.data!$D$5:$D$116,'Stress test'!$A61,BS.data!U$5:U$116)</f>
        <v>0</v>
      </c>
      <c r="I61" s="252">
        <f>SUMIF(BS.data!$D$5:$D$116,'Stress test'!$A61,BS.data!V$5:V$116)</f>
        <v>0</v>
      </c>
      <c r="J61" s="252">
        <f>SUMIF(BS.data!$D$5:$D$116,'Stress test'!$A61,BS.data!W$5:W$116)</f>
        <v>0</v>
      </c>
      <c r="K61" s="91">
        <v>2256837</v>
      </c>
      <c r="L61" s="91">
        <v>3319613</v>
      </c>
      <c r="M61" s="91">
        <v>2648638</v>
      </c>
      <c r="P61" s="227" t="s">
        <v>84</v>
      </c>
      <c r="Q61" s="227"/>
      <c r="R61" s="256">
        <f t="shared" ref="R61:AB61" si="30">((C37*8)+C63)/C39</f>
        <v>-0.15913324394611569</v>
      </c>
      <c r="S61" s="256">
        <f t="shared" si="30"/>
        <v>1.7814936020682275E-2</v>
      </c>
      <c r="T61" s="256">
        <f t="shared" si="30"/>
        <v>8</v>
      </c>
      <c r="U61" s="256">
        <f t="shared" si="30"/>
        <v>8</v>
      </c>
      <c r="V61" s="256">
        <f t="shared" si="30"/>
        <v>8</v>
      </c>
      <c r="W61" s="256">
        <f t="shared" si="30"/>
        <v>8</v>
      </c>
      <c r="X61" s="256">
        <f t="shared" si="30"/>
        <v>30.793018603416048</v>
      </c>
      <c r="Y61" s="256">
        <f t="shared" si="30"/>
        <v>53.979602861418627</v>
      </c>
      <c r="Z61" s="257">
        <f t="shared" si="30"/>
        <v>5.7750357470194729</v>
      </c>
      <c r="AA61" s="257">
        <f t="shared" si="30"/>
        <v>4.6987039655681837</v>
      </c>
      <c r="AB61" s="257">
        <f t="shared" si="30"/>
        <v>3.5802656532135106</v>
      </c>
    </row>
    <row r="62" spans="1:30">
      <c r="N62" s="253"/>
      <c r="P62" s="227" t="s">
        <v>150</v>
      </c>
      <c r="R62" s="101">
        <f t="shared" ref="R62:AB62" si="31">(R23-C37-R21)/(C63+(C37*8))</f>
        <v>-6.5340420719294272</v>
      </c>
      <c r="S62" s="101">
        <f t="shared" si="31"/>
        <v>55.882674225663713</v>
      </c>
      <c r="T62" s="101">
        <f t="shared" si="31"/>
        <v>-0.125</v>
      </c>
      <c r="U62" s="101">
        <f t="shared" si="31"/>
        <v>-0.125</v>
      </c>
      <c r="V62" s="101">
        <f t="shared" si="31"/>
        <v>-0.125</v>
      </c>
      <c r="W62" s="101">
        <f t="shared" si="31"/>
        <v>-0.125</v>
      </c>
      <c r="X62" s="101">
        <f t="shared" si="31"/>
        <v>-3.2474893510084923E-2</v>
      </c>
      <c r="Y62" s="101">
        <f t="shared" si="31"/>
        <v>-1.8525516065156896E-2</v>
      </c>
      <c r="Z62" s="102">
        <f t="shared" si="31"/>
        <v>0.14751128273694247</v>
      </c>
      <c r="AA62" s="102">
        <f t="shared" si="31"/>
        <v>0.18131421164247913</v>
      </c>
      <c r="AB62" s="102">
        <f t="shared" si="31"/>
        <v>0.23599134405486108</v>
      </c>
    </row>
    <row r="63" spans="1:30">
      <c r="A63" s="220" t="s">
        <v>85</v>
      </c>
      <c r="B63" s="220"/>
      <c r="C63" s="253">
        <f t="shared" ref="C63:M63" si="32">C60+C61+C59</f>
        <v>0</v>
      </c>
      <c r="D63" s="253">
        <f t="shared" si="32"/>
        <v>0</v>
      </c>
      <c r="E63" s="253">
        <f t="shared" si="32"/>
        <v>0</v>
      </c>
      <c r="F63" s="253">
        <f t="shared" si="32"/>
        <v>0</v>
      </c>
      <c r="G63" s="253">
        <f t="shared" si="32"/>
        <v>0</v>
      </c>
      <c r="H63" s="253">
        <f t="shared" si="32"/>
        <v>0</v>
      </c>
      <c r="I63" s="253">
        <f t="shared" si="32"/>
        <v>715495</v>
      </c>
      <c r="J63" s="253">
        <f t="shared" si="32"/>
        <v>2433294</v>
      </c>
      <c r="K63" s="253">
        <f t="shared" si="32"/>
        <v>12716869</v>
      </c>
      <c r="L63" s="253">
        <f t="shared" si="32"/>
        <v>13639564</v>
      </c>
      <c r="M63" s="253">
        <f t="shared" si="32"/>
        <v>11897653</v>
      </c>
      <c r="N63" s="253"/>
      <c r="P63" s="227" t="s">
        <v>151</v>
      </c>
      <c r="R63" s="101" t="e">
        <f t="shared" ref="R63:AB63" si="33">(R25+R27)/(C63)</f>
        <v>#DIV/0!</v>
      </c>
      <c r="S63" s="101" t="e">
        <f t="shared" si="33"/>
        <v>#DIV/0!</v>
      </c>
      <c r="T63" s="101" t="e">
        <f t="shared" si="33"/>
        <v>#DIV/0!</v>
      </c>
      <c r="U63" s="101" t="e">
        <f t="shared" si="33"/>
        <v>#DIV/0!</v>
      </c>
      <c r="V63" s="101" t="e">
        <f t="shared" si="33"/>
        <v>#DIV/0!</v>
      </c>
      <c r="W63" s="101" t="e">
        <f t="shared" si="33"/>
        <v>#DIV/0!</v>
      </c>
      <c r="X63" s="101">
        <f t="shared" si="33"/>
        <v>0</v>
      </c>
      <c r="Y63" s="101">
        <f t="shared" si="33"/>
        <v>0</v>
      </c>
      <c r="Z63" s="102">
        <f t="shared" si="33"/>
        <v>-0.14213286723272262</v>
      </c>
      <c r="AA63" s="102">
        <f t="shared" si="33"/>
        <v>-5.0284468603441525E-2</v>
      </c>
      <c r="AB63" s="102">
        <f t="shared" si="33"/>
        <v>9.9770552943812235E-2</v>
      </c>
    </row>
    <row r="64" spans="1:30">
      <c r="A64" s="220" t="s">
        <v>87</v>
      </c>
      <c r="B64" s="220"/>
      <c r="C64" s="253">
        <f t="shared" ref="C64:M64" si="34">SUM(C53:C61)</f>
        <v>0</v>
      </c>
      <c r="D64" s="253">
        <f t="shared" si="34"/>
        <v>0</v>
      </c>
      <c r="E64" s="253">
        <f t="shared" si="34"/>
        <v>0</v>
      </c>
      <c r="F64" s="253">
        <f t="shared" si="34"/>
        <v>0</v>
      </c>
      <c r="G64" s="253">
        <f t="shared" si="34"/>
        <v>0</v>
      </c>
      <c r="H64" s="253">
        <f t="shared" si="34"/>
        <v>0</v>
      </c>
      <c r="I64" s="253">
        <f t="shared" si="34"/>
        <v>0</v>
      </c>
      <c r="J64" s="253">
        <f t="shared" si="34"/>
        <v>0</v>
      </c>
      <c r="K64" s="253">
        <f t="shared" si="34"/>
        <v>15979570</v>
      </c>
      <c r="L64" s="253">
        <f t="shared" si="34"/>
        <v>18156817</v>
      </c>
      <c r="M64" s="253">
        <f t="shared" si="34"/>
        <v>15732716</v>
      </c>
      <c r="N64" s="91"/>
      <c r="P64" s="227" t="s">
        <v>152</v>
      </c>
      <c r="Q64" s="227"/>
      <c r="R64" s="101" t="e">
        <f t="shared" ref="R64:AB64" si="35">(R25+C34)/(C63)</f>
        <v>#DIV/0!</v>
      </c>
      <c r="S64" s="101" t="e">
        <f t="shared" si="35"/>
        <v>#DIV/0!</v>
      </c>
      <c r="T64" s="101" t="e">
        <f t="shared" si="35"/>
        <v>#DIV/0!</v>
      </c>
      <c r="U64" s="101" t="e">
        <f t="shared" si="35"/>
        <v>#DIV/0!</v>
      </c>
      <c r="V64" s="101" t="e">
        <f t="shared" si="35"/>
        <v>#DIV/0!</v>
      </c>
      <c r="W64" s="101" t="e">
        <f t="shared" si="35"/>
        <v>#DIV/0!</v>
      </c>
      <c r="X64" s="101">
        <f t="shared" si="35"/>
        <v>0</v>
      </c>
      <c r="Y64" s="101">
        <f t="shared" si="35"/>
        <v>0</v>
      </c>
      <c r="Z64" s="102">
        <f t="shared" si="35"/>
        <v>0.20301553368262848</v>
      </c>
      <c r="AA64" s="102">
        <f t="shared" si="35"/>
        <v>0.15625079894616636</v>
      </c>
      <c r="AB64" s="102">
        <f t="shared" si="35"/>
        <v>0.2128594117296585</v>
      </c>
    </row>
    <row r="65" spans="1:28">
      <c r="A65" s="241" t="s">
        <v>90</v>
      </c>
      <c r="B65" s="241"/>
      <c r="C65" s="252">
        <f>SUMIF(BS.data!$D$5:$D$116,'Stress test'!$A65,BS.data!P$5:P$116)</f>
        <v>0</v>
      </c>
      <c r="D65" s="252">
        <f>SUMIF(BS.data!$D$5:$D$116,'Stress test'!$A65,BS.data!Q$5:Q$116)</f>
        <v>0</v>
      </c>
      <c r="E65" s="252">
        <f>SUMIF(BS.data!$D$5:$D$116,'Stress test'!$A65,BS.data!R$5:R$116)</f>
        <v>0</v>
      </c>
      <c r="F65" s="252">
        <f>SUMIF(BS.data!$D$5:$D$116,'Stress test'!$A65,BS.data!S$5:S$116)</f>
        <v>0</v>
      </c>
      <c r="G65" s="252">
        <f>SUMIF(BS.data!$D$5:$D$116,'Stress test'!$A65,BS.data!T$5:T$116)</f>
        <v>0</v>
      </c>
      <c r="H65" s="252">
        <f>SUMIF(BS.data!$D$5:$D$116,'Stress test'!$A65,BS.data!U$5:U$116)</f>
        <v>0</v>
      </c>
      <c r="I65" s="252">
        <f>SUMIF(BS.data!$D$5:$D$116,'Stress test'!$A65,BS.data!V$5:V$116)</f>
        <v>0</v>
      </c>
      <c r="J65" s="252">
        <f>SUMIF(BS.data!$D$5:$D$116,'Stress test'!$A65,BS.data!W$5:W$116)</f>
        <v>0</v>
      </c>
      <c r="K65" s="252">
        <f>10527361-158-C14</f>
        <v>8325174.8674999997</v>
      </c>
      <c r="L65" s="252">
        <f>10828661-157-C14</f>
        <v>8626475.8674999997</v>
      </c>
      <c r="M65" s="252">
        <f>11151510-158-C14</f>
        <v>8949323.8674999997</v>
      </c>
      <c r="N65" s="91"/>
    </row>
    <row r="66" spans="1:28">
      <c r="A66" s="241" t="s">
        <v>92</v>
      </c>
      <c r="B66" s="241"/>
      <c r="C66" s="252">
        <f>SUMIF(BS.data!$D$5:$D$116,'Stress test'!$A66,BS.data!P$5:P$116)</f>
        <v>0</v>
      </c>
      <c r="D66" s="252">
        <f>SUMIF(BS.data!$D$5:$D$116,'Stress test'!$A66,BS.data!Q$5:Q$116)</f>
        <v>0</v>
      </c>
      <c r="E66" s="252">
        <f>SUMIF(BS.data!$D$5:$D$116,'Stress test'!$A66,BS.data!R$5:R$116)</f>
        <v>0</v>
      </c>
      <c r="F66" s="252">
        <f>SUMIF(BS.data!$D$5:$D$116,'Stress test'!$A66,BS.data!S$5:S$116)</f>
        <v>0</v>
      </c>
      <c r="G66" s="252">
        <f>SUMIF(BS.data!$D$5:$D$116,'Stress test'!$A66,BS.data!T$5:T$116)</f>
        <v>0</v>
      </c>
      <c r="H66" s="252">
        <f>SUMIF(BS.data!$D$5:$D$116,'Stress test'!$A66,BS.data!U$5:U$116)</f>
        <v>0</v>
      </c>
      <c r="I66" s="252">
        <f>SUMIF(BS.data!$D$5:$D$116,'Stress test'!$A66,BS.data!V$5:V$116)</f>
        <v>0</v>
      </c>
      <c r="J66" s="252">
        <f>SUMIF(BS.data!$D$5:$D$116,'Stress test'!$A66,BS.data!W$5:W$116)</f>
        <v>0</v>
      </c>
      <c r="K66" s="91">
        <f>1261396+E9</f>
        <v>1261396</v>
      </c>
      <c r="L66" s="91">
        <f>2080642+F9</f>
        <v>2080642.0000000028</v>
      </c>
      <c r="M66" s="91">
        <f>3411844+G9</f>
        <v>3411843.9999999972</v>
      </c>
      <c r="N66" s="91"/>
      <c r="P66" s="16" t="s">
        <v>97</v>
      </c>
    </row>
    <row r="67" spans="1:28">
      <c r="A67" s="227" t="s">
        <v>94</v>
      </c>
      <c r="B67" s="227"/>
      <c r="C67" s="252">
        <f>SUMIF(BS.data!$D$5:$D$116,'Stress test'!$A67,BS.data!P$5:P$116)</f>
        <v>0</v>
      </c>
      <c r="D67" s="252">
        <f>SUMIF(BS.data!$D$5:$D$116,'Stress test'!$A67,BS.data!Q$5:Q$116)</f>
        <v>0</v>
      </c>
      <c r="E67" s="252">
        <f>SUMIF(BS.data!$D$5:$D$116,'Stress test'!$A67,BS.data!R$5:R$116)</f>
        <v>0</v>
      </c>
      <c r="F67" s="252">
        <f>SUMIF(BS.data!$D$5:$D$116,'Stress test'!$A67,BS.data!S$5:S$116)</f>
        <v>0</v>
      </c>
      <c r="G67" s="252">
        <f>SUMIF(BS.data!$D$5:$D$116,'Stress test'!$A67,BS.data!T$5:T$116)</f>
        <v>0</v>
      </c>
      <c r="H67" s="252">
        <f>SUMIF(BS.data!$D$5:$D$116,'Stress test'!$A67,BS.data!U$5:U$116)</f>
        <v>0</v>
      </c>
      <c r="I67" s="252">
        <f>SUMIF(BS.data!$D$5:$D$116,'Stress test'!$A67,BS.data!V$5:V$116)</f>
        <v>0</v>
      </c>
      <c r="J67" s="252">
        <f>SUMIF(BS.data!$D$5:$D$116,'Stress test'!$A67,BS.data!W$5:W$116)</f>
        <v>0</v>
      </c>
      <c r="K67" s="91">
        <v>849076</v>
      </c>
      <c r="L67" s="91">
        <v>849076</v>
      </c>
      <c r="M67" s="91">
        <v>849076</v>
      </c>
      <c r="N67" s="253"/>
      <c r="P67" s="27" t="s">
        <v>99</v>
      </c>
      <c r="Q67" s="27"/>
      <c r="R67" s="27" t="e">
        <f t="shared" ref="R67:X67" si="36">(C63-C42)/(C65+C66+C67)</f>
        <v>#DIV/0!</v>
      </c>
      <c r="S67" s="27" t="e">
        <f t="shared" si="36"/>
        <v>#DIV/0!</v>
      </c>
      <c r="T67" s="27" t="e">
        <f t="shared" si="36"/>
        <v>#DIV/0!</v>
      </c>
      <c r="U67" s="27" t="e">
        <f t="shared" si="36"/>
        <v>#DIV/0!</v>
      </c>
      <c r="V67" s="27" t="e">
        <f t="shared" si="36"/>
        <v>#DIV/0!</v>
      </c>
      <c r="W67" s="27" t="e">
        <f t="shared" si="36"/>
        <v>#DIV/0!</v>
      </c>
      <c r="X67" s="27" t="e">
        <f t="shared" si="36"/>
        <v>#DIV/0!</v>
      </c>
      <c r="Y67" s="27" t="e">
        <f>(J63-J42)/(J65+J66)</f>
        <v>#DIV/0!</v>
      </c>
      <c r="Z67" s="102">
        <f>(K63-K42)/(K65+K66)</f>
        <v>1.5798418845510012</v>
      </c>
      <c r="AA67" s="102">
        <f>(L63-L42)/(L65+L66)</f>
        <v>1.4442990732693128</v>
      </c>
      <c r="AB67" s="102">
        <f>(M63-M42)/(M65+M66)</f>
        <v>1.1231729189096344</v>
      </c>
    </row>
    <row r="68" spans="1:28">
      <c r="A68" s="220" t="s">
        <v>98</v>
      </c>
      <c r="B68" s="220"/>
      <c r="C68" s="253">
        <f t="shared" ref="C68:M68" si="37">+C64+C65+C66+C67</f>
        <v>0</v>
      </c>
      <c r="D68" s="253">
        <f t="shared" si="37"/>
        <v>0</v>
      </c>
      <c r="E68" s="253">
        <f t="shared" si="37"/>
        <v>0</v>
      </c>
      <c r="F68" s="253">
        <f t="shared" si="37"/>
        <v>0</v>
      </c>
      <c r="G68" s="253">
        <f t="shared" si="37"/>
        <v>0</v>
      </c>
      <c r="H68" s="253">
        <f t="shared" si="37"/>
        <v>0</v>
      </c>
      <c r="I68" s="253">
        <f t="shared" si="37"/>
        <v>0</v>
      </c>
      <c r="J68" s="253">
        <f t="shared" si="37"/>
        <v>0</v>
      </c>
      <c r="K68" s="253">
        <f t="shared" si="37"/>
        <v>26415216.8675</v>
      </c>
      <c r="L68" s="253">
        <f t="shared" si="37"/>
        <v>29713010.867500003</v>
      </c>
      <c r="M68" s="253">
        <f t="shared" si="37"/>
        <v>28942959.867499996</v>
      </c>
      <c r="N68" s="258"/>
      <c r="P68" s="227" t="s">
        <v>101</v>
      </c>
      <c r="Q68" s="227"/>
      <c r="R68" s="256">
        <f t="shared" ref="R68:AB68" si="38">(C63-C42)/C38</f>
        <v>0</v>
      </c>
      <c r="S68" s="256">
        <f t="shared" si="38"/>
        <v>0</v>
      </c>
      <c r="T68" s="256" t="e">
        <f t="shared" si="38"/>
        <v>#DIV/0!</v>
      </c>
      <c r="U68" s="256" t="e">
        <f t="shared" si="38"/>
        <v>#DIV/0!</v>
      </c>
      <c r="V68" s="256" t="e">
        <f t="shared" si="38"/>
        <v>#DIV/0!</v>
      </c>
      <c r="W68" s="256" t="e">
        <f t="shared" si="38"/>
        <v>#DIV/0!</v>
      </c>
      <c r="X68" s="256" t="e">
        <f t="shared" si="38"/>
        <v>#DIV/0!</v>
      </c>
      <c r="Y68" s="256" t="e">
        <f t="shared" si="38"/>
        <v>#DIV/0!</v>
      </c>
      <c r="Z68" s="257">
        <f t="shared" si="38"/>
        <v>6.8114409444250716</v>
      </c>
      <c r="AA68" s="257">
        <f t="shared" si="38"/>
        <v>5.2584765769840871</v>
      </c>
      <c r="AB68" s="257">
        <f t="shared" si="38"/>
        <v>4.1003164767989642</v>
      </c>
    </row>
    <row r="69" spans="1:28">
      <c r="A69" s="258" t="s">
        <v>100</v>
      </c>
      <c r="B69" s="258"/>
      <c r="C69" s="259">
        <f t="shared" ref="C69:M69" si="39">C51-C68</f>
        <v>0</v>
      </c>
      <c r="D69" s="259">
        <f t="shared" si="39"/>
        <v>0</v>
      </c>
      <c r="E69" s="259">
        <f t="shared" si="39"/>
        <v>0</v>
      </c>
      <c r="F69" s="259">
        <f t="shared" si="39"/>
        <v>0</v>
      </c>
      <c r="G69" s="259">
        <f t="shared" si="39"/>
        <v>0</v>
      </c>
      <c r="H69" s="259">
        <f t="shared" si="39"/>
        <v>0</v>
      </c>
      <c r="I69" s="259">
        <f t="shared" si="39"/>
        <v>0</v>
      </c>
      <c r="J69" s="259">
        <f t="shared" si="39"/>
        <v>0</v>
      </c>
      <c r="K69" s="259">
        <f t="shared" si="39"/>
        <v>-4594726.0531929247</v>
      </c>
      <c r="L69" s="259">
        <f t="shared" si="39"/>
        <v>-4594724.2809155621</v>
      </c>
      <c r="M69" s="259">
        <f t="shared" si="39"/>
        <v>-4594628.8623719476</v>
      </c>
      <c r="N69" s="90"/>
      <c r="P69" s="227" t="s">
        <v>84</v>
      </c>
      <c r="Q69" s="227"/>
      <c r="R69" s="256">
        <f t="shared" ref="R69:AB69" si="40">((C37*8)+C63-C42)/C39</f>
        <v>-0.15913324394611569</v>
      </c>
      <c r="S69" s="256">
        <f t="shared" si="40"/>
        <v>1.7814936020682275E-2</v>
      </c>
      <c r="T69" s="256">
        <f t="shared" si="40"/>
        <v>8</v>
      </c>
      <c r="U69" s="256">
        <f t="shared" si="40"/>
        <v>8</v>
      </c>
      <c r="V69" s="256">
        <f t="shared" si="40"/>
        <v>8</v>
      </c>
      <c r="W69" s="256">
        <f t="shared" si="40"/>
        <v>8</v>
      </c>
      <c r="X69" s="256">
        <f t="shared" si="40"/>
        <v>30.793018603416048</v>
      </c>
      <c r="Y69" s="256">
        <f t="shared" si="40"/>
        <v>53.979602861418627</v>
      </c>
      <c r="Z69" s="257">
        <f t="shared" si="40"/>
        <v>6.8404909355443291</v>
      </c>
      <c r="AA69" s="257">
        <f t="shared" si="40"/>
        <v>5.3079775196260108</v>
      </c>
      <c r="AB69" s="257">
        <f t="shared" si="40"/>
        <v>4.1581236553886738</v>
      </c>
    </row>
    <row r="70" spans="1:28">
      <c r="K70" s="90"/>
      <c r="L70" s="90"/>
      <c r="M70" s="90"/>
      <c r="N70" s="93"/>
      <c r="P70" s="227" t="s">
        <v>153</v>
      </c>
      <c r="R70" s="101">
        <f t="shared" ref="R70:AB70" si="41">(R23-C37-R21)/(C63-C42+(C37*8))</f>
        <v>-6.5340420719294272</v>
      </c>
      <c r="S70" s="101">
        <f t="shared" si="41"/>
        <v>55.882674225663713</v>
      </c>
      <c r="T70" s="101">
        <f t="shared" si="41"/>
        <v>-0.125</v>
      </c>
      <c r="U70" s="101">
        <f t="shared" si="41"/>
        <v>-0.125</v>
      </c>
      <c r="V70" s="101">
        <f t="shared" si="41"/>
        <v>-0.125</v>
      </c>
      <c r="W70" s="101">
        <f t="shared" si="41"/>
        <v>-0.125</v>
      </c>
      <c r="X70" s="101">
        <f t="shared" si="41"/>
        <v>-3.2474893510084923E-2</v>
      </c>
      <c r="Y70" s="101">
        <f t="shared" si="41"/>
        <v>-1.8525516065156896E-2</v>
      </c>
      <c r="Z70" s="102">
        <f t="shared" si="41"/>
        <v>0.12453534971708155</v>
      </c>
      <c r="AA70" s="102">
        <f t="shared" si="41"/>
        <v>0.16050215022734532</v>
      </c>
      <c r="AB70" s="102">
        <f t="shared" si="41"/>
        <v>0.20319542505196006</v>
      </c>
    </row>
    <row r="71" spans="1:28">
      <c r="A71" s="260" t="s">
        <v>103</v>
      </c>
      <c r="B71" s="261"/>
      <c r="C71" s="252"/>
      <c r="D71" s="252">
        <v>187163</v>
      </c>
      <c r="E71" s="252">
        <v>230123</v>
      </c>
      <c r="F71" s="252">
        <v>708786</v>
      </c>
      <c r="G71" s="252">
        <v>693900</v>
      </c>
      <c r="H71" s="252">
        <v>564362</v>
      </c>
      <c r="I71" s="252">
        <v>634946</v>
      </c>
      <c r="J71" s="252">
        <v>851398</v>
      </c>
      <c r="K71" s="252">
        <v>2598867.6066092099</v>
      </c>
      <c r="L71" s="252">
        <v>626302.45179784787</v>
      </c>
      <c r="M71" s="252">
        <v>1673222.5061125711</v>
      </c>
      <c r="N71" s="90"/>
      <c r="P71" s="227" t="s">
        <v>154</v>
      </c>
      <c r="R71" s="101" t="e">
        <f t="shared" ref="R71:AB71" si="42">(R25+R27)/(C63-C42)</f>
        <v>#DIV/0!</v>
      </c>
      <c r="S71" s="101" t="e">
        <f t="shared" si="42"/>
        <v>#DIV/0!</v>
      </c>
      <c r="T71" s="101" t="e">
        <f t="shared" si="42"/>
        <v>#DIV/0!</v>
      </c>
      <c r="U71" s="101" t="e">
        <f t="shared" si="42"/>
        <v>#DIV/0!</v>
      </c>
      <c r="V71" s="101" t="e">
        <f t="shared" si="42"/>
        <v>#DIV/0!</v>
      </c>
      <c r="W71" s="101" t="e">
        <f t="shared" si="42"/>
        <v>#DIV/0!</v>
      </c>
      <c r="X71" s="101">
        <f t="shared" si="42"/>
        <v>0</v>
      </c>
      <c r="Y71" s="101">
        <f t="shared" si="42"/>
        <v>0</v>
      </c>
      <c r="Z71" s="102">
        <f t="shared" si="42"/>
        <v>-0.11934323444908342</v>
      </c>
      <c r="AA71" s="102">
        <f t="shared" si="42"/>
        <v>-4.4351124616677041E-2</v>
      </c>
      <c r="AB71" s="102">
        <f t="shared" si="42"/>
        <v>8.5498313816269822E-2</v>
      </c>
    </row>
    <row r="72" spans="1:28">
      <c r="A72" t="s">
        <v>105</v>
      </c>
      <c r="C72" s="252"/>
      <c r="D72" s="252"/>
      <c r="E72" s="252"/>
      <c r="F72" s="252"/>
      <c r="H72" s="252"/>
      <c r="I72" s="252"/>
      <c r="J72" s="252"/>
      <c r="K72" s="90"/>
      <c r="L72" s="90"/>
      <c r="M72" s="90"/>
      <c r="P72" s="227" t="s">
        <v>155</v>
      </c>
      <c r="Q72" s="227"/>
      <c r="R72" s="101" t="e">
        <f t="shared" ref="R72:AB72" si="43">(R25+C34)/(C63-C42)</f>
        <v>#DIV/0!</v>
      </c>
      <c r="S72" s="101" t="e">
        <f t="shared" si="43"/>
        <v>#DIV/0!</v>
      </c>
      <c r="T72" s="101" t="e">
        <f t="shared" si="43"/>
        <v>#DIV/0!</v>
      </c>
      <c r="U72" s="101" t="e">
        <f t="shared" si="43"/>
        <v>#DIV/0!</v>
      </c>
      <c r="V72" s="101" t="e">
        <f t="shared" si="43"/>
        <v>#DIV/0!</v>
      </c>
      <c r="W72" s="101" t="e">
        <f t="shared" si="43"/>
        <v>#DIV/0!</v>
      </c>
      <c r="X72" s="101">
        <f t="shared" si="43"/>
        <v>0</v>
      </c>
      <c r="Y72" s="101">
        <f t="shared" si="43"/>
        <v>0</v>
      </c>
      <c r="Z72" s="102">
        <f t="shared" si="43"/>
        <v>0.17046395323483415</v>
      </c>
      <c r="AA72" s="102">
        <f t="shared" si="43"/>
        <v>0.13781389856514231</v>
      </c>
      <c r="AB72" s="102">
        <f t="shared" si="43"/>
        <v>0.18240974161041407</v>
      </c>
    </row>
    <row r="73" spans="1:28">
      <c r="B73" s="262"/>
      <c r="P73" s="227"/>
      <c r="Q73" s="227"/>
      <c r="R73" s="101"/>
      <c r="S73" s="101"/>
      <c r="T73" s="101"/>
      <c r="U73" s="101"/>
      <c r="V73" s="101"/>
      <c r="W73" s="101"/>
      <c r="X73" s="101"/>
      <c r="Y73" s="101"/>
      <c r="Z73" s="101"/>
      <c r="AA73" s="101"/>
      <c r="AB73" s="101"/>
    </row>
    <row r="74" spans="1:28">
      <c r="A74" t="s">
        <v>156</v>
      </c>
      <c r="C74">
        <v>658136</v>
      </c>
      <c r="D74">
        <v>1062686</v>
      </c>
      <c r="E74">
        <v>1623410</v>
      </c>
      <c r="F74">
        <v>1254207</v>
      </c>
      <c r="G74">
        <v>941735</v>
      </c>
      <c r="H74">
        <v>1051092</v>
      </c>
      <c r="I74">
        <v>1181757</v>
      </c>
      <c r="J74">
        <v>1173286</v>
      </c>
      <c r="P74" s="227" t="s">
        <v>110</v>
      </c>
      <c r="R74" s="256">
        <f t="shared" ref="R74:W74" si="44">C25/-C27</f>
        <v>-1.6687519471618169</v>
      </c>
      <c r="S74" s="256" t="e">
        <f t="shared" si="44"/>
        <v>#DIV/0!</v>
      </c>
      <c r="T74" s="256" t="e">
        <f t="shared" si="44"/>
        <v>#DIV/0!</v>
      </c>
      <c r="U74" s="256" t="e">
        <f t="shared" si="44"/>
        <v>#DIV/0!</v>
      </c>
      <c r="V74" s="256" t="e">
        <f t="shared" si="44"/>
        <v>#DIV/0!</v>
      </c>
      <c r="W74" s="256" t="e">
        <f t="shared" si="44"/>
        <v>#DIV/0!</v>
      </c>
      <c r="X74" s="256" t="e">
        <f>I25/-X21</f>
        <v>#DIV/0!</v>
      </c>
      <c r="Y74" s="256" t="e">
        <f>J25/-Y21</f>
        <v>#DIV/0!</v>
      </c>
      <c r="Z74" s="257">
        <f>K25/-Z21</f>
        <v>1.7583537191235175</v>
      </c>
      <c r="AA74" s="257">
        <f>L25/-AA21</f>
        <v>2.0166763940963097</v>
      </c>
      <c r="AB74" s="257">
        <f>M25/-AB21</f>
        <v>3.0230866127791578</v>
      </c>
    </row>
    <row r="75" spans="1:28">
      <c r="A75" t="s">
        <v>157</v>
      </c>
      <c r="C75">
        <v>30434</v>
      </c>
      <c r="D75">
        <v>86807</v>
      </c>
      <c r="E75">
        <v>64744</v>
      </c>
      <c r="F75">
        <v>1232865</v>
      </c>
      <c r="G75">
        <v>936412</v>
      </c>
      <c r="H75">
        <v>507351</v>
      </c>
      <c r="I75">
        <v>879377</v>
      </c>
      <c r="J75">
        <v>1464672</v>
      </c>
      <c r="P75" s="227" t="s">
        <v>111</v>
      </c>
      <c r="Q75" s="227"/>
      <c r="R75" s="256">
        <f t="shared" ref="R75:AB75" si="45">C38/-C27</f>
        <v>-0.56495731821297279</v>
      </c>
      <c r="S75" s="256" t="e">
        <f t="shared" si="45"/>
        <v>#DIV/0!</v>
      </c>
      <c r="T75" s="256" t="e">
        <f t="shared" si="45"/>
        <v>#DIV/0!</v>
      </c>
      <c r="U75" s="256" t="e">
        <f t="shared" si="45"/>
        <v>#DIV/0!</v>
      </c>
      <c r="V75" s="256" t="e">
        <f t="shared" si="45"/>
        <v>#DIV/0!</v>
      </c>
      <c r="W75" s="256" t="e">
        <f t="shared" si="45"/>
        <v>#DIV/0!</v>
      </c>
      <c r="X75" s="256" t="e">
        <f t="shared" si="45"/>
        <v>#DIV/0!</v>
      </c>
      <c r="Y75" s="256" t="e">
        <f t="shared" si="45"/>
        <v>#DIV/0!</v>
      </c>
      <c r="Z75" s="257">
        <f t="shared" si="45"/>
        <v>2.5840125045759077</v>
      </c>
      <c r="AA75" s="257">
        <f t="shared" si="45"/>
        <v>2.7462438892287038</v>
      </c>
      <c r="AB75" s="257">
        <f t="shared" si="45"/>
        <v>4.050551535458923</v>
      </c>
    </row>
    <row r="76" spans="1:28">
      <c r="A76" t="s">
        <v>158</v>
      </c>
      <c r="G76">
        <v>65872</v>
      </c>
      <c r="I76">
        <v>5622</v>
      </c>
      <c r="J76">
        <v>582934</v>
      </c>
      <c r="P76" s="27" t="s">
        <v>159</v>
      </c>
      <c r="Q76" s="27"/>
      <c r="R76" s="256"/>
      <c r="S76" s="256" t="e">
        <f t="shared" ref="S76:AB76" si="46">(S25-S21-D34-D35)/(-S21+C71)</f>
        <v>#DIV/0!</v>
      </c>
      <c r="T76" s="256">
        <f t="shared" si="46"/>
        <v>0</v>
      </c>
      <c r="U76" s="256">
        <f t="shared" si="46"/>
        <v>0</v>
      </c>
      <c r="V76" s="256">
        <f t="shared" si="46"/>
        <v>0</v>
      </c>
      <c r="W76" s="256">
        <f t="shared" si="46"/>
        <v>0</v>
      </c>
      <c r="X76" s="256">
        <f t="shared" si="46"/>
        <v>0</v>
      </c>
      <c r="Y76" s="256">
        <f t="shared" si="46"/>
        <v>0</v>
      </c>
      <c r="Z76" s="257">
        <f t="shared" si="46"/>
        <v>1.1807307782173628</v>
      </c>
      <c r="AA76" s="257">
        <f t="shared" si="46"/>
        <v>0.44677103640601201</v>
      </c>
      <c r="AB76" s="257">
        <f t="shared" si="46"/>
        <v>1.1288631002178762</v>
      </c>
    </row>
    <row r="77" spans="1:28">
      <c r="P77" s="259" t="s">
        <v>114</v>
      </c>
      <c r="Q77" s="259"/>
      <c r="R77" s="259"/>
      <c r="S77" s="259"/>
      <c r="T77" s="259"/>
      <c r="U77" s="259"/>
      <c r="V77" s="227"/>
    </row>
    <row r="78" spans="1:28">
      <c r="B78" s="262"/>
      <c r="C78" s="86"/>
      <c r="D78" s="86"/>
      <c r="E78" s="86"/>
      <c r="F78" s="87"/>
      <c r="G78" s="87"/>
      <c r="H78" s="87"/>
      <c r="I78" s="87"/>
      <c r="J78" s="87"/>
      <c r="P78" s="259" t="s">
        <v>160</v>
      </c>
      <c r="S78" s="259"/>
      <c r="T78" s="259"/>
      <c r="U78" s="259"/>
      <c r="V78" s="227"/>
    </row>
    <row r="79" spans="1:28" s="22" customFormat="1">
      <c r="A79" s="16" t="s">
        <v>161</v>
      </c>
      <c r="P79" s="259" t="s">
        <v>162</v>
      </c>
      <c r="Q79" s="259"/>
      <c r="R79" s="259"/>
    </row>
    <row r="80" spans="1:28" s="22" customFormat="1">
      <c r="A80" t="s">
        <v>163</v>
      </c>
      <c r="B80" s="262"/>
      <c r="C80" s="97" t="e">
        <f t="shared" ref="C80:M80" si="47">(C60)/C51</f>
        <v>#DIV/0!</v>
      </c>
      <c r="D80" s="97" t="e">
        <f t="shared" si="47"/>
        <v>#DIV/0!</v>
      </c>
      <c r="E80" s="97" t="e">
        <f t="shared" si="47"/>
        <v>#DIV/0!</v>
      </c>
      <c r="F80" s="97" t="e">
        <f t="shared" si="47"/>
        <v>#DIV/0!</v>
      </c>
      <c r="G80" s="97" t="e">
        <f t="shared" si="47"/>
        <v>#DIV/0!</v>
      </c>
      <c r="H80" s="97" t="e">
        <f t="shared" si="47"/>
        <v>#DIV/0!</v>
      </c>
      <c r="I80" s="97" t="e">
        <f t="shared" si="47"/>
        <v>#DIV/0!</v>
      </c>
      <c r="J80" s="97" t="e">
        <f t="shared" si="47"/>
        <v>#DIV/0!</v>
      </c>
      <c r="K80" s="97">
        <f t="shared" si="47"/>
        <v>0.36785322879800192</v>
      </c>
      <c r="L80" s="97">
        <f t="shared" si="47"/>
        <v>0.31398069182840788</v>
      </c>
      <c r="M80" s="97">
        <f t="shared" si="47"/>
        <v>0.27992559319833987</v>
      </c>
    </row>
    <row r="81" spans="1:29" s="22" customFormat="1">
      <c r="A81" t="s">
        <v>164</v>
      </c>
      <c r="B81" s="262"/>
      <c r="C81" s="97" t="e">
        <f t="shared" ref="C81:M81" si="48">(C60+C59)/C51</f>
        <v>#DIV/0!</v>
      </c>
      <c r="D81" s="97" t="e">
        <f t="shared" si="48"/>
        <v>#DIV/0!</v>
      </c>
      <c r="E81" s="97" t="e">
        <f t="shared" si="48"/>
        <v>#DIV/0!</v>
      </c>
      <c r="F81" s="97" t="e">
        <f t="shared" si="48"/>
        <v>#DIV/0!</v>
      </c>
      <c r="G81" s="97" t="e">
        <f t="shared" si="48"/>
        <v>#DIV/0!</v>
      </c>
      <c r="H81" s="97" t="e">
        <f t="shared" si="48"/>
        <v>#DIV/0!</v>
      </c>
      <c r="I81" s="97" t="e">
        <f t="shared" si="48"/>
        <v>#DIV/0!</v>
      </c>
      <c r="J81" s="97" t="e">
        <f t="shared" si="48"/>
        <v>#DIV/0!</v>
      </c>
      <c r="K81" s="97">
        <f t="shared" si="48"/>
        <v>0.47936740236574582</v>
      </c>
      <c r="L81" s="97">
        <f t="shared" si="48"/>
        <v>0.41085409884254753</v>
      </c>
      <c r="M81" s="97">
        <f t="shared" si="48"/>
        <v>0.37986238145243084</v>
      </c>
      <c r="P81" s="230" t="s">
        <v>116</v>
      </c>
      <c r="Q81" s="230"/>
      <c r="R81" s="221">
        <v>2015</v>
      </c>
      <c r="S81" s="221">
        <v>2016</v>
      </c>
      <c r="T81" s="221">
        <v>2017</v>
      </c>
      <c r="U81" s="221">
        <v>2018</v>
      </c>
      <c r="V81" s="221">
        <v>2019</v>
      </c>
      <c r="W81" s="221">
        <v>2020</v>
      </c>
      <c r="X81" s="221">
        <v>2021</v>
      </c>
      <c r="Y81" s="221">
        <v>2022</v>
      </c>
      <c r="Z81" s="221">
        <v>2022</v>
      </c>
      <c r="AA81" s="221">
        <v>2022</v>
      </c>
      <c r="AB81" s="221">
        <v>2022</v>
      </c>
    </row>
    <row r="82" spans="1:29" s="22" customFormat="1">
      <c r="A82" t="s">
        <v>165</v>
      </c>
      <c r="B82" s="262"/>
      <c r="C82" s="97" t="e">
        <f t="shared" ref="C82:M82" si="49">SUM(C65:C67)/C51</f>
        <v>#DIV/0!</v>
      </c>
      <c r="D82" s="97" t="e">
        <f t="shared" si="49"/>
        <v>#DIV/0!</v>
      </c>
      <c r="E82" s="97" t="e">
        <f t="shared" si="49"/>
        <v>#DIV/0!</v>
      </c>
      <c r="F82" s="97" t="e">
        <f t="shared" si="49"/>
        <v>#DIV/0!</v>
      </c>
      <c r="G82" s="97" t="e">
        <f t="shared" si="49"/>
        <v>#DIV/0!</v>
      </c>
      <c r="H82" s="97" t="e">
        <f t="shared" si="49"/>
        <v>#DIV/0!</v>
      </c>
      <c r="I82" s="97" t="e">
        <f t="shared" si="49"/>
        <v>#DIV/0!</v>
      </c>
      <c r="J82" s="97" t="e">
        <f t="shared" si="49"/>
        <v>#DIV/0!</v>
      </c>
      <c r="K82" s="97">
        <f t="shared" si="49"/>
        <v>0.47824986872695102</v>
      </c>
      <c r="L82" s="97">
        <f t="shared" si="49"/>
        <v>0.46007094582924746</v>
      </c>
      <c r="M82" s="97">
        <f t="shared" si="49"/>
        <v>0.54255233612183773</v>
      </c>
      <c r="P82" s="259"/>
    </row>
    <row r="83" spans="1:29" s="22" customFormat="1">
      <c r="A83" s="95"/>
      <c r="G83" s="250"/>
      <c r="H83" s="250"/>
      <c r="I83" s="250"/>
      <c r="J83" s="250"/>
      <c r="K83" s="250"/>
      <c r="L83" s="250"/>
      <c r="M83" s="250"/>
      <c r="P83" s="22" t="s">
        <v>117</v>
      </c>
      <c r="R83" s="222">
        <f t="shared" ref="R83:AB83" si="50">C22-C29</f>
        <v>134148</v>
      </c>
      <c r="S83" s="222">
        <f t="shared" si="50"/>
        <v>216333</v>
      </c>
      <c r="T83" s="222">
        <f t="shared" si="50"/>
        <v>0</v>
      </c>
      <c r="U83" s="222">
        <f t="shared" si="50"/>
        <v>0</v>
      </c>
      <c r="V83" s="222">
        <f t="shared" si="50"/>
        <v>0</v>
      </c>
      <c r="W83" s="222">
        <f t="shared" si="50"/>
        <v>0</v>
      </c>
      <c r="X83" s="222">
        <f t="shared" si="50"/>
        <v>0</v>
      </c>
      <c r="Y83" s="222">
        <f t="shared" si="50"/>
        <v>0</v>
      </c>
      <c r="Z83" s="263">
        <f t="shared" si="50"/>
        <v>1829858</v>
      </c>
      <c r="AA83" s="263">
        <f t="shared" si="50"/>
        <v>2390050</v>
      </c>
      <c r="AB83" s="263">
        <f t="shared" si="50"/>
        <v>2386142</v>
      </c>
    </row>
    <row r="84" spans="1:29" s="19" customFormat="1">
      <c r="P84" s="27" t="s">
        <v>118</v>
      </c>
      <c r="R84" s="264" t="e">
        <f t="shared" ref="R84:AB84" si="51">R83/R44</f>
        <v>#DIV/0!</v>
      </c>
      <c r="S84" s="264" t="e">
        <f t="shared" si="51"/>
        <v>#DIV/0!</v>
      </c>
      <c r="T84" s="264" t="e">
        <f t="shared" si="51"/>
        <v>#DIV/0!</v>
      </c>
      <c r="U84" s="264" t="e">
        <f t="shared" si="51"/>
        <v>#DIV/0!</v>
      </c>
      <c r="V84" s="264" t="e">
        <f t="shared" si="51"/>
        <v>#DIV/0!</v>
      </c>
      <c r="W84" s="264" t="e">
        <f t="shared" si="51"/>
        <v>#DIV/0!</v>
      </c>
      <c r="X84" s="264" t="e">
        <f t="shared" si="51"/>
        <v>#DIV/0!</v>
      </c>
      <c r="Y84" s="264" t="e">
        <f t="shared" si="51"/>
        <v>#DIV/0!</v>
      </c>
      <c r="Z84" s="265">
        <f t="shared" si="51"/>
        <v>13944151.982909147</v>
      </c>
      <c r="AA84" s="265">
        <f t="shared" si="51"/>
        <v>16695904.076102884</v>
      </c>
      <c r="AB84" s="265">
        <f t="shared" si="51"/>
        <v>15827409.667313684</v>
      </c>
    </row>
    <row r="85" spans="1:29" s="19" customFormat="1">
      <c r="P85" t="s">
        <v>119</v>
      </c>
      <c r="R85" s="88" t="e">
        <f t="shared" ref="R85:AB85" si="52">(C20-R84)/C20</f>
        <v>#DIV/0!</v>
      </c>
      <c r="S85" s="88" t="e">
        <f t="shared" si="52"/>
        <v>#DIV/0!</v>
      </c>
      <c r="T85" s="88" t="e">
        <f t="shared" si="52"/>
        <v>#DIV/0!</v>
      </c>
      <c r="U85" s="88" t="e">
        <f t="shared" si="52"/>
        <v>#DIV/0!</v>
      </c>
      <c r="V85" s="88" t="e">
        <f t="shared" si="52"/>
        <v>#DIV/0!</v>
      </c>
      <c r="W85" s="88" t="e">
        <f t="shared" si="52"/>
        <v>#DIV/0!</v>
      </c>
      <c r="X85" s="88" t="e">
        <f t="shared" si="52"/>
        <v>#DIV/0!</v>
      </c>
      <c r="Y85" s="88" t="e">
        <f t="shared" si="52"/>
        <v>#DIV/0!</v>
      </c>
      <c r="Z85" s="102">
        <f t="shared" si="52"/>
        <v>0.39302394391238699</v>
      </c>
      <c r="AA85" s="102">
        <f t="shared" si="52"/>
        <v>0.40578716387898062</v>
      </c>
      <c r="AB85" s="102">
        <f t="shared" si="52"/>
        <v>0.48487009287546018</v>
      </c>
    </row>
    <row r="86" spans="1:29" s="19" customFormat="1" ht="13.2"/>
    <row r="87" spans="1:29" s="22" customFormat="1" ht="13.2"/>
    <row r="88" spans="1:29" s="22" customFormat="1" ht="13.2"/>
    <row r="89" spans="1:29" s="22" customFormat="1" ht="13.2"/>
    <row r="90" spans="1:29" s="22" customFormat="1" ht="13.2"/>
    <row r="91" spans="1:29" s="22" customFormat="1" ht="13.2"/>
    <row r="92" spans="1:29" s="22" customFormat="1" ht="13.2"/>
    <row r="93" spans="1:29" s="22" customFormat="1" ht="13.2"/>
    <row r="94" spans="1:29" s="22" customFormat="1" ht="13.2">
      <c r="AC94" s="19"/>
    </row>
    <row r="95" spans="1:29">
      <c r="A95" s="19"/>
      <c r="B95" s="19"/>
      <c r="C95" s="19"/>
      <c r="D95" s="19"/>
      <c r="E95" s="19"/>
      <c r="F95" s="19"/>
      <c r="G95" s="19"/>
      <c r="H95" s="19"/>
      <c r="I95" s="19"/>
      <c r="J95" s="19"/>
      <c r="O95" s="19"/>
      <c r="P95" s="22"/>
      <c r="Q95" s="22"/>
      <c r="R95" s="22"/>
      <c r="S95" s="22"/>
      <c r="T95" s="22"/>
      <c r="U95" s="22"/>
      <c r="V95" s="22"/>
      <c r="W95" s="22"/>
      <c r="X95" s="22"/>
      <c r="Y95" s="22"/>
      <c r="AC95" s="19"/>
    </row>
    <row r="96" spans="1:29">
      <c r="A96" s="19"/>
      <c r="B96" s="19"/>
      <c r="C96" s="19"/>
      <c r="D96" s="19"/>
      <c r="E96" s="19"/>
      <c r="F96" s="19"/>
      <c r="G96" s="19"/>
      <c r="H96" s="19"/>
      <c r="I96" s="19"/>
      <c r="J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AC96" s="19"/>
    </row>
    <row r="97" spans="1:25">
      <c r="A97" s="19"/>
      <c r="B97" s="19"/>
      <c r="C97" s="19"/>
      <c r="D97" s="19"/>
      <c r="E97" s="19"/>
      <c r="F97" s="19"/>
      <c r="G97" s="19"/>
      <c r="H97" s="19"/>
      <c r="P97" s="19"/>
      <c r="Q97" s="19"/>
      <c r="R97" s="19"/>
      <c r="S97" s="19"/>
      <c r="T97" s="19"/>
      <c r="U97" s="19"/>
      <c r="V97" s="19"/>
      <c r="W97" s="19"/>
      <c r="X97" s="19"/>
      <c r="Y97" s="19"/>
    </row>
    <row r="98" spans="1:25">
      <c r="A98" s="22"/>
      <c r="B98" s="22"/>
      <c r="C98" s="22"/>
      <c r="D98" s="22"/>
      <c r="E98" s="22"/>
      <c r="F98" s="22"/>
      <c r="G98" s="22"/>
      <c r="H98" s="22"/>
    </row>
    <row r="99" spans="1:25">
      <c r="A99" s="22"/>
      <c r="B99" s="22"/>
      <c r="C99" s="22"/>
      <c r="D99" s="22"/>
      <c r="E99" s="22"/>
      <c r="F99" s="22"/>
      <c r="G99" s="22"/>
      <c r="H99" s="22"/>
    </row>
    <row r="100" spans="1:25">
      <c r="A100" s="22"/>
      <c r="B100" s="22"/>
      <c r="C100" s="22"/>
      <c r="D100" s="22"/>
      <c r="E100" s="22"/>
      <c r="F100" s="22"/>
      <c r="G100" s="22"/>
      <c r="H100" s="22"/>
    </row>
    <row r="101" spans="1:25">
      <c r="A101" s="22"/>
      <c r="B101" s="22"/>
      <c r="C101" s="22"/>
      <c r="D101" s="22"/>
      <c r="E101" s="22"/>
      <c r="F101" s="22"/>
      <c r="G101" s="22"/>
      <c r="H101" s="22"/>
    </row>
    <row r="102" spans="1:25">
      <c r="A102" s="22"/>
      <c r="B102" s="22"/>
      <c r="C102" s="22"/>
      <c r="D102" s="22"/>
      <c r="E102" s="22"/>
      <c r="F102" s="22"/>
      <c r="G102" s="22"/>
      <c r="H102" s="22"/>
    </row>
    <row r="103" spans="1:25">
      <c r="A103" s="22"/>
      <c r="B103" s="22"/>
      <c r="C103" s="22"/>
      <c r="D103" s="22"/>
      <c r="E103" s="22"/>
      <c r="F103" s="22"/>
      <c r="G103" s="22"/>
      <c r="H103" s="22"/>
    </row>
    <row r="104" spans="1:25">
      <c r="A104" s="22"/>
      <c r="B104" s="22"/>
      <c r="C104" s="22"/>
      <c r="D104" s="22"/>
      <c r="E104" s="22"/>
      <c r="F104" s="22"/>
      <c r="G104" s="22"/>
      <c r="H104" s="22"/>
    </row>
    <row r="105" spans="1:25">
      <c r="A105" s="22"/>
      <c r="B105" s="22"/>
      <c r="C105" s="22"/>
      <c r="D105" s="22"/>
      <c r="E105" s="22"/>
      <c r="F105" s="22"/>
      <c r="G105" s="22"/>
      <c r="H105" s="22"/>
    </row>
  </sheetData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92"/>
  <sheetViews>
    <sheetView topLeftCell="A19" zoomScale="90" zoomScaleNormal="90" workbookViewId="0">
      <selection activeCell="M34" sqref="M34"/>
    </sheetView>
  </sheetViews>
  <sheetFormatPr defaultColWidth="8.6640625" defaultRowHeight="13.2"/>
  <cols>
    <col min="1" max="1" width="32.109375" style="120" customWidth="1"/>
    <col min="2" max="2" width="15.44140625" style="120" customWidth="1"/>
    <col min="3" max="3" width="11" style="120" customWidth="1"/>
    <col min="4" max="5" width="10.44140625" style="120" customWidth="1"/>
    <col min="6" max="6" width="12.33203125" style="120" bestFit="1" customWidth="1"/>
    <col min="7" max="9" width="12.5546875" style="120" bestFit="1" customWidth="1"/>
    <col min="10" max="10" width="12.33203125" style="120" bestFit="1" customWidth="1"/>
    <col min="11" max="11" width="10.109375" style="120" customWidth="1"/>
    <col min="12" max="12" width="13.109375" style="120" bestFit="1" customWidth="1"/>
    <col min="13" max="13" width="8.6640625" style="120" customWidth="1"/>
    <col min="14" max="16384" width="8.6640625" style="120"/>
  </cols>
  <sheetData>
    <row r="1" spans="1:12">
      <c r="A1" s="176" t="s">
        <v>0</v>
      </c>
      <c r="B1" s="176"/>
    </row>
    <row r="2" spans="1:12">
      <c r="A2" s="177" t="s">
        <v>2</v>
      </c>
      <c r="B2" s="178"/>
      <c r="C2" s="176"/>
      <c r="D2" s="179"/>
      <c r="E2" s="179"/>
      <c r="F2" s="179"/>
      <c r="G2" s="180"/>
      <c r="H2" s="180"/>
      <c r="I2" s="180"/>
      <c r="J2" s="180"/>
      <c r="K2" s="121"/>
    </row>
    <row r="3" spans="1:12">
      <c r="A3" s="177" t="s">
        <v>3</v>
      </c>
      <c r="B3" s="122"/>
      <c r="C3" s="176"/>
      <c r="D3" s="179"/>
      <c r="E3" s="179"/>
      <c r="F3" s="179"/>
      <c r="G3" s="180"/>
      <c r="H3" s="180"/>
      <c r="I3" s="180"/>
      <c r="J3" s="180"/>
      <c r="K3" s="121"/>
    </row>
    <row r="4" spans="1:12">
      <c r="A4" s="177"/>
      <c r="B4" s="122"/>
      <c r="C4" s="176"/>
      <c r="D4" s="179"/>
      <c r="E4" s="179"/>
      <c r="F4" s="179"/>
      <c r="G4" s="180"/>
      <c r="H4" s="180"/>
      <c r="I4" s="180"/>
      <c r="J4" s="180"/>
      <c r="K4" s="121"/>
    </row>
    <row r="5" spans="1:12">
      <c r="A5" s="181" t="s">
        <v>4</v>
      </c>
      <c r="B5" s="181" t="s">
        <v>5</v>
      </c>
      <c r="C5" s="182" t="str">
        <f>FSA!C5</f>
        <v>2018</v>
      </c>
      <c r="D5" s="182" t="str">
        <f>FSA!D5</f>
        <v>2019</v>
      </c>
      <c r="E5" s="182" t="str">
        <f>FSA!E5</f>
        <v>2020</v>
      </c>
      <c r="F5" s="182" t="str">
        <f>FSA!F5</f>
        <v>2021</v>
      </c>
      <c r="G5" s="182" t="str">
        <f>FSA!G5</f>
        <v>2022</v>
      </c>
      <c r="H5" s="182">
        <f>FSA!H5</f>
        <v>0</v>
      </c>
      <c r="I5" s="182">
        <f>FSA!I5</f>
        <v>0</v>
      </c>
      <c r="J5" s="182">
        <f>FSA!J5</f>
        <v>0</v>
      </c>
    </row>
    <row r="6" spans="1:12">
      <c r="A6" s="183" t="s">
        <v>7</v>
      </c>
      <c r="B6" s="183"/>
      <c r="C6" s="184"/>
      <c r="D6" s="184"/>
      <c r="E6" s="184"/>
      <c r="F6" s="184"/>
      <c r="G6" s="185"/>
      <c r="H6" s="185"/>
      <c r="I6" s="185"/>
      <c r="J6" s="185"/>
    </row>
    <row r="7" spans="1:12" s="124" customFormat="1">
      <c r="A7" s="177" t="s">
        <v>9</v>
      </c>
      <c r="B7" s="177"/>
      <c r="C7" s="136">
        <f>FSA!C7/FSA!C$7</f>
        <v>1</v>
      </c>
      <c r="D7" s="136">
        <f>FSA!D7/FSA!D$7</f>
        <v>1</v>
      </c>
      <c r="E7" s="136">
        <f>FSA!E7/FSA!E$7</f>
        <v>1</v>
      </c>
      <c r="F7" s="136">
        <f>FSA!F7/FSA!F$7</f>
        <v>1</v>
      </c>
      <c r="G7" s="136">
        <f>FSA!G7/FSA!G$7</f>
        <v>1</v>
      </c>
      <c r="H7" s="136" t="e">
        <f>FSA!H7/FSA!H$7</f>
        <v>#DIV/0!</v>
      </c>
      <c r="I7" s="136" t="e">
        <f>FSA!I7/FSA!I$7</f>
        <v>#DIV/0!</v>
      </c>
      <c r="J7" s="136" t="e">
        <f>FSA!J7/FSA!J$7</f>
        <v>#DIV/0!</v>
      </c>
    </row>
    <row r="8" spans="1:12">
      <c r="A8" s="177" t="s">
        <v>11</v>
      </c>
      <c r="B8" s="191"/>
      <c r="C8" s="136">
        <f>FSA!C8/FSA!C$7</f>
        <v>-0.76271798376299482</v>
      </c>
      <c r="D8" s="136">
        <f>FSA!D8/FSA!D$7</f>
        <v>-0.71122448431862884</v>
      </c>
      <c r="E8" s="136">
        <f>FSA!E8/FSA!E$7</f>
        <v>-0.8433088892280447</v>
      </c>
      <c r="F8" s="136">
        <f>FSA!F8/FSA!F$7</f>
        <v>-0.72897380630286757</v>
      </c>
      <c r="G8" s="136">
        <f>FSA!G8/FSA!G$7</f>
        <v>-0.85565070300797552</v>
      </c>
      <c r="H8" s="136" t="e">
        <f>FSA!H8/FSA!H$7</f>
        <v>#DIV/0!</v>
      </c>
      <c r="I8" s="136" t="e">
        <f>FSA!I8/FSA!I$7</f>
        <v>#DIV/0!</v>
      </c>
      <c r="J8" s="136" t="e">
        <f>FSA!J8/FSA!J$7</f>
        <v>#DIV/0!</v>
      </c>
      <c r="L8" s="266"/>
    </row>
    <row r="9" spans="1:12" s="124" customFormat="1">
      <c r="A9" s="176" t="s">
        <v>13</v>
      </c>
      <c r="B9" s="176"/>
      <c r="C9" s="142">
        <f>FSA!C9/FSA!C$7</f>
        <v>0.23728201623700515</v>
      </c>
      <c r="D9" s="142">
        <f>FSA!D9/FSA!D$7</f>
        <v>0.28877551568137116</v>
      </c>
      <c r="E9" s="142">
        <f>FSA!E9/FSA!E$7</f>
        <v>0.15669111077195533</v>
      </c>
      <c r="F9" s="142">
        <f>FSA!F9/FSA!F$7</f>
        <v>0.27102619369713243</v>
      </c>
      <c r="G9" s="142">
        <f>FSA!G9/FSA!G$7</f>
        <v>0.14434929699202451</v>
      </c>
      <c r="H9" s="142" t="e">
        <f>FSA!H9/FSA!H$7</f>
        <v>#DIV/0!</v>
      </c>
      <c r="I9" s="142" t="e">
        <f>FSA!I9/FSA!I$7</f>
        <v>#DIV/0!</v>
      </c>
      <c r="J9" s="142" t="e">
        <f>FSA!J9/FSA!J$7</f>
        <v>#DIV/0!</v>
      </c>
    </row>
    <row r="10" spans="1:12">
      <c r="A10" s="177" t="s">
        <v>15</v>
      </c>
      <c r="B10" s="191"/>
      <c r="C10" s="136">
        <f>FSA!C10/FSA!C$7</f>
        <v>-0.14340386432846791</v>
      </c>
      <c r="D10" s="136">
        <f>FSA!D10/FSA!D$7</f>
        <v>-0.2070648520493715</v>
      </c>
      <c r="E10" s="136">
        <f>FSA!E10/FSA!E$7</f>
        <v>-0.18695508942421982</v>
      </c>
      <c r="F10" s="136">
        <f>FSA!F10/FSA!F$7</f>
        <v>-0.24620010666104852</v>
      </c>
      <c r="G10" s="136">
        <f>FSA!G10/FSA!G$7</f>
        <v>-0.24878529178784572</v>
      </c>
      <c r="H10" s="136" t="e">
        <f>FSA!H10/FSA!H$7</f>
        <v>#DIV/0!</v>
      </c>
      <c r="I10" s="136" t="e">
        <f>FSA!I10/FSA!I$7</f>
        <v>#DIV/0!</v>
      </c>
      <c r="J10" s="136" t="e">
        <f>FSA!J10/FSA!J$7</f>
        <v>#DIV/0!</v>
      </c>
      <c r="K10" s="192"/>
    </row>
    <row r="11" spans="1:12" s="124" customFormat="1">
      <c r="A11" s="126" t="s">
        <v>17</v>
      </c>
      <c r="C11" s="136">
        <f>FSA!C11/FSA!C$7</f>
        <v>0</v>
      </c>
      <c r="D11" s="136">
        <f>FSA!D11/FSA!D$7</f>
        <v>0</v>
      </c>
      <c r="E11" s="136">
        <f>FSA!E11/FSA!E$7</f>
        <v>0</v>
      </c>
      <c r="F11" s="136">
        <f>FSA!F11/FSA!F$7</f>
        <v>0</v>
      </c>
      <c r="G11" s="136">
        <f>FSA!G11/FSA!G$7</f>
        <v>0</v>
      </c>
      <c r="H11" s="136" t="e">
        <f>FSA!H11/FSA!H$7</f>
        <v>#DIV/0!</v>
      </c>
      <c r="I11" s="136" t="e">
        <f>FSA!I11/FSA!I$7</f>
        <v>#DIV/0!</v>
      </c>
      <c r="J11" s="136" t="e">
        <f>FSA!J11/FSA!J$7</f>
        <v>#DIV/0!</v>
      </c>
    </row>
    <row r="12" spans="1:12">
      <c r="A12" s="176" t="s">
        <v>19</v>
      </c>
      <c r="B12" s="176"/>
      <c r="C12" s="142">
        <f>FSA!C12/FSA!C$7</f>
        <v>9.3878151908537225E-2</v>
      </c>
      <c r="D12" s="142">
        <f>FSA!D12/FSA!D$7</f>
        <v>8.1710663631999664E-2</v>
      </c>
      <c r="E12" s="142">
        <f>FSA!E12/FSA!E$7</f>
        <v>-3.02639786522645E-2</v>
      </c>
      <c r="F12" s="142">
        <f>FSA!F12/FSA!F$7</f>
        <v>2.482608703608391E-2</v>
      </c>
      <c r="G12" s="142">
        <f>FSA!G12/FSA!G$7</f>
        <v>-0.10443599479582122</v>
      </c>
      <c r="H12" s="142" t="e">
        <f>FSA!H12/FSA!H$7</f>
        <v>#DIV/0!</v>
      </c>
      <c r="I12" s="142" t="e">
        <f>FSA!I12/FSA!I$7</f>
        <v>#DIV/0!</v>
      </c>
      <c r="J12" s="142" t="e">
        <f>FSA!J12/FSA!J$7</f>
        <v>#DIV/0!</v>
      </c>
      <c r="K12" s="192"/>
    </row>
    <row r="13" spans="1:12">
      <c r="A13" s="177" t="s">
        <v>21</v>
      </c>
      <c r="B13" s="176"/>
      <c r="C13" s="136">
        <f>FSA!C13/FSA!C$7</f>
        <v>-1.3059254567888271E-3</v>
      </c>
      <c r="D13" s="136">
        <f>FSA!D13/FSA!D$7</f>
        <v>-6.2092413875436073E-3</v>
      </c>
      <c r="E13" s="136">
        <f>FSA!E13/FSA!E$7</f>
        <v>-8.8462911401248293E-3</v>
      </c>
      <c r="F13" s="136">
        <f>FSA!F13/FSA!F$7</f>
        <v>-3.7045126152587357E-2</v>
      </c>
      <c r="G13" s="136">
        <f>FSA!G13/FSA!G$7</f>
        <v>4.5824411601902371E-2</v>
      </c>
      <c r="H13" s="136" t="e">
        <f>FSA!H13/FSA!H$7</f>
        <v>#DIV/0!</v>
      </c>
      <c r="I13" s="136" t="e">
        <f>FSA!I13/FSA!I$7</f>
        <v>#DIV/0!</v>
      </c>
      <c r="J13" s="136" t="e">
        <f>FSA!J13/FSA!J$7</f>
        <v>#DIV/0!</v>
      </c>
    </row>
    <row r="14" spans="1:12">
      <c r="A14" s="189" t="s">
        <v>23</v>
      </c>
      <c r="B14" s="191"/>
      <c r="C14" s="136">
        <f>FSA!C14/FSA!C$7</f>
        <v>-3.2317169615667329E-2</v>
      </c>
      <c r="D14" s="136">
        <f>FSA!D14/FSA!D$7</f>
        <v>-5.4964442389013865E-2</v>
      </c>
      <c r="E14" s="136">
        <f>FSA!E14/FSA!E$7</f>
        <v>-0.10319831291932006</v>
      </c>
      <c r="F14" s="136">
        <f>FSA!F14/FSA!F$7</f>
        <v>-8.1860668018321897E-2</v>
      </c>
      <c r="G14" s="136">
        <f>FSA!G14/FSA!G$7</f>
        <v>-0.10751386074615195</v>
      </c>
      <c r="H14" s="136" t="e">
        <f>FSA!H14/FSA!H$7</f>
        <v>#DIV/0!</v>
      </c>
      <c r="I14" s="136" t="e">
        <f>FSA!I14/FSA!I$7</f>
        <v>#DIV/0!</v>
      </c>
      <c r="J14" s="136" t="e">
        <f>FSA!J14/FSA!J$7</f>
        <v>#DIV/0!</v>
      </c>
    </row>
    <row r="15" spans="1:12" s="124" customFormat="1">
      <c r="A15" s="177" t="s">
        <v>25</v>
      </c>
      <c r="B15" s="189"/>
      <c r="C15" s="136">
        <f>FSA!C15/FSA!C$7</f>
        <v>5.3397727869368895E-2</v>
      </c>
      <c r="D15" s="136">
        <f>FSA!D15/FSA!D$7</f>
        <v>9.9717575163446648E-2</v>
      </c>
      <c r="E15" s="136">
        <f>FSA!E15/FSA!E$7</f>
        <v>0.26849693311250977</v>
      </c>
      <c r="F15" s="136">
        <f>FSA!F15/FSA!F$7</f>
        <v>0.11911355487208113</v>
      </c>
      <c r="G15" s="136">
        <f>FSA!G15/FSA!G$7</f>
        <v>0.29143312787637238</v>
      </c>
      <c r="H15" s="136" t="e">
        <f>FSA!H15/FSA!H$7</f>
        <v>#DIV/0!</v>
      </c>
      <c r="I15" s="136" t="e">
        <f>FSA!I15/FSA!I$7</f>
        <v>#DIV/0!</v>
      </c>
      <c r="J15" s="136" t="e">
        <f>FSA!J15/FSA!J$7</f>
        <v>#DIV/0!</v>
      </c>
    </row>
    <row r="16" spans="1:12">
      <c r="A16" s="176" t="s">
        <v>27</v>
      </c>
      <c r="B16" s="176"/>
      <c r="C16" s="142">
        <f>FSA!C16/FSA!C$7</f>
        <v>0.11365278470544997</v>
      </c>
      <c r="D16" s="142">
        <f>FSA!D16/FSA!D$7</f>
        <v>0.12025455501888885</v>
      </c>
      <c r="E16" s="142">
        <f>FSA!E16/FSA!E$7</f>
        <v>0.1261883504008004</v>
      </c>
      <c r="F16" s="142">
        <f>FSA!F16/FSA!F$7</f>
        <v>2.5033847737255793E-2</v>
      </c>
      <c r="G16" s="142">
        <f>FSA!G16/FSA!G$7</f>
        <v>0.12530768393630159</v>
      </c>
      <c r="H16" s="142" t="e">
        <f>FSA!H16/FSA!H$7</f>
        <v>#DIV/0!</v>
      </c>
      <c r="I16" s="142" t="e">
        <f>FSA!I16/FSA!I$7</f>
        <v>#DIV/0!</v>
      </c>
      <c r="J16" s="142" t="e">
        <f>FSA!J16/FSA!J$7</f>
        <v>#DIV/0!</v>
      </c>
    </row>
    <row r="17" spans="1:12" s="124" customFormat="1">
      <c r="A17" s="189" t="s">
        <v>29</v>
      </c>
      <c r="B17" s="191"/>
      <c r="C17" s="136">
        <f>FSA!C17/FSA!C$7</f>
        <v>-6.2863888743043161E-2</v>
      </c>
      <c r="D17" s="136">
        <f>FSA!D17/FSA!D$7</f>
        <v>-6.091243307411745E-2</v>
      </c>
      <c r="E17" s="136">
        <f>FSA!E17/FSA!E$7</f>
        <v>-8.5048232359564963E-2</v>
      </c>
      <c r="F17" s="136">
        <f>FSA!F17/FSA!F$7</f>
        <v>-8.5168242567878666E-2</v>
      </c>
      <c r="G17" s="136">
        <f>FSA!G17/FSA!G$7</f>
        <v>-0.10522445314872601</v>
      </c>
      <c r="H17" s="136" t="e">
        <f>FSA!H17/FSA!H$7</f>
        <v>#DIV/0!</v>
      </c>
      <c r="I17" s="136" t="e">
        <f>FSA!I17/FSA!I$7</f>
        <v>#DIV/0!</v>
      </c>
      <c r="J17" s="136" t="e">
        <f>FSA!J17/FSA!J$7</f>
        <v>#DIV/0!</v>
      </c>
    </row>
    <row r="18" spans="1:12">
      <c r="A18" s="176" t="s">
        <v>31</v>
      </c>
      <c r="B18" s="176"/>
      <c r="C18" s="142">
        <f>FSA!C18/FSA!C$7</f>
        <v>5.0788895962406808E-2</v>
      </c>
      <c r="D18" s="142">
        <f>FSA!D18/FSA!D$7</f>
        <v>5.9342121944771391E-2</v>
      </c>
      <c r="E18" s="142">
        <f>FSA!E18/FSA!E$7</f>
        <v>4.1140118041235449E-2</v>
      </c>
      <c r="F18" s="142">
        <f>FSA!F18/FSA!F$7</f>
        <v>-6.0134394830622877E-2</v>
      </c>
      <c r="G18" s="142">
        <f>FSA!G18/FSA!G$7</f>
        <v>2.0083230787575585E-2</v>
      </c>
      <c r="H18" s="142" t="e">
        <f>FSA!H18/FSA!H$7</f>
        <v>#DIV/0!</v>
      </c>
      <c r="I18" s="142" t="e">
        <f>FSA!I18/FSA!I$7</f>
        <v>#DIV/0!</v>
      </c>
      <c r="J18" s="142" t="e">
        <f>FSA!J18/FSA!J$7</f>
        <v>#DIV/0!</v>
      </c>
    </row>
    <row r="19" spans="1:12" s="127" customFormat="1">
      <c r="A19" s="176"/>
      <c r="B19" s="176"/>
      <c r="C19" s="136"/>
      <c r="D19" s="136"/>
      <c r="E19" s="136"/>
      <c r="F19" s="136"/>
      <c r="G19" s="136"/>
      <c r="H19" s="136"/>
      <c r="I19" s="136"/>
      <c r="J19" s="136"/>
    </row>
    <row r="20" spans="1:12" s="127" customFormat="1">
      <c r="A20" s="195" t="s">
        <v>34</v>
      </c>
      <c r="C20" s="136"/>
      <c r="D20" s="136"/>
      <c r="E20" s="136"/>
      <c r="F20" s="136"/>
      <c r="G20" s="136"/>
      <c r="H20" s="136"/>
      <c r="I20" s="136"/>
      <c r="J20" s="136"/>
    </row>
    <row r="21" spans="1:12" s="127" customFormat="1">
      <c r="A21" s="191" t="s">
        <v>36</v>
      </c>
      <c r="B21" s="191"/>
      <c r="C21" s="136">
        <f>FSA!C21/FSA!C$7</f>
        <v>4.2292927320697261E-2</v>
      </c>
      <c r="D21" s="136">
        <f>FSA!D21/FSA!D$7</f>
        <v>6.4118237275405873E-2</v>
      </c>
      <c r="E21" s="136">
        <f>FSA!E21/FSA!E$7</f>
        <v>9.1080930349618047E-2</v>
      </c>
      <c r="F21" s="136">
        <f>FSA!F21/FSA!F$7</f>
        <v>0.11870380172724702</v>
      </c>
      <c r="G21" s="136">
        <f>FSA!G21/FSA!G$7</f>
        <v>0.20909052006834772</v>
      </c>
      <c r="H21" s="136" t="e">
        <f>FSA!H21/FSA!H$7</f>
        <v>#DIV/0!</v>
      </c>
      <c r="I21" s="136" t="e">
        <f>FSA!I21/FSA!I$7</f>
        <v>#DIV/0!</v>
      </c>
      <c r="J21" s="136" t="e">
        <f>FSA!J21/FSA!J$7</f>
        <v>#DIV/0!</v>
      </c>
      <c r="L21" s="267"/>
    </row>
    <row r="22" spans="1:12" s="127" customFormat="1">
      <c r="A22" s="127" t="s">
        <v>38</v>
      </c>
      <c r="C22" s="136">
        <f>FSA!C22/FSA!C$7</f>
        <v>0</v>
      </c>
      <c r="D22" s="136">
        <f>FSA!D22/FSA!D$7</f>
        <v>0</v>
      </c>
      <c r="E22" s="136">
        <f>FSA!E22/FSA!E$7</f>
        <v>0</v>
      </c>
      <c r="F22" s="136">
        <f>FSA!F22/FSA!F$7</f>
        <v>0</v>
      </c>
      <c r="G22" s="136">
        <f>FSA!G22/FSA!G$7</f>
        <v>0</v>
      </c>
      <c r="H22" s="136" t="e">
        <f>FSA!H22/FSA!H$7</f>
        <v>#DIV/0!</v>
      </c>
      <c r="I22" s="136" t="e">
        <f>FSA!I22/FSA!I$7</f>
        <v>#DIV/0!</v>
      </c>
      <c r="J22" s="136" t="e">
        <f>FSA!J22/FSA!J$7</f>
        <v>#DIV/0!</v>
      </c>
    </row>
    <row r="23" spans="1:12" s="128" customFormat="1">
      <c r="A23" s="127" t="s">
        <v>40</v>
      </c>
      <c r="C23" s="136">
        <f>FSA!C23/FSA!C$7</f>
        <v>0</v>
      </c>
      <c r="D23" s="136">
        <f>FSA!D23/FSA!D$7</f>
        <v>0</v>
      </c>
      <c r="E23" s="136">
        <f>FSA!E23/FSA!E$7</f>
        <v>0</v>
      </c>
      <c r="F23" s="136">
        <f>FSA!F23/FSA!F$7</f>
        <v>0</v>
      </c>
      <c r="G23" s="136">
        <f>FSA!G23/FSA!G$7</f>
        <v>0</v>
      </c>
      <c r="H23" s="136" t="e">
        <f>FSA!H23/FSA!H$7</f>
        <v>#DIV/0!</v>
      </c>
      <c r="I23" s="136" t="e">
        <f>FSA!I23/FSA!I$7</f>
        <v>#DIV/0!</v>
      </c>
      <c r="J23" s="136" t="e">
        <f>FSA!J23/FSA!J$7</f>
        <v>#DIV/0!</v>
      </c>
    </row>
    <row r="24" spans="1:12">
      <c r="A24" s="191" t="s">
        <v>42</v>
      </c>
      <c r="B24" s="191"/>
      <c r="C24" s="136">
        <f>FSA!C24/FSA!C$7</f>
        <v>0</v>
      </c>
      <c r="D24" s="136">
        <f>FSA!D24/FSA!D$7</f>
        <v>0</v>
      </c>
      <c r="E24" s="136">
        <f>FSA!E24/FSA!E$7</f>
        <v>0</v>
      </c>
      <c r="F24" s="136">
        <f>FSA!F24/FSA!F$7</f>
        <v>0</v>
      </c>
      <c r="G24" s="136">
        <f>FSA!G24/FSA!G$7</f>
        <v>0</v>
      </c>
      <c r="H24" s="136" t="e">
        <f>FSA!H24/FSA!H$7</f>
        <v>#DIV/0!</v>
      </c>
      <c r="I24" s="136" t="e">
        <f>FSA!I24/FSA!I$7</f>
        <v>#DIV/0!</v>
      </c>
      <c r="J24" s="136" t="e">
        <f>FSA!J24/FSA!J$7</f>
        <v>#DIV/0!</v>
      </c>
    </row>
    <row r="25" spans="1:12">
      <c r="A25" s="195" t="s">
        <v>8</v>
      </c>
      <c r="B25" s="195"/>
      <c r="C25" s="136">
        <f>FSA!C25/FSA!C$7</f>
        <v>0.13617107922923449</v>
      </c>
      <c r="D25" s="136">
        <f>FSA!D25/FSA!D$7</f>
        <v>0.14582890090740555</v>
      </c>
      <c r="E25" s="136">
        <f>FSA!E25/FSA!E$7</f>
        <v>6.0816951697353551E-2</v>
      </c>
      <c r="F25" s="136">
        <f>FSA!F25/FSA!F$7</f>
        <v>0.14352988876333095</v>
      </c>
      <c r="G25" s="136">
        <f>FSA!G25/FSA!G$7</f>
        <v>0.10465452527252651</v>
      </c>
      <c r="H25" s="136" t="e">
        <f>FSA!H25/FSA!H$7</f>
        <v>#DIV/0!</v>
      </c>
      <c r="I25" s="136" t="e">
        <f>FSA!I25/FSA!I$7</f>
        <v>#DIV/0!</v>
      </c>
      <c r="J25" s="136" t="e">
        <f>FSA!J25/FSA!J$7</f>
        <v>#DIV/0!</v>
      </c>
    </row>
    <row r="26" spans="1:12">
      <c r="A26" s="195" t="s">
        <v>45</v>
      </c>
      <c r="B26" s="176"/>
      <c r="C26" s="136">
        <f>FSA!C26/FSA!C$7</f>
        <v>0.13617107922923449</v>
      </c>
      <c r="D26" s="136">
        <f>FSA!D26/FSA!D$7</f>
        <v>0.14582890090740555</v>
      </c>
      <c r="E26" s="136">
        <f>FSA!E26/FSA!E$7</f>
        <v>6.0816951697353551E-2</v>
      </c>
      <c r="F26" s="136">
        <f>FSA!F26/FSA!F$7</f>
        <v>0.14352988876333095</v>
      </c>
      <c r="G26" s="136">
        <f>FSA!G26/FSA!G$7</f>
        <v>0.10465452527252651</v>
      </c>
      <c r="H26" s="136" t="e">
        <f>FSA!H26/FSA!H$7</f>
        <v>#DIV/0!</v>
      </c>
      <c r="I26" s="136" t="e">
        <f>FSA!I26/FSA!I$7</f>
        <v>#DIV/0!</v>
      </c>
      <c r="J26" s="136" t="e">
        <f>FSA!J26/FSA!J$7</f>
        <v>#DIV/0!</v>
      </c>
    </row>
    <row r="27" spans="1:12">
      <c r="A27" s="181" t="s">
        <v>46</v>
      </c>
      <c r="B27" s="181"/>
      <c r="C27" s="182" t="str">
        <f>FSA!C27</f>
        <v>2018</v>
      </c>
      <c r="D27" s="182" t="str">
        <f>FSA!D27</f>
        <v>2019</v>
      </c>
      <c r="E27" s="182" t="str">
        <f>FSA!E27</f>
        <v>2020</v>
      </c>
      <c r="F27" s="182" t="str">
        <f>FSA!F27</f>
        <v>2021</v>
      </c>
      <c r="G27" s="182" t="str">
        <f>FSA!G27</f>
        <v>2022</v>
      </c>
      <c r="H27" s="182">
        <f>FSA!H27</f>
        <v>0</v>
      </c>
      <c r="I27" s="182">
        <f>FSA!I27</f>
        <v>0</v>
      </c>
      <c r="J27" s="182">
        <f>FSA!J27</f>
        <v>0</v>
      </c>
    </row>
    <row r="28" spans="1:12">
      <c r="A28" s="176"/>
      <c r="B28" s="176"/>
      <c r="C28" s="176"/>
      <c r="D28" s="176"/>
      <c r="E28" s="176"/>
      <c r="F28" s="176"/>
      <c r="G28" s="176"/>
      <c r="H28" s="176"/>
      <c r="I28" s="176"/>
      <c r="J28" s="176"/>
    </row>
    <row r="29" spans="1:12">
      <c r="A29" s="177" t="s">
        <v>48</v>
      </c>
      <c r="B29" s="189"/>
      <c r="C29" s="136">
        <f>FSA!C29/FSA!C$38</f>
        <v>5.3854318520560676E-2</v>
      </c>
      <c r="D29" s="136">
        <f>FSA!D29/FSA!D$38</f>
        <v>7.3363505433984497E-2</v>
      </c>
      <c r="E29" s="136">
        <f>FSA!E29/FSA!E$38</f>
        <v>9.4241320693360831E-2</v>
      </c>
      <c r="F29" s="136">
        <f>FSA!F29/FSA!F$38</f>
        <v>6.1703180576354467E-2</v>
      </c>
      <c r="G29" s="136">
        <f>FSA!G29/FSA!G$38</f>
        <v>5.7064026422668342E-2</v>
      </c>
      <c r="H29" s="136" t="e">
        <f>FSA!H29/FSA!H$38</f>
        <v>#DIV/0!</v>
      </c>
      <c r="I29" s="136" t="e">
        <f>FSA!I29/FSA!I$38</f>
        <v>#DIV/0!</v>
      </c>
      <c r="J29" s="136" t="e">
        <f>FSA!J29/FSA!J$38</f>
        <v>#DIV/0!</v>
      </c>
    </row>
    <row r="30" spans="1:12">
      <c r="A30" s="177" t="s">
        <v>50</v>
      </c>
      <c r="B30" s="189"/>
      <c r="C30" s="136">
        <f>FSA!C30/FSA!C$38</f>
        <v>2.6370454828560739E-2</v>
      </c>
      <c r="D30" s="136">
        <f>FSA!D30/FSA!D$38</f>
        <v>4.1216547586870558E-2</v>
      </c>
      <c r="E30" s="136">
        <f>FSA!E30/FSA!E$38</f>
        <v>3.7933091375253941E-2</v>
      </c>
      <c r="F30" s="136">
        <f>FSA!F30/FSA!F$38</f>
        <v>4.6698236361115475E-2</v>
      </c>
      <c r="G30" s="136">
        <f>FSA!G30/FSA!G$38</f>
        <v>4.3775493705274636E-2</v>
      </c>
      <c r="H30" s="136" t="e">
        <f>FSA!H30/FSA!H$38</f>
        <v>#DIV/0!</v>
      </c>
      <c r="I30" s="136" t="e">
        <f>FSA!I30/FSA!I$38</f>
        <v>#DIV/0!</v>
      </c>
      <c r="J30" s="136" t="e">
        <f>FSA!J30/FSA!J$38</f>
        <v>#DIV/0!</v>
      </c>
      <c r="K30" s="203"/>
    </row>
    <row r="31" spans="1:12">
      <c r="A31" s="189" t="s">
        <v>53</v>
      </c>
      <c r="B31" s="189"/>
      <c r="C31" s="136">
        <f>FSA!C31/FSA!C$38</f>
        <v>0.19135574850989417</v>
      </c>
      <c r="D31" s="136">
        <f>FSA!D31/FSA!D$38</f>
        <v>0.20758061991433246</v>
      </c>
      <c r="E31" s="136">
        <f>FSA!E31/FSA!E$38</f>
        <v>0.14791647762989057</v>
      </c>
      <c r="F31" s="136">
        <f>FSA!F31/FSA!F$38</f>
        <v>0.11771044265108914</v>
      </c>
      <c r="G31" s="136">
        <f>FSA!G31/FSA!G$38</f>
        <v>0.17074172294756818</v>
      </c>
      <c r="H31" s="136" t="e">
        <f>FSA!H31/FSA!H$38</f>
        <v>#DIV/0!</v>
      </c>
      <c r="I31" s="136" t="e">
        <f>FSA!I31/FSA!I$38</f>
        <v>#DIV/0!</v>
      </c>
      <c r="J31" s="136" t="e">
        <f>FSA!J31/FSA!J$38</f>
        <v>#DIV/0!</v>
      </c>
      <c r="K31" s="203"/>
    </row>
    <row r="32" spans="1:12">
      <c r="A32" s="120" t="s">
        <v>55</v>
      </c>
      <c r="C32" s="136">
        <f>FSA!C32/FSA!C$38</f>
        <v>5.7911470506299842E-2</v>
      </c>
      <c r="D32" s="136">
        <f>FSA!D32/FSA!D$38</f>
        <v>4.0915257715102994E-2</v>
      </c>
      <c r="E32" s="136">
        <f>FSA!E32/FSA!E$38</f>
        <v>3.6323735310033342E-2</v>
      </c>
      <c r="F32" s="136">
        <f>FSA!F32/FSA!F$38</f>
        <v>4.9655091951105186E-2</v>
      </c>
      <c r="G32" s="136">
        <f>FSA!G32/FSA!G$38</f>
        <v>6.5733245741774901E-2</v>
      </c>
      <c r="H32" s="136" t="e">
        <f>FSA!H32/FSA!H$38</f>
        <v>#DIV/0!</v>
      </c>
      <c r="I32" s="136" t="e">
        <f>FSA!I32/FSA!I$38</f>
        <v>#DIV/0!</v>
      </c>
      <c r="J32" s="136" t="e">
        <f>FSA!J32/FSA!J$38</f>
        <v>#DIV/0!</v>
      </c>
    </row>
    <row r="33" spans="1:12">
      <c r="A33" s="120" t="s">
        <v>57</v>
      </c>
      <c r="C33" s="136">
        <f>FSA!C33/FSA!C$38</f>
        <v>8.6283014488076869E-3</v>
      </c>
      <c r="D33" s="136">
        <f>FSA!D33/FSA!D$38</f>
        <v>8.0609771685322615E-3</v>
      </c>
      <c r="E33" s="136">
        <f>FSA!E33/FSA!E$38</f>
        <v>6.5160602461563381E-3</v>
      </c>
      <c r="F33" s="136">
        <f>FSA!F33/FSA!F$38</f>
        <v>3.0343443943514617E-3</v>
      </c>
      <c r="G33" s="136">
        <f>FSA!G33/FSA!G$38</f>
        <v>5.6331212611743491E-3</v>
      </c>
      <c r="H33" s="136" t="e">
        <f>FSA!H33/FSA!H$38</f>
        <v>#DIV/0!</v>
      </c>
      <c r="I33" s="136" t="e">
        <f>FSA!I33/FSA!I$38</f>
        <v>#DIV/0!</v>
      </c>
      <c r="J33" s="136" t="e">
        <f>FSA!J33/FSA!J$38</f>
        <v>#DIV/0!</v>
      </c>
    </row>
    <row r="34" spans="1:12">
      <c r="A34" s="189" t="s">
        <v>59</v>
      </c>
      <c r="B34" s="189"/>
      <c r="C34" s="136">
        <f>FSA!C34/FSA!C$38</f>
        <v>0.17325900430738622</v>
      </c>
      <c r="D34" s="136">
        <f>FSA!D34/FSA!D$38</f>
        <v>0.14798574929099181</v>
      </c>
      <c r="E34" s="136">
        <f>FSA!E34/FSA!E$38</f>
        <v>0.11920166856169119</v>
      </c>
      <c r="F34" s="136">
        <f>FSA!F34/FSA!F$38</f>
        <v>0.11803641385548376</v>
      </c>
      <c r="G34" s="136">
        <f>FSA!G34/FSA!G$38</f>
        <v>0.18095357100129192</v>
      </c>
      <c r="H34" s="136" t="e">
        <f>FSA!H34/FSA!H$38</f>
        <v>#DIV/0!</v>
      </c>
      <c r="I34" s="136" t="e">
        <f>FSA!I34/FSA!I$38</f>
        <v>#DIV/0!</v>
      </c>
      <c r="J34" s="136" t="e">
        <f>FSA!J34/FSA!J$38</f>
        <v>#DIV/0!</v>
      </c>
      <c r="L34" s="203"/>
    </row>
    <row r="35" spans="1:12">
      <c r="A35" s="177" t="s">
        <v>61</v>
      </c>
      <c r="B35" s="202"/>
      <c r="C35" s="136">
        <f>FSA!C35/FSA!C$38</f>
        <v>0.11394016455142145</v>
      </c>
      <c r="D35" s="136">
        <f>FSA!D35/FSA!D$38</f>
        <v>9.3681749056227309E-2</v>
      </c>
      <c r="E35" s="136">
        <f>FSA!E35/FSA!E$38</f>
        <v>9.973803144813144E-2</v>
      </c>
      <c r="F35" s="136">
        <f>FSA!F35/FSA!F$38</f>
        <v>0.10356132312127612</v>
      </c>
      <c r="G35" s="136">
        <f>FSA!G35/FSA!G$38</f>
        <v>8.5645706486118883E-2</v>
      </c>
      <c r="H35" s="136" t="e">
        <f>FSA!H35/FSA!H$38</f>
        <v>#DIV/0!</v>
      </c>
      <c r="I35" s="136" t="e">
        <f>FSA!I35/FSA!I$38</f>
        <v>#DIV/0!</v>
      </c>
      <c r="J35" s="136" t="e">
        <f>FSA!J35/FSA!J$38</f>
        <v>#DIV/0!</v>
      </c>
      <c r="L35" s="123"/>
    </row>
    <row r="36" spans="1:12">
      <c r="A36" s="177" t="s">
        <v>63</v>
      </c>
      <c r="B36" s="189"/>
      <c r="C36" s="136">
        <f>FSA!C36/FSA!C$38</f>
        <v>0.37183350079279331</v>
      </c>
      <c r="D36" s="136">
        <f>FSA!D36/FSA!D$38</f>
        <v>0.33773244005979142</v>
      </c>
      <c r="E36" s="136">
        <f>FSA!E36/FSA!E$38</f>
        <v>0.40646923036783245</v>
      </c>
      <c r="F36" s="136">
        <f>FSA!F36/FSA!F$38</f>
        <v>0.4421093421303221</v>
      </c>
      <c r="G36" s="136">
        <f>FSA!G36/FSA!G$38</f>
        <v>0.3585903633629533</v>
      </c>
      <c r="H36" s="136" t="e">
        <f>FSA!H36/FSA!H$38</f>
        <v>#DIV/0!</v>
      </c>
      <c r="I36" s="136" t="e">
        <f>FSA!I36/FSA!I$38</f>
        <v>#DIV/0!</v>
      </c>
      <c r="J36" s="136" t="e">
        <f>FSA!J36/FSA!J$38</f>
        <v>#DIV/0!</v>
      </c>
    </row>
    <row r="37" spans="1:12">
      <c r="A37" s="189" t="s">
        <v>65</v>
      </c>
      <c r="B37" s="189"/>
      <c r="C37" s="136">
        <f>FSA!C37/FSA!C$38</f>
        <v>2.8470365342759068E-3</v>
      </c>
      <c r="D37" s="136">
        <f>FSA!D37/FSA!D$38</f>
        <v>4.9463153774166678E-2</v>
      </c>
      <c r="E37" s="136">
        <f>FSA!E37/FSA!E$38</f>
        <v>5.1660384367649907E-2</v>
      </c>
      <c r="F37" s="136">
        <f>FSA!F37/FSA!F$38</f>
        <v>5.7491624958902282E-2</v>
      </c>
      <c r="G37" s="136">
        <f>FSA!G37/FSA!G$38</f>
        <v>3.1862749071175485E-2</v>
      </c>
      <c r="H37" s="136" t="e">
        <f>FSA!H37/FSA!H$38</f>
        <v>#DIV/0!</v>
      </c>
      <c r="I37" s="136" t="e">
        <f>FSA!I37/FSA!I$38</f>
        <v>#DIV/0!</v>
      </c>
      <c r="J37" s="136" t="e">
        <f>FSA!J37/FSA!J$38</f>
        <v>#DIV/0!</v>
      </c>
    </row>
    <row r="38" spans="1:12">
      <c r="A38" s="176" t="s">
        <v>67</v>
      </c>
      <c r="B38" s="176"/>
      <c r="C38" s="142">
        <f>FSA!C38/FSA!C$38</f>
        <v>1</v>
      </c>
      <c r="D38" s="142">
        <f>FSA!D38/FSA!D$38</f>
        <v>1</v>
      </c>
      <c r="E38" s="142">
        <f>FSA!E38/FSA!E$38</f>
        <v>1</v>
      </c>
      <c r="F38" s="142">
        <f>FSA!F38/FSA!F$38</f>
        <v>1</v>
      </c>
      <c r="G38" s="142">
        <f>FSA!G38/FSA!G$38</f>
        <v>1</v>
      </c>
      <c r="H38" s="142" t="e">
        <f>FSA!H38/FSA!H$38</f>
        <v>#DIV/0!</v>
      </c>
      <c r="I38" s="142" t="e">
        <f>FSA!I38/FSA!I$38</f>
        <v>#DIV/0!</v>
      </c>
      <c r="J38" s="142" t="e">
        <f>FSA!J38/FSA!J$38</f>
        <v>#DIV/0!</v>
      </c>
    </row>
    <row r="39" spans="1:12">
      <c r="A39" s="176"/>
      <c r="B39" s="176"/>
      <c r="C39" s="208"/>
      <c r="D39" s="208"/>
      <c r="E39" s="208"/>
      <c r="F39" s="208"/>
      <c r="G39" s="208"/>
      <c r="H39" s="208"/>
      <c r="I39" s="208"/>
      <c r="J39" s="208"/>
    </row>
    <row r="40" spans="1:12">
      <c r="A40" s="189" t="s">
        <v>70</v>
      </c>
      <c r="B40" s="189"/>
      <c r="C40" s="136">
        <f>FSA!C40/FSA!C$55</f>
        <v>5.1301072396509169E-2</v>
      </c>
      <c r="D40" s="136">
        <f>FSA!D40/FSA!D$55</f>
        <v>4.3502514595052534E-2</v>
      </c>
      <c r="E40" s="136">
        <f>FSA!E40/FSA!E$55</f>
        <v>4.3813247231947162E-2</v>
      </c>
      <c r="F40" s="136">
        <f>FSA!F40/FSA!F$55</f>
        <v>4.5866425151528313E-2</v>
      </c>
      <c r="G40" s="136">
        <f>FSA!G40/FSA!G$55</f>
        <v>6.3281738552498926E-2</v>
      </c>
      <c r="H40" s="136" t="e">
        <f>FSA!H40/FSA!H$55</f>
        <v>#DIV/0!</v>
      </c>
      <c r="I40" s="136" t="e">
        <f>FSA!I40/FSA!I$55</f>
        <v>#DIV/0!</v>
      </c>
      <c r="J40" s="136" t="e">
        <f>FSA!J40/FSA!J$55</f>
        <v>#DIV/0!</v>
      </c>
    </row>
    <row r="41" spans="1:12">
      <c r="A41" s="189" t="s">
        <v>72</v>
      </c>
      <c r="B41" s="189"/>
      <c r="C41" s="136">
        <f>FSA!C41/FSA!C$55</f>
        <v>5.9143105453813696E-2</v>
      </c>
      <c r="D41" s="136">
        <f>FSA!D41/FSA!D$55</f>
        <v>4.3678248650811824E-2</v>
      </c>
      <c r="E41" s="136">
        <f>FSA!E41/FSA!E$55</f>
        <v>6.0622283161797227E-2</v>
      </c>
      <c r="F41" s="136">
        <f>FSA!F41/FSA!F$55</f>
        <v>6.4431869629072561E-2</v>
      </c>
      <c r="G41" s="136">
        <f>FSA!G41/FSA!G$55</f>
        <v>7.2696627427117119E-2</v>
      </c>
      <c r="H41" s="136" t="e">
        <f>FSA!H41/FSA!H$55</f>
        <v>#DIV/0!</v>
      </c>
      <c r="I41" s="136" t="e">
        <f>FSA!I41/FSA!I$55</f>
        <v>#DIV/0!</v>
      </c>
      <c r="J41" s="136" t="e">
        <f>FSA!J41/FSA!J$55</f>
        <v>#DIV/0!</v>
      </c>
    </row>
    <row r="42" spans="1:12">
      <c r="A42" s="189" t="s">
        <v>74</v>
      </c>
      <c r="C42" s="136">
        <f>FSA!C42/FSA!C$55</f>
        <v>8.7521591128787851E-2</v>
      </c>
      <c r="D42" s="136">
        <f>FSA!D42/FSA!D$55</f>
        <v>0.12748323674920178</v>
      </c>
      <c r="E42" s="136">
        <f>FSA!E42/FSA!E$55</f>
        <v>8.8229589678427645E-2</v>
      </c>
      <c r="F42" s="136">
        <f>FSA!F42/FSA!F$55</f>
        <v>5.0609540661097505E-2</v>
      </c>
      <c r="G42" s="136">
        <f>FSA!G42/FSA!G$55</f>
        <v>0.1294140405998373</v>
      </c>
      <c r="H42" s="136" t="e">
        <f>FSA!H42/FSA!H$55</f>
        <v>#DIV/0!</v>
      </c>
      <c r="I42" s="136" t="e">
        <f>FSA!I42/FSA!I$55</f>
        <v>#DIV/0!</v>
      </c>
      <c r="J42" s="136" t="e">
        <f>FSA!J42/FSA!J$55</f>
        <v>#DIV/0!</v>
      </c>
    </row>
    <row r="43" spans="1:12">
      <c r="A43" s="189" t="s">
        <v>76</v>
      </c>
      <c r="C43" s="136">
        <f>FSA!C43/FSA!C$55</f>
        <v>8.5896556522820147E-3</v>
      </c>
      <c r="D43" s="136">
        <f>FSA!D43/FSA!D$55</f>
        <v>6.2528292753246039E-3</v>
      </c>
      <c r="E43" s="136">
        <f>FSA!E43/FSA!E$55</f>
        <v>1.1716941685871406E-2</v>
      </c>
      <c r="F43" s="136">
        <f>FSA!F43/FSA!F$55</f>
        <v>7.4405686023184805E-3</v>
      </c>
      <c r="G43" s="136">
        <f>FSA!G43/FSA!G$55</f>
        <v>6.1800575967838577E-3</v>
      </c>
      <c r="H43" s="136" t="e">
        <f>FSA!H43/FSA!H$55</f>
        <v>#DIV/0!</v>
      </c>
      <c r="I43" s="136" t="e">
        <f>FSA!I43/FSA!I$55</f>
        <v>#DIV/0!</v>
      </c>
      <c r="J43" s="136" t="e">
        <f>FSA!J43/FSA!J$55</f>
        <v>#DIV/0!</v>
      </c>
    </row>
    <row r="44" spans="1:12">
      <c r="A44" s="189" t="s">
        <v>77</v>
      </c>
      <c r="B44" s="189"/>
      <c r="C44" s="136">
        <f>FSA!C44/FSA!C$55</f>
        <v>7.6535078188868844E-2</v>
      </c>
      <c r="D44" s="136">
        <f>FSA!D44/FSA!D$55</f>
        <v>0.14814430684930138</v>
      </c>
      <c r="E44" s="136">
        <f>FSA!E44/FSA!E$55</f>
        <v>0.14711110729576052</v>
      </c>
      <c r="F44" s="136">
        <f>FSA!F44/FSA!F$55</f>
        <v>0.13648288809912842</v>
      </c>
      <c r="G44" s="136">
        <f>FSA!G44/FSA!G$55</f>
        <v>0.14471220866575901</v>
      </c>
      <c r="H44" s="136" t="e">
        <f>FSA!H44/FSA!H$55</f>
        <v>#DIV/0!</v>
      </c>
      <c r="I44" s="136" t="e">
        <f>FSA!I44/FSA!I$55</f>
        <v>#DIV/0!</v>
      </c>
      <c r="J44" s="136" t="e">
        <f>FSA!J44/FSA!J$55</f>
        <v>#DIV/0!</v>
      </c>
    </row>
    <row r="45" spans="1:12">
      <c r="A45" s="189" t="s">
        <v>79</v>
      </c>
      <c r="B45" s="189"/>
      <c r="C45" s="136">
        <f>FSA!C45/FSA!C$55</f>
        <v>5.6759836190172261E-2</v>
      </c>
      <c r="D45" s="136">
        <f>FSA!D45/FSA!D$55</f>
        <v>1.6004572122051797E-2</v>
      </c>
      <c r="E45" s="136">
        <f>FSA!E45/FSA!E$55</f>
        <v>1.9779733703534055E-2</v>
      </c>
      <c r="F45" s="136">
        <f>FSA!F45/FSA!F$55</f>
        <v>1.5619049117479085E-2</v>
      </c>
      <c r="G45" s="136">
        <f>FSA!G45/FSA!G$55</f>
        <v>4.066959569124904E-2</v>
      </c>
      <c r="H45" s="136" t="e">
        <f>FSA!H45/FSA!H$55</f>
        <v>#DIV/0!</v>
      </c>
      <c r="I45" s="136" t="e">
        <f>FSA!I45/FSA!I$55</f>
        <v>#DIV/0!</v>
      </c>
      <c r="J45" s="136" t="e">
        <f>FSA!J45/FSA!J$55</f>
        <v>#DIV/0!</v>
      </c>
    </row>
    <row r="46" spans="1:12">
      <c r="A46" s="189" t="s">
        <v>81</v>
      </c>
      <c r="B46" s="189"/>
      <c r="C46" s="136">
        <f>FSA!C46/FSA!C$55</f>
        <v>6.6380823905476935E-2</v>
      </c>
      <c r="D46" s="136">
        <f>FSA!D46/FSA!D$55</f>
        <v>8.1725190620031363E-2</v>
      </c>
      <c r="E46" s="136">
        <f>FSA!E46/FSA!E$55</f>
        <v>6.1471598666243368E-2</v>
      </c>
      <c r="F46" s="136">
        <f>FSA!F46/FSA!F$55</f>
        <v>4.6773185390838114E-2</v>
      </c>
      <c r="G46" s="136">
        <f>FSA!G46/FSA!G$55</f>
        <v>8.3531645706416843E-2</v>
      </c>
      <c r="H46" s="136" t="e">
        <f>FSA!H46/FSA!H$55</f>
        <v>#DIV/0!</v>
      </c>
      <c r="I46" s="136" t="e">
        <f>FSA!I46/FSA!I$55</f>
        <v>#DIV/0!</v>
      </c>
      <c r="J46" s="136" t="e">
        <f>FSA!J46/FSA!J$55</f>
        <v>#DIV/0!</v>
      </c>
      <c r="K46" s="203"/>
    </row>
    <row r="47" spans="1:12">
      <c r="A47" s="189" t="s">
        <v>83</v>
      </c>
      <c r="B47" s="189"/>
      <c r="C47" s="136">
        <f>FSA!C47/FSA!C$55</f>
        <v>0.24994038788373993</v>
      </c>
      <c r="D47" s="136">
        <f>FSA!D47/FSA!D$55</f>
        <v>0.23453083270987013</v>
      </c>
      <c r="E47" s="136">
        <f>FSA!E47/FSA!E$55</f>
        <v>0.24571347786350034</v>
      </c>
      <c r="F47" s="136">
        <f>FSA!F47/FSA!F$55</f>
        <v>0.26027961821631418</v>
      </c>
      <c r="G47" s="136">
        <f>FSA!G47/FSA!G$55</f>
        <v>0.2245751386837477</v>
      </c>
      <c r="H47" s="136" t="e">
        <f>FSA!H47/FSA!H$55</f>
        <v>#DIV/0!</v>
      </c>
      <c r="I47" s="136" t="e">
        <f>FSA!I47/FSA!I$55</f>
        <v>#DIV/0!</v>
      </c>
      <c r="J47" s="136" t="e">
        <f>FSA!J47/FSA!J$55</f>
        <v>#DIV/0!</v>
      </c>
    </row>
    <row r="48" spans="1:12">
      <c r="A48" s="176" t="s">
        <v>85</v>
      </c>
      <c r="B48" s="176"/>
      <c r="C48" s="136">
        <f>FSA!C48/FSA!C$55</f>
        <v>0.31632121178921685</v>
      </c>
      <c r="D48" s="136">
        <f>FSA!D48/FSA!D$55</f>
        <v>0.31625602332990149</v>
      </c>
      <c r="E48" s="136">
        <f>FSA!E48/FSA!E$55</f>
        <v>0.30718507652974369</v>
      </c>
      <c r="F48" s="136">
        <f>FSA!F48/FSA!F$55</f>
        <v>0.30705280360715226</v>
      </c>
      <c r="G48" s="136">
        <f>FSA!G48/FSA!G$55</f>
        <v>0.30810678439016453</v>
      </c>
      <c r="H48" s="136" t="e">
        <f>FSA!H48/FSA!H$55</f>
        <v>#DIV/0!</v>
      </c>
      <c r="I48" s="136" t="e">
        <f>FSA!I48/FSA!I$55</f>
        <v>#DIV/0!</v>
      </c>
      <c r="J48" s="136" t="e">
        <f>FSA!J48/FSA!J$55</f>
        <v>#DIV/0!</v>
      </c>
    </row>
    <row r="49" spans="1:10">
      <c r="A49" s="176" t="s">
        <v>87</v>
      </c>
      <c r="B49" s="176"/>
      <c r="C49" s="136">
        <f>FSA!C49/FSA!C$55</f>
        <v>0.65617155079965073</v>
      </c>
      <c r="D49" s="136">
        <f>FSA!D49/FSA!D$55</f>
        <v>0.70132173157164546</v>
      </c>
      <c r="E49" s="136">
        <f>FSA!E49/FSA!E$55</f>
        <v>0.67845797928708174</v>
      </c>
      <c r="F49" s="136">
        <f>FSA!F49/FSA!F$55</f>
        <v>0.6275031448677767</v>
      </c>
      <c r="G49" s="136">
        <f>FSA!G49/FSA!G$55</f>
        <v>0.76506105292340987</v>
      </c>
      <c r="H49" s="136" t="e">
        <f>FSA!H49/FSA!H$55</f>
        <v>#DIV/0!</v>
      </c>
      <c r="I49" s="136" t="e">
        <f>FSA!I49/FSA!I$55</f>
        <v>#DIV/0!</v>
      </c>
      <c r="J49" s="136" t="e">
        <f>FSA!J49/FSA!J$55</f>
        <v>#DIV/0!</v>
      </c>
    </row>
    <row r="50" spans="1:10">
      <c r="C50" s="136">
        <f>FSA!C50/FSA!C$55</f>
        <v>0</v>
      </c>
      <c r="D50" s="136">
        <f>FSA!D50/FSA!D$55</f>
        <v>0</v>
      </c>
      <c r="E50" s="136">
        <f>FSA!E50/FSA!E$55</f>
        <v>0</v>
      </c>
      <c r="F50" s="136">
        <f>FSA!F50/FSA!F$55</f>
        <v>0</v>
      </c>
      <c r="G50" s="136">
        <f>FSA!G50/FSA!G$55</f>
        <v>0</v>
      </c>
      <c r="H50" s="136" t="e">
        <f>FSA!H50/FSA!H$55</f>
        <v>#DIV/0!</v>
      </c>
      <c r="I50" s="136" t="e">
        <f>FSA!I50/FSA!I$55</f>
        <v>#DIV/0!</v>
      </c>
      <c r="J50" s="136" t="e">
        <f>FSA!J50/FSA!J$55</f>
        <v>#DIV/0!</v>
      </c>
    </row>
    <row r="51" spans="1:10">
      <c r="A51" s="189" t="s">
        <v>90</v>
      </c>
      <c r="B51" s="189"/>
      <c r="C51" s="136">
        <f>FSA!C51/FSA!C$55</f>
        <v>0.16842565830772846</v>
      </c>
      <c r="D51" s="136">
        <f>FSA!D51/FSA!D$55</f>
        <v>0.18154648857060016</v>
      </c>
      <c r="E51" s="136">
        <f>FSA!E51/FSA!E$55</f>
        <v>0.17712559708372966</v>
      </c>
      <c r="F51" s="136">
        <f>FSA!F51/FSA!F$55</f>
        <v>0.22352793302156743</v>
      </c>
      <c r="G51" s="136">
        <f>FSA!G51/FSA!G$55</f>
        <v>0.16582085288712348</v>
      </c>
      <c r="H51" s="136" t="e">
        <f>FSA!H51/FSA!H$55</f>
        <v>#DIV/0!</v>
      </c>
      <c r="I51" s="136" t="e">
        <f>FSA!I51/FSA!I$55</f>
        <v>#DIV/0!</v>
      </c>
      <c r="J51" s="136" t="e">
        <f>FSA!J51/FSA!J$55</f>
        <v>#DIV/0!</v>
      </c>
    </row>
    <row r="52" spans="1:10">
      <c r="A52" s="189" t="s">
        <v>92</v>
      </c>
      <c r="B52" s="189"/>
      <c r="C52" s="136">
        <f>FSA!C52/FSA!C$55</f>
        <v>1.7696017359889998E-2</v>
      </c>
      <c r="D52" s="136">
        <f>FSA!D52/FSA!D$55</f>
        <v>7.7271317716098879E-3</v>
      </c>
      <c r="E52" s="136">
        <f>FSA!E52/FSA!E$55</f>
        <v>1.0318594390189189E-2</v>
      </c>
      <c r="F52" s="136">
        <f>FSA!F52/FSA!F$55</f>
        <v>1.1013758400412582E-2</v>
      </c>
      <c r="G52" s="136">
        <f>FSA!G52/FSA!G$55</f>
        <v>2.4846662816351246E-2</v>
      </c>
      <c r="H52" s="136" t="e">
        <f>FSA!H52/FSA!H$55</f>
        <v>#DIV/0!</v>
      </c>
      <c r="I52" s="136" t="e">
        <f>FSA!I52/FSA!I$55</f>
        <v>#DIV/0!</v>
      </c>
      <c r="J52" s="136" t="e">
        <f>FSA!J52/FSA!J$55</f>
        <v>#DIV/0!</v>
      </c>
    </row>
    <row r="53" spans="1:10">
      <c r="A53" s="177" t="s">
        <v>94</v>
      </c>
      <c r="B53" s="177"/>
      <c r="C53" s="136">
        <f>FSA!C53/FSA!C$55</f>
        <v>0.15770677353273085</v>
      </c>
      <c r="D53" s="136">
        <f>FSA!D53/FSA!D$55</f>
        <v>0.10940464808614453</v>
      </c>
      <c r="E53" s="136">
        <f>FSA!E53/FSA!E$55</f>
        <v>0.13409782923899943</v>
      </c>
      <c r="F53" s="136">
        <f>FSA!F53/FSA!F$55</f>
        <v>0.13795516371024333</v>
      </c>
      <c r="G53" s="136">
        <f>FSA!G53/FSA!G$55</f>
        <v>4.4271431373115448E-2</v>
      </c>
      <c r="H53" s="136" t="e">
        <f>FSA!H53/FSA!H$55</f>
        <v>#DIV/0!</v>
      </c>
      <c r="I53" s="136" t="e">
        <f>FSA!I53/FSA!I$55</f>
        <v>#DIV/0!</v>
      </c>
      <c r="J53" s="136" t="e">
        <f>FSA!J53/FSA!J$55</f>
        <v>#DIV/0!</v>
      </c>
    </row>
    <row r="54" spans="1:10">
      <c r="A54" s="134" t="s">
        <v>96</v>
      </c>
      <c r="C54" s="136">
        <f>FSA!C54/FSA!C$55</f>
        <v>0.34382844920034933</v>
      </c>
      <c r="D54" s="136">
        <f>FSA!D54/FSA!D$55</f>
        <v>0.29867826842835454</v>
      </c>
      <c r="E54" s="136">
        <f>FSA!E54/FSA!E$55</f>
        <v>0.32154202071291826</v>
      </c>
      <c r="F54" s="136">
        <f>FSA!F54/FSA!F$55</f>
        <v>0.37249685513222336</v>
      </c>
      <c r="G54" s="136">
        <f>FSA!G54/FSA!G$55</f>
        <v>0.23493894707659016</v>
      </c>
      <c r="H54" s="136" t="e">
        <f>FSA!H54/FSA!H$55</f>
        <v>#DIV/0!</v>
      </c>
      <c r="I54" s="136" t="e">
        <f>FSA!I54/FSA!I$55</f>
        <v>#DIV/0!</v>
      </c>
      <c r="J54" s="136" t="e">
        <f>FSA!J54/FSA!J$55</f>
        <v>#DIV/0!</v>
      </c>
    </row>
    <row r="55" spans="1:10">
      <c r="A55" s="176" t="s">
        <v>98</v>
      </c>
      <c r="B55" s="176"/>
      <c r="C55" s="142">
        <f>FSA!C55/FSA!C$55</f>
        <v>1</v>
      </c>
      <c r="D55" s="142">
        <f>FSA!D55/FSA!D$55</f>
        <v>1</v>
      </c>
      <c r="E55" s="142">
        <f>FSA!E55/FSA!E$55</f>
        <v>1</v>
      </c>
      <c r="F55" s="142">
        <f>FSA!F55/FSA!F$55</f>
        <v>1</v>
      </c>
      <c r="G55" s="142">
        <f>FSA!G55/FSA!G$55</f>
        <v>1</v>
      </c>
      <c r="H55" s="142" t="e">
        <f>FSA!H55/FSA!H$55</f>
        <v>#DIV/0!</v>
      </c>
      <c r="I55" s="142" t="e">
        <f>FSA!I55/FSA!I$55</f>
        <v>#DIV/0!</v>
      </c>
      <c r="J55" s="142" t="e">
        <f>FSA!J55/FSA!J$55</f>
        <v>#DIV/0!</v>
      </c>
    </row>
    <row r="56" spans="1:10">
      <c r="A56" s="191"/>
      <c r="B56" s="191"/>
      <c r="C56" s="143"/>
      <c r="D56" s="143"/>
      <c r="E56" s="143"/>
      <c r="F56" s="143"/>
      <c r="G56" s="143"/>
      <c r="H56" s="143"/>
      <c r="I56" s="143"/>
      <c r="J56" s="143"/>
    </row>
    <row r="57" spans="1:10">
      <c r="C57" s="133"/>
      <c r="D57" s="133"/>
      <c r="E57" s="133"/>
      <c r="F57" s="133"/>
      <c r="G57" s="133"/>
      <c r="H57" s="133"/>
      <c r="I57" s="133"/>
      <c r="J57" s="133"/>
    </row>
    <row r="58" spans="1:10">
      <c r="A58" s="213" t="s">
        <v>103</v>
      </c>
      <c r="B58" s="214"/>
      <c r="C58" s="136">
        <f>FSA!C58/FSA!C$55</f>
        <v>0</v>
      </c>
      <c r="D58" s="136">
        <f>FSA!D58/FSA!D$55</f>
        <v>0</v>
      </c>
      <c r="E58" s="136">
        <f>FSA!E58/FSA!E$55</f>
        <v>0</v>
      </c>
      <c r="F58" s="136">
        <f>FSA!F58/FSA!F$55</f>
        <v>0</v>
      </c>
      <c r="G58" s="136">
        <f>FSA!G58/FSA!G$55</f>
        <v>0</v>
      </c>
      <c r="H58" s="136" t="e">
        <f>FSA!H58/FSA!H$55</f>
        <v>#DIV/0!</v>
      </c>
      <c r="I58" s="136" t="e">
        <f>FSA!I58/FSA!I$55</f>
        <v>#DIV/0!</v>
      </c>
      <c r="J58" s="136" t="e">
        <f>FSA!J58/FSA!J$55</f>
        <v>#DIV/0!</v>
      </c>
    </row>
    <row r="59" spans="1:10">
      <c r="A59" s="120" t="s">
        <v>105</v>
      </c>
      <c r="C59" s="202"/>
      <c r="D59" s="202"/>
      <c r="E59" s="202"/>
      <c r="F59" s="202"/>
      <c r="H59" s="202"/>
      <c r="I59" s="202"/>
      <c r="J59" s="202"/>
    </row>
    <row r="60" spans="1:10">
      <c r="B60" s="215"/>
      <c r="C60" s="138"/>
      <c r="D60" s="138"/>
      <c r="E60" s="138"/>
      <c r="F60" s="138"/>
      <c r="G60" s="138"/>
      <c r="H60" s="138"/>
      <c r="I60" s="138"/>
      <c r="J60" s="138"/>
    </row>
    <row r="61" spans="1:10">
      <c r="B61" s="215"/>
      <c r="C61" s="138"/>
      <c r="D61" s="138"/>
      <c r="E61" s="138"/>
      <c r="F61" s="138"/>
      <c r="G61" s="138"/>
      <c r="H61" s="138"/>
      <c r="I61" s="138"/>
      <c r="J61" s="138"/>
    </row>
    <row r="62" spans="1:10">
      <c r="B62" s="215"/>
      <c r="C62" s="138"/>
      <c r="D62" s="138"/>
      <c r="E62" s="138"/>
      <c r="F62" s="138"/>
      <c r="G62" s="138"/>
      <c r="H62" s="138"/>
      <c r="I62" s="138"/>
      <c r="J62" s="138"/>
    </row>
    <row r="63" spans="1:10">
      <c r="B63" s="215"/>
      <c r="C63" s="138"/>
      <c r="D63" s="138"/>
      <c r="E63" s="138"/>
      <c r="F63" s="138"/>
      <c r="G63" s="138"/>
      <c r="H63" s="138"/>
      <c r="I63" s="138"/>
      <c r="J63" s="138"/>
    </row>
    <row r="64" spans="1:10">
      <c r="B64" s="215"/>
      <c r="C64" s="121"/>
      <c r="D64" s="121"/>
      <c r="E64" s="121"/>
      <c r="F64" s="139"/>
      <c r="G64" s="139"/>
      <c r="H64" s="139"/>
      <c r="I64" s="139"/>
      <c r="J64" s="139"/>
    </row>
    <row r="65" spans="1:11">
      <c r="B65" s="121"/>
    </row>
    <row r="66" spans="1:11">
      <c r="B66" s="121"/>
    </row>
    <row r="67" spans="1:11">
      <c r="B67" s="121"/>
    </row>
    <row r="68" spans="1:11">
      <c r="B68" s="121"/>
    </row>
    <row r="69" spans="1:11">
      <c r="A69" s="141"/>
      <c r="G69" s="203"/>
      <c r="H69" s="203"/>
      <c r="I69" s="203"/>
      <c r="J69" s="203"/>
    </row>
    <row r="76" spans="1:11" s="126" customFormat="1">
      <c r="K76" s="120"/>
    </row>
    <row r="77" spans="1:11" s="126" customFormat="1">
      <c r="K77" s="120"/>
    </row>
    <row r="78" spans="1:11" s="126" customFormat="1"/>
    <row r="79" spans="1:11" s="126" customFormat="1"/>
    <row r="80" spans="1:11" s="126" customFormat="1"/>
    <row r="81" spans="11:11" s="124" customFormat="1">
      <c r="K81" s="126"/>
    </row>
    <row r="82" spans="11:11" s="124" customFormat="1"/>
    <row r="83" spans="11:11" s="124" customFormat="1"/>
    <row r="84" spans="11:11" s="126" customFormat="1">
      <c r="K84" s="124"/>
    </row>
    <row r="85" spans="11:11" s="126" customFormat="1"/>
    <row r="86" spans="11:11" s="126" customFormat="1"/>
    <row r="87" spans="11:11" s="126" customFormat="1"/>
    <row r="88" spans="11:11" s="126" customFormat="1"/>
    <row r="89" spans="11:11" s="126" customFormat="1"/>
    <row r="90" spans="11:11" s="126" customFormat="1"/>
    <row r="91" spans="11:11" s="126" customFormat="1"/>
    <row r="92" spans="11:11">
      <c r="K92" s="126"/>
    </row>
  </sheetData>
  <conditionalFormatting sqref="C29:J37">
    <cfRule type="aboveAverage" dxfId="5" priority="2"/>
  </conditionalFormatting>
  <conditionalFormatting sqref="C40:J47 C54:J54">
    <cfRule type="aboveAverage" dxfId="4" priority="1"/>
  </conditionalFormatting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9"/>
  <sheetViews>
    <sheetView workbookViewId="0">
      <selection activeCell="F25" sqref="F25"/>
    </sheetView>
  </sheetViews>
  <sheetFormatPr defaultColWidth="11.44140625" defaultRowHeight="14.4"/>
  <cols>
    <col min="1" max="1" width="41.88671875" style="162" customWidth="1"/>
    <col min="2" max="2" width="32.109375" style="162" customWidth="1"/>
  </cols>
  <sheetData>
    <row r="1" spans="1:9">
      <c r="A1" s="105" t="s">
        <v>166</v>
      </c>
    </row>
    <row r="2" spans="1:9">
      <c r="A2" s="313" t="s">
        <v>167</v>
      </c>
      <c r="B2" s="314"/>
      <c r="C2" s="314"/>
      <c r="D2" s="314"/>
      <c r="E2" s="314"/>
      <c r="F2" s="314"/>
      <c r="G2" s="314"/>
      <c r="H2" s="314"/>
      <c r="I2" s="314"/>
    </row>
    <row r="3" spans="1:9">
      <c r="A3" s="105"/>
      <c r="B3" s="106"/>
      <c r="C3" s="106"/>
    </row>
    <row r="4" spans="1:9">
      <c r="A4" s="107" t="s">
        <v>168</v>
      </c>
      <c r="B4" s="107" t="s">
        <v>169</v>
      </c>
      <c r="C4" s="108"/>
      <c r="D4" s="268">
        <v>2020</v>
      </c>
      <c r="E4" s="268">
        <v>2021</v>
      </c>
      <c r="F4" s="268">
        <v>2022</v>
      </c>
      <c r="G4" s="268">
        <v>2023</v>
      </c>
      <c r="H4" s="268">
        <v>2024</v>
      </c>
      <c r="I4" s="268">
        <v>2025</v>
      </c>
    </row>
    <row r="5" spans="1:9" ht="15.75" customHeight="1">
      <c r="A5" s="227" t="s">
        <v>62</v>
      </c>
      <c r="B5" s="269" t="s">
        <v>170</v>
      </c>
      <c r="C5" s="269"/>
      <c r="D5" s="270"/>
      <c r="E5" s="270"/>
      <c r="F5" s="270"/>
      <c r="G5" s="271">
        <v>37.350935964077891</v>
      </c>
      <c r="H5" s="271">
        <v>32.350935964077898</v>
      </c>
      <c r="I5" s="271">
        <v>30.350935964077902</v>
      </c>
    </row>
    <row r="6" spans="1:9" ht="15.75" customHeight="1">
      <c r="A6" s="269" t="s">
        <v>146</v>
      </c>
      <c r="B6" s="269" t="s">
        <v>171</v>
      </c>
      <c r="C6" s="269"/>
      <c r="D6" s="270">
        <v>80.511092130918087</v>
      </c>
      <c r="E6" s="270">
        <v>86.686409719517982</v>
      </c>
      <c r="F6" s="270">
        <v>95.79587514380971</v>
      </c>
      <c r="G6" s="271">
        <f>AVERAGE(D6:F6)</f>
        <v>87.66445899808194</v>
      </c>
      <c r="H6" s="271">
        <f>G6</f>
        <v>87.66445899808194</v>
      </c>
      <c r="I6" s="271">
        <f>H6</f>
        <v>87.66445899808194</v>
      </c>
    </row>
    <row r="7" spans="1:9" ht="15.75" customHeight="1">
      <c r="A7" s="269" t="s">
        <v>172</v>
      </c>
      <c r="B7" s="269" t="s">
        <v>173</v>
      </c>
      <c r="C7" s="269"/>
      <c r="D7" s="270"/>
      <c r="E7" s="270"/>
      <c r="F7" s="270"/>
      <c r="G7" s="271">
        <v>80.043724470294805</v>
      </c>
      <c r="H7" s="271">
        <v>70.043724470294819</v>
      </c>
      <c r="I7" s="271">
        <v>67.043724470294805</v>
      </c>
    </row>
    <row r="8" spans="1:9" ht="15.75" customHeight="1">
      <c r="A8" s="227" t="s">
        <v>174</v>
      </c>
      <c r="B8" s="269"/>
      <c r="C8" s="269"/>
      <c r="D8" s="270"/>
      <c r="E8" s="270"/>
      <c r="F8" s="270"/>
      <c r="G8" s="271">
        <v>27.350935964077902</v>
      </c>
      <c r="H8" s="271">
        <v>25.350935964077902</v>
      </c>
      <c r="I8" s="271">
        <v>25.350935964077902</v>
      </c>
    </row>
    <row r="9" spans="1:9" ht="15.75" customHeight="1">
      <c r="A9" s="269" t="s">
        <v>145</v>
      </c>
      <c r="B9" s="269" t="s">
        <v>175</v>
      </c>
      <c r="C9" s="269"/>
      <c r="D9" s="270">
        <v>4.2973017491391481</v>
      </c>
      <c r="E9" s="270">
        <v>12.3637659642953</v>
      </c>
      <c r="F9" s="270">
        <v>25.4048296020589</v>
      </c>
      <c r="G9" s="109">
        <f>AVERAGE(D9:F9)</f>
        <v>14.021965771831114</v>
      </c>
      <c r="H9" s="109">
        <f>G9</f>
        <v>14.021965771831114</v>
      </c>
      <c r="I9" s="109">
        <f>H9</f>
        <v>14.021965771831114</v>
      </c>
    </row>
    <row r="10" spans="1:9" ht="15.75" customHeight="1" thickBot="1"/>
    <row r="11" spans="1:9">
      <c r="A11" s="110" t="s">
        <v>176</v>
      </c>
      <c r="B11" s="111" t="s">
        <v>177</v>
      </c>
      <c r="C11" s="272" t="s">
        <v>178</v>
      </c>
      <c r="D11" s="273">
        <v>5447159.0784999998</v>
      </c>
      <c r="E11" s="273">
        <v>6219459.4394159988</v>
      </c>
      <c r="F11" s="273">
        <v>8661533.528748</v>
      </c>
      <c r="G11" s="272">
        <v>7428067.3594079362</v>
      </c>
      <c r="H11" s="272">
        <v>7837952.2012260295</v>
      </c>
      <c r="I11" s="274">
        <v>8286718.2213458344</v>
      </c>
    </row>
    <row r="12" spans="1:9">
      <c r="A12" s="275" t="s">
        <v>50</v>
      </c>
      <c r="B12" s="112"/>
      <c r="C12" s="276"/>
      <c r="D12" s="277">
        <v>1026527</v>
      </c>
      <c r="E12" s="277">
        <v>1439713</v>
      </c>
      <c r="F12" s="277">
        <v>2264315</v>
      </c>
      <c r="G12" s="276">
        <f>G5/365*K44*2-F12</f>
        <v>-2264315</v>
      </c>
      <c r="H12" s="276">
        <f>H5/365*L44*2-G12</f>
        <v>2264315</v>
      </c>
      <c r="I12" s="278">
        <f>I5/365*M44*2-H12</f>
        <v>-2264315</v>
      </c>
    </row>
    <row r="13" spans="1:9" ht="15.75" customHeight="1">
      <c r="A13" s="113" t="s">
        <v>55</v>
      </c>
      <c r="D13" s="279">
        <v>2522124</v>
      </c>
      <c r="E13" s="279">
        <v>3018336</v>
      </c>
      <c r="F13" s="279">
        <v>4202090</v>
      </c>
      <c r="G13" s="280">
        <f>G11-G12</f>
        <v>9692382.3594079353</v>
      </c>
      <c r="H13" s="280">
        <f>H11-H12</f>
        <v>5573637.2012260295</v>
      </c>
      <c r="I13" s="281">
        <f>I11-I12</f>
        <v>10551033.221345834</v>
      </c>
    </row>
    <row r="14" spans="1:9" ht="16.5" customHeight="1" thickBot="1">
      <c r="A14" s="114" t="s">
        <v>179</v>
      </c>
      <c r="B14" s="115"/>
      <c r="C14" s="115"/>
      <c r="D14" s="116"/>
      <c r="E14" s="116"/>
      <c r="F14" s="116"/>
      <c r="G14" s="282"/>
      <c r="H14" s="282"/>
      <c r="I14" s="283"/>
    </row>
    <row r="15" spans="1:9" ht="15.75" customHeight="1" thickBot="1">
      <c r="G15" s="280"/>
      <c r="H15" s="280"/>
      <c r="I15" s="280"/>
    </row>
    <row r="16" spans="1:9">
      <c r="A16" s="284" t="s">
        <v>180</v>
      </c>
      <c r="B16" s="285" t="s">
        <v>181</v>
      </c>
      <c r="C16" s="273" t="s">
        <v>178</v>
      </c>
      <c r="D16" s="273">
        <v>1232505.8709999991</v>
      </c>
      <c r="E16" s="273">
        <v>2032046.9319750001</v>
      </c>
      <c r="F16" s="273">
        <v>4737101.8504380006</v>
      </c>
      <c r="G16" s="286">
        <v>4390628.8156292569</v>
      </c>
      <c r="H16" s="286">
        <v>4594602.8744267765</v>
      </c>
      <c r="I16" s="287">
        <v>4684814.2597812256</v>
      </c>
    </row>
    <row r="17" spans="1:9">
      <c r="A17" s="288"/>
      <c r="B17" s="289" t="s">
        <v>182</v>
      </c>
      <c r="C17" s="290" t="s">
        <v>178</v>
      </c>
      <c r="D17" s="290">
        <v>284904.32600000012</v>
      </c>
      <c r="E17" s="290">
        <v>318797.71672199992</v>
      </c>
      <c r="F17" s="290">
        <v>298746.09312799992</v>
      </c>
      <c r="G17" s="291">
        <v>158784.47359156891</v>
      </c>
      <c r="H17" s="291">
        <v>158242.28737073671</v>
      </c>
      <c r="I17" s="292">
        <v>156690.28624611811</v>
      </c>
    </row>
    <row r="18" spans="1:9">
      <c r="A18" s="275" t="s">
        <v>145</v>
      </c>
      <c r="G18" s="280">
        <f>G9/365*K44</f>
        <v>0</v>
      </c>
      <c r="H18" s="280">
        <f>H9/365*L44</f>
        <v>0</v>
      </c>
      <c r="I18" s="280">
        <f>I9/365*M44</f>
        <v>0</v>
      </c>
    </row>
    <row r="19" spans="1:9" ht="15.75" customHeight="1" thickBot="1">
      <c r="A19" s="117" t="s">
        <v>183</v>
      </c>
      <c r="B19" s="115"/>
      <c r="C19" s="115"/>
      <c r="D19" s="115"/>
      <c r="E19" s="115"/>
      <c r="F19" s="115"/>
      <c r="G19" s="282">
        <f>SUM(G16:G17)-G18</f>
        <v>4549413.2892208258</v>
      </c>
      <c r="H19" s="282">
        <f>SUM(H16:H17)-H18</f>
        <v>4752845.1617975133</v>
      </c>
      <c r="I19" s="283">
        <f>SUM(I16:I17)-I18</f>
        <v>4841504.5460273437</v>
      </c>
    </row>
  </sheetData>
  <mergeCells count="1">
    <mergeCell ref="A2:I2"/>
  </mergeCells>
  <conditionalFormatting sqref="C4">
    <cfRule type="cellIs" dxfId="3" priority="4" operator="lessThan">
      <formula>0</formula>
    </cfRule>
  </conditionalFormatting>
  <conditionalFormatting sqref="B12">
    <cfRule type="cellIs" dxfId="2" priority="3" operator="lessThan">
      <formula>0</formula>
    </cfRule>
  </conditionalFormatting>
  <conditionalFormatting sqref="B11">
    <cfRule type="cellIs" dxfId="1" priority="2" operator="lessThan">
      <formula>0</formula>
    </cfRule>
  </conditionalFormatting>
  <conditionalFormatting sqref="A11">
    <cfRule type="cellIs" dxfId="0" priority="1" operator="lessThan">
      <formula>0</formula>
    </cfRule>
  </conditionalFormatting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B3:F34"/>
  <sheetViews>
    <sheetView workbookViewId="0">
      <selection activeCell="B13" sqref="B13"/>
    </sheetView>
  </sheetViews>
  <sheetFormatPr defaultColWidth="8.88671875" defaultRowHeight="14.4"/>
  <cols>
    <col min="2" max="2" width="47.88671875" style="162" bestFit="1" customWidth="1"/>
  </cols>
  <sheetData>
    <row r="3" spans="2:6">
      <c r="B3" s="83" t="s">
        <v>8</v>
      </c>
      <c r="C3" s="84"/>
      <c r="D3" s="84"/>
      <c r="E3" s="84"/>
      <c r="F3" s="85"/>
    </row>
    <row r="4" spans="2:6" ht="14.25" customHeight="1">
      <c r="B4" s="74" t="s">
        <v>184</v>
      </c>
      <c r="C4" s="75"/>
      <c r="D4" s="75"/>
      <c r="E4" s="75"/>
      <c r="F4" s="76"/>
    </row>
    <row r="5" spans="2:6" ht="14.25" customHeight="1">
      <c r="B5" s="74" t="s">
        <v>185</v>
      </c>
      <c r="C5" s="75"/>
      <c r="D5" s="75"/>
      <c r="E5" s="75"/>
      <c r="F5" s="76"/>
    </row>
    <row r="6" spans="2:6" ht="14.25" customHeight="1">
      <c r="B6" s="83" t="s">
        <v>186</v>
      </c>
      <c r="C6" s="84"/>
      <c r="D6" s="84"/>
      <c r="E6" s="84"/>
      <c r="F6" s="85"/>
    </row>
    <row r="7" spans="2:6">
      <c r="B7" s="80"/>
      <c r="C7" s="81"/>
      <c r="D7" s="81"/>
      <c r="E7" s="81"/>
      <c r="F7" s="82"/>
    </row>
    <row r="8" spans="2:6" ht="14.25" customHeight="1">
      <c r="B8" s="74" t="s">
        <v>187</v>
      </c>
      <c r="C8" s="75"/>
      <c r="D8" s="75"/>
      <c r="E8" s="75"/>
      <c r="F8" s="76"/>
    </row>
    <row r="9" spans="2:6" ht="14.25" customHeight="1">
      <c r="B9" s="74" t="s">
        <v>188</v>
      </c>
      <c r="C9" s="75"/>
      <c r="D9" s="75"/>
      <c r="E9" s="75"/>
      <c r="F9" s="76"/>
    </row>
    <row r="10" spans="2:6" ht="14.25" customHeight="1">
      <c r="B10" s="74" t="s">
        <v>189</v>
      </c>
      <c r="C10" s="75"/>
      <c r="D10" s="75"/>
      <c r="E10" s="75"/>
      <c r="F10" s="76"/>
    </row>
    <row r="11" spans="2:6" ht="14.25" customHeight="1">
      <c r="B11" s="83" t="s">
        <v>190</v>
      </c>
      <c r="C11" s="84"/>
      <c r="D11" s="84"/>
      <c r="E11" s="84"/>
      <c r="F11" s="85"/>
    </row>
    <row r="12" spans="2:6">
      <c r="B12" s="80"/>
      <c r="C12" s="81"/>
      <c r="D12" s="81"/>
      <c r="E12" s="81"/>
      <c r="F12" s="82"/>
    </row>
    <row r="13" spans="2:6" ht="14.25" customHeight="1">
      <c r="B13" s="83" t="s">
        <v>191</v>
      </c>
      <c r="C13" s="84"/>
      <c r="D13" s="84"/>
      <c r="E13" s="84"/>
      <c r="F13" s="85"/>
    </row>
    <row r="14" spans="2:6">
      <c r="B14" s="80"/>
      <c r="C14" s="81"/>
      <c r="D14" s="81"/>
      <c r="E14" s="81"/>
      <c r="F14" s="82"/>
    </row>
    <row r="15" spans="2:6" ht="14.25" customHeight="1">
      <c r="B15" s="74" t="s">
        <v>192</v>
      </c>
      <c r="C15" s="75"/>
      <c r="D15" s="75"/>
      <c r="E15" s="75"/>
      <c r="F15" s="76"/>
    </row>
    <row r="16" spans="2:6" ht="14.25" customHeight="1">
      <c r="B16" s="74" t="s">
        <v>193</v>
      </c>
      <c r="C16" s="75"/>
      <c r="D16" s="75"/>
      <c r="E16" s="75"/>
      <c r="F16" s="76"/>
    </row>
    <row r="17" spans="2:6" ht="14.25" customHeight="1">
      <c r="B17" s="74" t="s">
        <v>194</v>
      </c>
      <c r="C17" s="75"/>
      <c r="D17" s="75"/>
      <c r="E17" s="75"/>
      <c r="F17" s="76"/>
    </row>
    <row r="18" spans="2:6" ht="14.25" customHeight="1">
      <c r="B18" s="74" t="s">
        <v>195</v>
      </c>
      <c r="C18" s="75"/>
      <c r="D18" s="75"/>
      <c r="E18" s="75"/>
      <c r="F18" s="76"/>
    </row>
    <row r="19" spans="2:6" ht="14.25" customHeight="1">
      <c r="B19" s="77" t="s">
        <v>196</v>
      </c>
      <c r="C19" s="78"/>
      <c r="D19" s="78"/>
      <c r="E19" s="78"/>
      <c r="F19" s="79"/>
    </row>
    <row r="20" spans="2:6">
      <c r="B20" s="80"/>
      <c r="C20" s="81"/>
      <c r="D20" s="81"/>
      <c r="E20" s="81"/>
      <c r="F20" s="82"/>
    </row>
    <row r="21" spans="2:6" ht="14.25" customHeight="1">
      <c r="B21" s="68" t="s">
        <v>197</v>
      </c>
      <c r="C21" s="69"/>
      <c r="D21" s="69"/>
      <c r="E21" s="69"/>
      <c r="F21" s="70"/>
    </row>
    <row r="22" spans="2:6" ht="14.25" customHeight="1">
      <c r="B22" s="71" t="s">
        <v>198</v>
      </c>
      <c r="C22" s="72"/>
      <c r="D22" s="72"/>
      <c r="E22" s="72"/>
      <c r="F22" s="73"/>
    </row>
    <row r="23" spans="2:6" ht="14.25" customHeight="1">
      <c r="B23" s="68" t="s">
        <v>199</v>
      </c>
      <c r="C23" s="69"/>
      <c r="D23" s="69"/>
      <c r="E23" s="69"/>
      <c r="F23" s="70"/>
    </row>
    <row r="26" spans="2:6" ht="25.5" customHeight="1">
      <c r="B26" s="74" t="s">
        <v>200</v>
      </c>
    </row>
    <row r="27" spans="2:6">
      <c r="B27" t="s">
        <v>201</v>
      </c>
    </row>
    <row r="28" spans="2:6">
      <c r="B28" t="s">
        <v>202</v>
      </c>
    </row>
    <row r="29" spans="2:6">
      <c r="B29" t="s">
        <v>203</v>
      </c>
    </row>
    <row r="30" spans="2:6">
      <c r="B30" t="s">
        <v>204</v>
      </c>
    </row>
    <row r="31" spans="2:6">
      <c r="B31" t="s">
        <v>205</v>
      </c>
    </row>
    <row r="32" spans="2:6">
      <c r="B32" t="s">
        <v>206</v>
      </c>
    </row>
    <row r="33" spans="2:2">
      <c r="B33" t="s">
        <v>207</v>
      </c>
    </row>
    <row r="34" spans="2:2">
      <c r="B34" t="s">
        <v>208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B1:AI79"/>
  <sheetViews>
    <sheetView workbookViewId="0">
      <selection activeCell="B5" sqref="B5"/>
    </sheetView>
  </sheetViews>
  <sheetFormatPr defaultColWidth="8.88671875" defaultRowHeight="14.4"/>
  <cols>
    <col min="2" max="2" width="40.88671875" style="162" bestFit="1" customWidth="1"/>
    <col min="3" max="6" width="13.6640625" style="162" customWidth="1"/>
    <col min="7" max="7" width="10.109375" style="162" bestFit="1" customWidth="1"/>
    <col min="8" max="11" width="11.6640625" style="162" bestFit="1" customWidth="1"/>
    <col min="12" max="13" width="16.33203125" style="162" bestFit="1" customWidth="1"/>
    <col min="14" max="14" width="15.33203125" style="162" bestFit="1" customWidth="1"/>
    <col min="15" max="16" width="9.109375" style="162" customWidth="1"/>
    <col min="20" max="21" width="18" style="162" bestFit="1" customWidth="1"/>
    <col min="23" max="23" width="18.6640625" style="162" bestFit="1" customWidth="1"/>
    <col min="25" max="25" width="17" style="162" bestFit="1" customWidth="1"/>
    <col min="26" max="26" width="10.44140625" style="162" bestFit="1" customWidth="1"/>
    <col min="30" max="32" width="11.6640625" style="162" bestFit="1" customWidth="1"/>
  </cols>
  <sheetData>
    <row r="1" spans="2:35">
      <c r="B1" s="1" t="s">
        <v>209</v>
      </c>
    </row>
    <row r="2" spans="2:35">
      <c r="B2" s="5"/>
      <c r="C2" s="34">
        <v>2015</v>
      </c>
      <c r="D2" s="34">
        <f t="shared" ref="D2:N2" si="0">C2+1</f>
        <v>2016</v>
      </c>
      <c r="E2" s="34">
        <f t="shared" si="0"/>
        <v>2017</v>
      </c>
      <c r="F2" s="34">
        <f t="shared" si="0"/>
        <v>2018</v>
      </c>
      <c r="G2" s="34">
        <f t="shared" si="0"/>
        <v>2019</v>
      </c>
      <c r="H2" s="34">
        <f t="shared" si="0"/>
        <v>2020</v>
      </c>
      <c r="I2" s="34">
        <f t="shared" si="0"/>
        <v>2021</v>
      </c>
      <c r="J2" s="34">
        <f t="shared" si="0"/>
        <v>2022</v>
      </c>
      <c r="K2" s="34">
        <f t="shared" si="0"/>
        <v>2023</v>
      </c>
      <c r="L2" s="34">
        <f t="shared" si="0"/>
        <v>2024</v>
      </c>
      <c r="M2" s="34">
        <f t="shared" si="0"/>
        <v>2025</v>
      </c>
      <c r="N2" s="34">
        <f t="shared" si="0"/>
        <v>2026</v>
      </c>
    </row>
    <row r="3" spans="2:35" s="16" customFormat="1">
      <c r="B3" s="6" t="s">
        <v>210</v>
      </c>
      <c r="C3" s="35">
        <f t="shared" ref="C3:N3" si="1">SUM(C4:C5)</f>
        <v>0</v>
      </c>
      <c r="D3" s="35">
        <f t="shared" si="1"/>
        <v>0</v>
      </c>
      <c r="E3" s="35">
        <f t="shared" si="1"/>
        <v>0</v>
      </c>
      <c r="F3" s="35">
        <f t="shared" si="1"/>
        <v>0</v>
      </c>
      <c r="G3" s="35">
        <f t="shared" si="1"/>
        <v>19606</v>
      </c>
      <c r="H3" s="35">
        <f t="shared" si="1"/>
        <v>47773</v>
      </c>
      <c r="I3" s="35">
        <f t="shared" si="1"/>
        <v>0</v>
      </c>
      <c r="J3" s="35">
        <f t="shared" si="1"/>
        <v>0</v>
      </c>
      <c r="K3" s="35">
        <f t="shared" si="1"/>
        <v>0</v>
      </c>
      <c r="L3" s="35">
        <f t="shared" si="1"/>
        <v>0</v>
      </c>
      <c r="M3" s="35">
        <f t="shared" si="1"/>
        <v>0</v>
      </c>
      <c r="N3" s="35">
        <f t="shared" si="1"/>
        <v>0</v>
      </c>
    </row>
    <row r="4" spans="2:35">
      <c r="B4" s="7" t="s">
        <v>211</v>
      </c>
      <c r="C4" s="11"/>
      <c r="D4" s="11"/>
      <c r="E4" s="11"/>
      <c r="F4" s="11"/>
      <c r="G4" s="20">
        <v>19606</v>
      </c>
      <c r="H4" s="20">
        <v>5773</v>
      </c>
      <c r="I4" s="20"/>
      <c r="J4" s="20"/>
      <c r="K4" s="20"/>
      <c r="L4" s="20"/>
      <c r="M4" s="20"/>
      <c r="N4" s="20"/>
      <c r="Z4" s="36"/>
      <c r="AA4" s="36"/>
      <c r="AB4" s="36"/>
      <c r="AG4" s="280"/>
      <c r="AH4" s="280"/>
      <c r="AI4" s="280"/>
    </row>
    <row r="5" spans="2:35">
      <c r="B5" s="7" t="s">
        <v>212</v>
      </c>
      <c r="C5" s="11"/>
      <c r="D5" s="11"/>
      <c r="E5" s="11"/>
      <c r="F5" s="11"/>
      <c r="G5" s="20"/>
      <c r="H5" s="20">
        <v>42000</v>
      </c>
      <c r="I5" s="20"/>
      <c r="J5" s="20"/>
      <c r="K5" s="20"/>
      <c r="L5" s="20"/>
      <c r="M5" s="20"/>
      <c r="N5" s="20"/>
      <c r="Z5" s="36"/>
      <c r="AA5" s="36"/>
      <c r="AB5" s="36"/>
      <c r="AG5" s="280"/>
      <c r="AH5" s="280"/>
      <c r="AI5" s="280"/>
    </row>
    <row r="6" spans="2:35" s="16" customFormat="1">
      <c r="B6" s="6" t="s">
        <v>213</v>
      </c>
      <c r="C6" s="35">
        <f t="shared" ref="C6:N6" si="2">C7</f>
        <v>0</v>
      </c>
      <c r="D6" s="35">
        <f t="shared" si="2"/>
        <v>0</v>
      </c>
      <c r="E6" s="35">
        <f t="shared" si="2"/>
        <v>0</v>
      </c>
      <c r="F6" s="35">
        <f t="shared" si="2"/>
        <v>0</v>
      </c>
      <c r="G6" s="35">
        <f t="shared" si="2"/>
        <v>0</v>
      </c>
      <c r="H6" s="35">
        <f t="shared" si="2"/>
        <v>0</v>
      </c>
      <c r="I6" s="35">
        <f t="shared" si="2"/>
        <v>0</v>
      </c>
      <c r="J6" s="35">
        <f t="shared" si="2"/>
        <v>0</v>
      </c>
      <c r="K6" s="35">
        <f t="shared" si="2"/>
        <v>0</v>
      </c>
      <c r="L6" s="35">
        <f t="shared" si="2"/>
        <v>0</v>
      </c>
      <c r="M6" s="35">
        <f t="shared" si="2"/>
        <v>0</v>
      </c>
      <c r="N6" s="35">
        <f t="shared" si="2"/>
        <v>0</v>
      </c>
      <c r="Z6" s="36"/>
      <c r="AA6" s="36"/>
      <c r="AB6" s="36"/>
    </row>
    <row r="7" spans="2:35">
      <c r="B7" s="7" t="s">
        <v>214</v>
      </c>
      <c r="C7" s="11"/>
      <c r="D7" s="11"/>
      <c r="E7" s="11"/>
      <c r="F7" s="11"/>
      <c r="G7" s="20"/>
      <c r="H7" s="20"/>
      <c r="I7" s="20"/>
      <c r="J7" s="20"/>
      <c r="K7" s="20"/>
      <c r="L7" s="20"/>
      <c r="M7" s="20"/>
      <c r="N7" s="20"/>
      <c r="Z7" s="36"/>
      <c r="AA7" s="36"/>
      <c r="AB7" s="36"/>
      <c r="AG7" s="264"/>
      <c r="AH7" s="264"/>
      <c r="AI7" s="264"/>
    </row>
    <row r="8" spans="2:35" s="16" customFormat="1">
      <c r="B8" s="6" t="s">
        <v>215</v>
      </c>
      <c r="C8" s="35">
        <f t="shared" ref="C8:N8" si="3">SUM(C9:C14)</f>
        <v>0</v>
      </c>
      <c r="D8" s="35">
        <f t="shared" si="3"/>
        <v>0</v>
      </c>
      <c r="E8" s="35">
        <f t="shared" si="3"/>
        <v>0</v>
      </c>
      <c r="F8" s="35">
        <f t="shared" si="3"/>
        <v>0</v>
      </c>
      <c r="G8" s="35">
        <f t="shared" si="3"/>
        <v>321137</v>
      </c>
      <c r="H8" s="35">
        <f t="shared" si="3"/>
        <v>445425</v>
      </c>
      <c r="I8" s="35">
        <f t="shared" si="3"/>
        <v>0</v>
      </c>
      <c r="J8" s="35">
        <f t="shared" si="3"/>
        <v>0</v>
      </c>
      <c r="K8" s="35">
        <f t="shared" si="3"/>
        <v>0</v>
      </c>
      <c r="L8" s="35">
        <f t="shared" si="3"/>
        <v>0</v>
      </c>
      <c r="M8" s="35">
        <f t="shared" si="3"/>
        <v>0</v>
      </c>
      <c r="N8" s="35">
        <f t="shared" si="3"/>
        <v>0</v>
      </c>
      <c r="Z8" s="36"/>
      <c r="AA8" s="36"/>
      <c r="AB8" s="36"/>
    </row>
    <row r="9" spans="2:35">
      <c r="B9" s="7" t="s">
        <v>216</v>
      </c>
      <c r="C9" s="11"/>
      <c r="D9" s="11"/>
      <c r="E9" s="11"/>
      <c r="F9" s="11"/>
      <c r="G9" s="20">
        <v>63368</v>
      </c>
      <c r="H9" s="20">
        <v>113362</v>
      </c>
      <c r="I9" s="20"/>
      <c r="J9" s="20"/>
      <c r="K9" s="20"/>
      <c r="L9" s="20"/>
      <c r="M9" s="20"/>
      <c r="N9" s="20"/>
      <c r="Z9" s="36"/>
      <c r="AA9" s="36"/>
      <c r="AB9" s="36"/>
      <c r="AG9" s="280"/>
      <c r="AH9" s="280"/>
      <c r="AI9" s="280"/>
    </row>
    <row r="10" spans="2:35">
      <c r="B10" s="7" t="s">
        <v>217</v>
      </c>
      <c r="C10" s="11"/>
      <c r="D10" s="11"/>
      <c r="E10" s="11"/>
      <c r="F10" s="11"/>
      <c r="G10" s="20">
        <v>105</v>
      </c>
      <c r="H10" s="20">
        <v>4368</v>
      </c>
      <c r="I10" s="20"/>
      <c r="J10" s="20"/>
      <c r="K10" s="20"/>
      <c r="L10" s="20"/>
      <c r="M10" s="20"/>
      <c r="N10" s="20"/>
      <c r="Z10" s="36"/>
      <c r="AA10" s="36"/>
      <c r="AB10" s="36"/>
      <c r="AG10" s="280"/>
      <c r="AH10" s="280"/>
      <c r="AI10" s="280"/>
    </row>
    <row r="11" spans="2:35">
      <c r="B11" s="7" t="s">
        <v>218</v>
      </c>
      <c r="C11" s="11"/>
      <c r="D11" s="11"/>
      <c r="E11" s="11"/>
      <c r="F11" s="11"/>
      <c r="G11" s="20">
        <v>246800</v>
      </c>
      <c r="H11" s="20"/>
      <c r="I11" s="20"/>
      <c r="J11" s="20"/>
      <c r="K11" s="20"/>
      <c r="L11" s="20"/>
      <c r="M11" s="20"/>
      <c r="N11" s="20"/>
      <c r="Z11" s="36"/>
      <c r="AA11" s="36"/>
      <c r="AB11" s="36"/>
    </row>
    <row r="12" spans="2:35">
      <c r="B12" s="7" t="s">
        <v>219</v>
      </c>
      <c r="C12" s="11"/>
      <c r="D12" s="11"/>
      <c r="E12" s="11"/>
      <c r="F12" s="11"/>
      <c r="G12" s="20">
        <v>10864</v>
      </c>
      <c r="H12" s="20">
        <v>327695</v>
      </c>
      <c r="I12" s="20"/>
      <c r="J12" s="20"/>
      <c r="K12" s="20"/>
      <c r="L12" s="20"/>
      <c r="M12" s="20"/>
      <c r="N12" s="20"/>
      <c r="Z12" s="36"/>
      <c r="AA12" s="36"/>
      <c r="AB12" s="36"/>
      <c r="AG12" s="293"/>
      <c r="AH12" s="293"/>
      <c r="AI12" s="293"/>
    </row>
    <row r="13" spans="2:35">
      <c r="B13" s="7" t="s">
        <v>220</v>
      </c>
      <c r="C13" s="11"/>
      <c r="D13" s="11"/>
      <c r="E13" s="11"/>
      <c r="F13" s="11"/>
      <c r="G13" s="20"/>
      <c r="H13" s="20"/>
      <c r="I13" s="20"/>
      <c r="J13" s="20"/>
      <c r="K13" s="20"/>
      <c r="L13" s="20"/>
      <c r="M13" s="20"/>
      <c r="N13" s="20"/>
      <c r="Z13" s="36"/>
      <c r="AA13" s="36"/>
      <c r="AB13" s="36"/>
      <c r="AG13" s="280"/>
      <c r="AH13" s="280"/>
      <c r="AI13" s="280"/>
    </row>
    <row r="14" spans="2:35">
      <c r="B14" s="7" t="s">
        <v>221</v>
      </c>
      <c r="C14" s="11"/>
      <c r="D14" s="11"/>
      <c r="E14" s="11"/>
      <c r="F14" s="11"/>
      <c r="G14" s="20"/>
      <c r="H14" s="20"/>
      <c r="I14" s="20"/>
      <c r="J14" s="20"/>
      <c r="K14" s="20"/>
      <c r="L14" s="20"/>
      <c r="M14" s="20"/>
      <c r="N14" s="20"/>
      <c r="Z14" s="36"/>
      <c r="AA14" s="36"/>
      <c r="AB14" s="36"/>
    </row>
    <row r="15" spans="2:35" s="16" customFormat="1">
      <c r="B15" s="6" t="s">
        <v>222</v>
      </c>
      <c r="C15" s="35">
        <f t="shared" ref="C15:N15" si="4">SUM(C16:C17)</f>
        <v>0</v>
      </c>
      <c r="D15" s="35">
        <f t="shared" si="4"/>
        <v>0</v>
      </c>
      <c r="E15" s="35">
        <f t="shared" si="4"/>
        <v>0</v>
      </c>
      <c r="F15" s="35">
        <f t="shared" si="4"/>
        <v>0</v>
      </c>
      <c r="G15" s="35">
        <f t="shared" si="4"/>
        <v>0</v>
      </c>
      <c r="H15" s="35">
        <f t="shared" si="4"/>
        <v>45683</v>
      </c>
      <c r="I15" s="35">
        <f t="shared" si="4"/>
        <v>0</v>
      </c>
      <c r="J15" s="35">
        <f t="shared" si="4"/>
        <v>0</v>
      </c>
      <c r="K15" s="35">
        <f t="shared" si="4"/>
        <v>0</v>
      </c>
      <c r="L15" s="35">
        <f t="shared" si="4"/>
        <v>0</v>
      </c>
      <c r="M15" s="35">
        <f t="shared" si="4"/>
        <v>0</v>
      </c>
      <c r="N15" s="35">
        <f t="shared" si="4"/>
        <v>0</v>
      </c>
      <c r="Z15" s="36"/>
      <c r="AA15" s="36"/>
      <c r="AB15" s="36"/>
    </row>
    <row r="16" spans="2:35">
      <c r="B16" s="7" t="s">
        <v>223</v>
      </c>
      <c r="C16" s="11"/>
      <c r="D16" s="11"/>
      <c r="E16" s="11"/>
      <c r="F16" s="11"/>
      <c r="G16" s="20"/>
      <c r="H16" s="20">
        <v>45683</v>
      </c>
      <c r="I16" s="20"/>
      <c r="J16" s="20"/>
      <c r="K16" s="20"/>
      <c r="L16" s="20"/>
      <c r="M16" s="20"/>
      <c r="N16" s="20"/>
      <c r="Z16" s="36"/>
      <c r="AA16" s="36"/>
      <c r="AB16" s="36"/>
      <c r="AG16" s="280"/>
      <c r="AH16" s="280"/>
      <c r="AI16" s="280"/>
    </row>
    <row r="17" spans="2:35">
      <c r="B17" s="7" t="s">
        <v>224</v>
      </c>
      <c r="C17" s="11"/>
      <c r="D17" s="11"/>
      <c r="E17" s="11"/>
      <c r="F17" s="11"/>
      <c r="G17" s="20"/>
      <c r="H17" s="20"/>
      <c r="I17" s="20"/>
      <c r="J17" s="20"/>
      <c r="K17" s="20"/>
      <c r="L17" s="20"/>
      <c r="M17" s="20"/>
      <c r="N17" s="20"/>
      <c r="Z17" s="36"/>
      <c r="AA17" s="36"/>
      <c r="AB17" s="36"/>
    </row>
    <row r="18" spans="2:35" s="16" customFormat="1">
      <c r="B18" s="6" t="s">
        <v>225</v>
      </c>
      <c r="C18" s="35">
        <f t="shared" ref="C18:N18" si="5">SUM(C19:C22)</f>
        <v>0</v>
      </c>
      <c r="D18" s="35">
        <f t="shared" si="5"/>
        <v>0</v>
      </c>
      <c r="E18" s="35">
        <f t="shared" si="5"/>
        <v>0</v>
      </c>
      <c r="F18" s="35">
        <f t="shared" si="5"/>
        <v>0</v>
      </c>
      <c r="G18" s="35">
        <f t="shared" si="5"/>
        <v>1214</v>
      </c>
      <c r="H18" s="35">
        <f t="shared" si="5"/>
        <v>3759</v>
      </c>
      <c r="I18" s="35">
        <f t="shared" si="5"/>
        <v>0</v>
      </c>
      <c r="J18" s="35">
        <f t="shared" si="5"/>
        <v>0</v>
      </c>
      <c r="K18" s="35">
        <f t="shared" si="5"/>
        <v>0</v>
      </c>
      <c r="L18" s="35">
        <f t="shared" si="5"/>
        <v>0</v>
      </c>
      <c r="M18" s="35">
        <f t="shared" si="5"/>
        <v>0</v>
      </c>
      <c r="N18" s="35">
        <f t="shared" si="5"/>
        <v>0</v>
      </c>
      <c r="Z18" s="36"/>
      <c r="AA18" s="36"/>
      <c r="AB18" s="36"/>
    </row>
    <row r="19" spans="2:35">
      <c r="B19" s="7" t="s">
        <v>226</v>
      </c>
      <c r="C19" s="11"/>
      <c r="D19" s="11"/>
      <c r="E19" s="11"/>
      <c r="F19" s="11"/>
      <c r="G19" s="20">
        <v>1035</v>
      </c>
      <c r="H19" s="20">
        <v>1177</v>
      </c>
      <c r="I19" s="20"/>
      <c r="J19" s="20"/>
      <c r="K19" s="20"/>
      <c r="L19" s="20"/>
      <c r="M19" s="20"/>
      <c r="N19" s="20"/>
      <c r="Z19" s="36"/>
      <c r="AA19" s="36"/>
      <c r="AB19" s="36"/>
      <c r="AG19" s="280"/>
      <c r="AH19" s="280"/>
      <c r="AI19" s="280"/>
    </row>
    <row r="20" spans="2:35">
      <c r="B20" s="7" t="s">
        <v>227</v>
      </c>
      <c r="C20" s="11"/>
      <c r="D20" s="11"/>
      <c r="E20" s="11"/>
      <c r="F20" s="11"/>
      <c r="G20" s="20"/>
      <c r="H20" s="20">
        <v>2495</v>
      </c>
      <c r="I20" s="20"/>
      <c r="J20" s="20"/>
      <c r="K20" s="20"/>
      <c r="L20" s="20"/>
      <c r="M20" s="20"/>
      <c r="N20" s="20"/>
      <c r="Z20" s="36"/>
      <c r="AA20" s="36"/>
      <c r="AB20" s="36"/>
      <c r="AG20" s="280"/>
      <c r="AH20" s="280"/>
      <c r="AI20" s="280"/>
    </row>
    <row r="21" spans="2:35">
      <c r="B21" s="7" t="s">
        <v>228</v>
      </c>
      <c r="C21" s="11"/>
      <c r="D21" s="11"/>
      <c r="E21" s="11"/>
      <c r="F21" s="11"/>
      <c r="G21" s="20">
        <v>179</v>
      </c>
      <c r="H21" s="20">
        <v>87</v>
      </c>
      <c r="I21" s="20"/>
      <c r="J21" s="20"/>
      <c r="K21" s="20"/>
      <c r="L21" s="20"/>
      <c r="M21" s="20"/>
      <c r="N21" s="20"/>
      <c r="Z21" s="36"/>
      <c r="AA21" s="36"/>
      <c r="AB21" s="36"/>
    </row>
    <row r="22" spans="2:35" ht="15.75" customHeight="1" thickBot="1">
      <c r="B22" s="7" t="s">
        <v>229</v>
      </c>
      <c r="C22" s="11"/>
      <c r="D22" s="11"/>
      <c r="E22" s="11"/>
      <c r="F22" s="11"/>
      <c r="G22" s="20"/>
      <c r="H22" s="20"/>
      <c r="I22" s="20"/>
      <c r="J22" s="20"/>
      <c r="K22" s="20"/>
      <c r="L22" s="20"/>
      <c r="M22" s="20"/>
      <c r="N22" s="20"/>
      <c r="Z22" s="36"/>
      <c r="AA22" s="36"/>
      <c r="AB22" s="36"/>
    </row>
    <row r="23" spans="2:35" s="16" customFormat="1" ht="16.5" customHeight="1" thickTop="1" thickBot="1">
      <c r="B23" s="17" t="s">
        <v>230</v>
      </c>
      <c r="C23" s="35">
        <f t="shared" ref="C23:N23" si="6">SUM(C3,C6,C8,C15,C18)</f>
        <v>0</v>
      </c>
      <c r="D23" s="35">
        <f t="shared" si="6"/>
        <v>0</v>
      </c>
      <c r="E23" s="35">
        <f t="shared" si="6"/>
        <v>0</v>
      </c>
      <c r="F23" s="35">
        <f t="shared" si="6"/>
        <v>0</v>
      </c>
      <c r="G23" s="35">
        <f t="shared" si="6"/>
        <v>341957</v>
      </c>
      <c r="H23" s="35">
        <f t="shared" si="6"/>
        <v>542640</v>
      </c>
      <c r="I23" s="35">
        <f t="shared" si="6"/>
        <v>0</v>
      </c>
      <c r="J23" s="35">
        <f t="shared" si="6"/>
        <v>0</v>
      </c>
      <c r="K23" s="35">
        <f t="shared" si="6"/>
        <v>0</v>
      </c>
      <c r="L23" s="35">
        <f t="shared" si="6"/>
        <v>0</v>
      </c>
      <c r="M23" s="35">
        <f t="shared" si="6"/>
        <v>0</v>
      </c>
      <c r="N23" s="35">
        <f t="shared" si="6"/>
        <v>0</v>
      </c>
      <c r="Z23" s="36"/>
      <c r="AA23" s="36"/>
      <c r="AB23" s="36"/>
    </row>
    <row r="24" spans="2:35" s="16" customFormat="1" ht="15.75" customHeight="1" thickTop="1">
      <c r="B24" s="9" t="s">
        <v>231</v>
      </c>
      <c r="C24" s="35">
        <f t="shared" ref="C24:N24" si="7">SUM(C25,C31,C38,C40,C44)</f>
        <v>0</v>
      </c>
      <c r="D24" s="35">
        <f t="shared" si="7"/>
        <v>0</v>
      </c>
      <c r="E24" s="35">
        <f t="shared" si="7"/>
        <v>0</v>
      </c>
      <c r="F24" s="35">
        <f t="shared" si="7"/>
        <v>0</v>
      </c>
      <c r="G24" s="35">
        <f t="shared" si="7"/>
        <v>506566</v>
      </c>
      <c r="H24" s="35">
        <f t="shared" si="7"/>
        <v>8001238</v>
      </c>
      <c r="I24" s="35">
        <f t="shared" si="7"/>
        <v>0</v>
      </c>
      <c r="J24" s="35">
        <f t="shared" si="7"/>
        <v>0</v>
      </c>
      <c r="K24" s="35">
        <f t="shared" si="7"/>
        <v>0</v>
      </c>
      <c r="L24" s="35">
        <f t="shared" si="7"/>
        <v>0</v>
      </c>
      <c r="M24" s="35">
        <f t="shared" si="7"/>
        <v>0</v>
      </c>
      <c r="N24" s="35">
        <f t="shared" si="7"/>
        <v>0</v>
      </c>
      <c r="Q24" s="16">
        <f>K24-J24</f>
        <v>0</v>
      </c>
      <c r="Z24" s="36"/>
      <c r="AA24" s="36"/>
      <c r="AB24" s="36"/>
    </row>
    <row r="25" spans="2:35">
      <c r="B25" s="10" t="s">
        <v>232</v>
      </c>
      <c r="C25" s="10"/>
      <c r="D25" s="10"/>
      <c r="E25" s="10"/>
      <c r="F25" s="10"/>
      <c r="G25" s="20">
        <f t="shared" ref="G25:N25" si="8">SUM(G26:G30)</f>
        <v>506566</v>
      </c>
      <c r="H25" s="20">
        <f t="shared" si="8"/>
        <v>6841282</v>
      </c>
      <c r="I25" s="20">
        <f t="shared" si="8"/>
        <v>0</v>
      </c>
      <c r="J25" s="20">
        <f t="shared" si="8"/>
        <v>0</v>
      </c>
      <c r="K25" s="20">
        <f t="shared" si="8"/>
        <v>0</v>
      </c>
      <c r="L25" s="20">
        <f t="shared" si="8"/>
        <v>0</v>
      </c>
      <c r="M25" s="20">
        <f t="shared" si="8"/>
        <v>0</v>
      </c>
      <c r="N25" s="20">
        <f t="shared" si="8"/>
        <v>0</v>
      </c>
      <c r="Z25" s="36"/>
      <c r="AA25" s="36"/>
      <c r="AB25" s="36"/>
    </row>
    <row r="26" spans="2:35">
      <c r="B26" s="11" t="s">
        <v>233</v>
      </c>
      <c r="C26" s="11"/>
      <c r="D26" s="11"/>
      <c r="E26" s="11"/>
      <c r="F26" s="11"/>
      <c r="G26" s="20"/>
      <c r="H26" s="20"/>
      <c r="I26" s="20"/>
      <c r="J26" s="20"/>
      <c r="K26" s="20"/>
      <c r="L26" s="20"/>
      <c r="M26" s="20"/>
      <c r="N26" s="20"/>
      <c r="Z26" s="36"/>
      <c r="AA26" s="36"/>
      <c r="AB26" s="36"/>
    </row>
    <row r="27" spans="2:35">
      <c r="B27" s="11" t="s">
        <v>234</v>
      </c>
      <c r="C27" s="11"/>
      <c r="D27" s="11"/>
      <c r="E27" s="11"/>
      <c r="F27" s="11"/>
      <c r="G27" s="20"/>
      <c r="H27" s="20"/>
      <c r="I27" s="20"/>
      <c r="J27" s="20"/>
      <c r="K27" s="20"/>
      <c r="L27" s="20"/>
      <c r="M27" s="20"/>
      <c r="N27" s="20"/>
      <c r="Q27" s="31"/>
      <c r="R27" s="31"/>
      <c r="S27" s="31"/>
      <c r="T27" s="31">
        <v>2021</v>
      </c>
      <c r="U27" s="31">
        <v>2020</v>
      </c>
      <c r="V27" s="31"/>
      <c r="W27" s="31" t="s">
        <v>235</v>
      </c>
      <c r="X27" s="31"/>
      <c r="Y27" s="31"/>
      <c r="Z27" s="36"/>
      <c r="AA27" s="36"/>
      <c r="AB27" s="36"/>
    </row>
    <row r="28" spans="2:35">
      <c r="B28" s="11" t="s">
        <v>236</v>
      </c>
      <c r="C28" s="11"/>
      <c r="D28" s="11"/>
      <c r="E28" s="11"/>
      <c r="F28" s="11"/>
      <c r="G28" s="20"/>
      <c r="H28" s="20"/>
      <c r="I28" s="20"/>
      <c r="J28" s="20"/>
      <c r="K28" s="20"/>
      <c r="L28" s="20"/>
      <c r="M28" s="20"/>
      <c r="N28" s="20"/>
      <c r="Q28" s="32" t="s">
        <v>237</v>
      </c>
      <c r="R28" s="31"/>
      <c r="S28" s="31"/>
      <c r="T28" s="294"/>
      <c r="U28" s="294"/>
      <c r="V28" s="31"/>
      <c r="W28" s="31"/>
      <c r="X28" s="31"/>
      <c r="Y28" s="31"/>
      <c r="Z28" s="36"/>
      <c r="AA28" s="36"/>
      <c r="AB28" s="36"/>
    </row>
    <row r="29" spans="2:35">
      <c r="B29" s="11" t="s">
        <v>238</v>
      </c>
      <c r="C29" s="11"/>
      <c r="D29" s="11"/>
      <c r="E29" s="11"/>
      <c r="F29" s="11"/>
      <c r="G29" s="20">
        <v>506566</v>
      </c>
      <c r="H29" s="20">
        <v>6841282</v>
      </c>
      <c r="I29" s="20"/>
      <c r="J29" s="20"/>
      <c r="K29" s="20"/>
      <c r="L29" s="20"/>
      <c r="M29" s="20"/>
      <c r="N29" s="20"/>
      <c r="O29" s="20"/>
      <c r="Q29" s="31" t="s">
        <v>239</v>
      </c>
      <c r="R29" s="31"/>
      <c r="S29" s="31" t="s">
        <v>240</v>
      </c>
      <c r="T29" s="294">
        <v>17001024690</v>
      </c>
      <c r="U29" s="294">
        <v>3183877472</v>
      </c>
      <c r="V29" s="31"/>
      <c r="W29" s="295">
        <f>T29-U29</f>
        <v>13817147218</v>
      </c>
      <c r="X29" s="31"/>
      <c r="Y29" s="31"/>
      <c r="Z29" s="36"/>
      <c r="AA29" s="36"/>
      <c r="AB29" s="36"/>
      <c r="AG29" s="293"/>
      <c r="AH29" s="293"/>
      <c r="AI29" s="293"/>
    </row>
    <row r="30" spans="2:35">
      <c r="B30" s="11" t="s">
        <v>241</v>
      </c>
      <c r="C30" s="11"/>
      <c r="D30" s="11"/>
      <c r="E30" s="11"/>
      <c r="F30" s="11"/>
      <c r="G30" s="20"/>
      <c r="H30" s="20"/>
      <c r="I30" s="20"/>
      <c r="J30" s="20"/>
      <c r="K30" s="20"/>
      <c r="L30" s="20"/>
      <c r="M30" s="20"/>
      <c r="N30" s="20"/>
      <c r="Q30" s="31" t="s">
        <v>242</v>
      </c>
      <c r="R30" s="31"/>
      <c r="S30" s="31" t="s">
        <v>243</v>
      </c>
      <c r="T30" s="294">
        <v>161043873520</v>
      </c>
      <c r="U30" s="294">
        <v>133924416925</v>
      </c>
      <c r="V30" s="31"/>
      <c r="W30" s="295">
        <f t="shared" ref="W30:W40" si="9">W29+T30-U30</f>
        <v>40936603813</v>
      </c>
      <c r="X30" s="31"/>
      <c r="Y30" s="31"/>
      <c r="Z30" s="36"/>
      <c r="AA30" s="36"/>
      <c r="AB30" s="36"/>
    </row>
    <row r="31" spans="2:35">
      <c r="B31" s="10" t="s">
        <v>244</v>
      </c>
      <c r="C31" s="35">
        <f t="shared" ref="C31:N31" si="10">SUM(C32,C35)</f>
        <v>0</v>
      </c>
      <c r="D31" s="35">
        <f t="shared" si="10"/>
        <v>0</v>
      </c>
      <c r="E31" s="35">
        <f t="shared" si="10"/>
        <v>0</v>
      </c>
      <c r="F31" s="35">
        <f t="shared" si="10"/>
        <v>0</v>
      </c>
      <c r="G31" s="35">
        <f t="shared" si="10"/>
        <v>0</v>
      </c>
      <c r="H31" s="35">
        <f t="shared" si="10"/>
        <v>1190</v>
      </c>
      <c r="I31" s="35">
        <f t="shared" si="10"/>
        <v>0</v>
      </c>
      <c r="J31" s="35">
        <f t="shared" si="10"/>
        <v>0</v>
      </c>
      <c r="K31" s="35">
        <f t="shared" si="10"/>
        <v>0</v>
      </c>
      <c r="L31" s="35">
        <f t="shared" si="10"/>
        <v>0</v>
      </c>
      <c r="M31" s="35">
        <f t="shared" si="10"/>
        <v>0</v>
      </c>
      <c r="N31" s="35">
        <f t="shared" si="10"/>
        <v>0</v>
      </c>
      <c r="Q31" s="31" t="s">
        <v>245</v>
      </c>
      <c r="R31" s="31"/>
      <c r="S31" s="31" t="s">
        <v>246</v>
      </c>
      <c r="T31" s="294">
        <v>2611000000</v>
      </c>
      <c r="U31" s="294">
        <v>1200000000</v>
      </c>
      <c r="V31" s="31"/>
      <c r="W31" s="295">
        <f t="shared" si="9"/>
        <v>42347603813</v>
      </c>
      <c r="X31" s="31"/>
      <c r="Y31" s="295"/>
      <c r="Z31" s="36"/>
      <c r="AA31" s="36"/>
      <c r="AB31" s="36"/>
    </row>
    <row r="32" spans="2:35">
      <c r="B32" s="11" t="s">
        <v>247</v>
      </c>
      <c r="C32" s="11"/>
      <c r="D32" s="11"/>
      <c r="E32" s="11"/>
      <c r="F32" s="11"/>
      <c r="G32" s="20">
        <f t="shared" ref="G32:N32" si="11">SUM(G33:G34)</f>
        <v>0</v>
      </c>
      <c r="H32" s="20">
        <f t="shared" si="11"/>
        <v>1190</v>
      </c>
      <c r="I32" s="20">
        <f t="shared" si="11"/>
        <v>0</v>
      </c>
      <c r="J32" s="20">
        <f t="shared" si="11"/>
        <v>0</v>
      </c>
      <c r="K32" s="20">
        <f t="shared" si="11"/>
        <v>0</v>
      </c>
      <c r="L32" s="20">
        <f t="shared" si="11"/>
        <v>0</v>
      </c>
      <c r="M32" s="20">
        <f t="shared" si="11"/>
        <v>0</v>
      </c>
      <c r="N32" s="20">
        <f t="shared" si="11"/>
        <v>0</v>
      </c>
      <c r="Q32" s="31" t="s">
        <v>248</v>
      </c>
      <c r="R32" s="31"/>
      <c r="S32" s="31" t="s">
        <v>249</v>
      </c>
      <c r="T32" s="294">
        <v>1287634689873</v>
      </c>
      <c r="U32" s="294">
        <v>1050578790220</v>
      </c>
      <c r="V32" s="31"/>
      <c r="W32" s="295">
        <f t="shared" si="9"/>
        <v>279403503466</v>
      </c>
      <c r="X32" s="31"/>
      <c r="Y32" s="31"/>
      <c r="Z32" s="36"/>
      <c r="AA32" s="36"/>
      <c r="AB32" s="36"/>
    </row>
    <row r="33" spans="2:35">
      <c r="B33" s="11" t="s">
        <v>250</v>
      </c>
      <c r="C33" s="11"/>
      <c r="D33" s="11"/>
      <c r="E33" s="11"/>
      <c r="F33" s="11"/>
      <c r="H33" s="20">
        <v>1403</v>
      </c>
      <c r="I33" s="20"/>
      <c r="J33" s="20"/>
      <c r="K33" s="20"/>
      <c r="L33" s="20"/>
      <c r="M33" s="20"/>
      <c r="N33" s="20"/>
      <c r="Q33" s="31" t="s">
        <v>251</v>
      </c>
      <c r="R33" s="31"/>
      <c r="S33" s="31"/>
      <c r="T33" s="294">
        <v>-5212530480</v>
      </c>
      <c r="U33" s="294"/>
      <c r="V33" s="31"/>
      <c r="W33" s="295">
        <f t="shared" si="9"/>
        <v>274190972986</v>
      </c>
      <c r="X33" s="31"/>
      <c r="Y33" s="31"/>
      <c r="Z33" s="36"/>
      <c r="AA33" s="36"/>
      <c r="AB33" s="36"/>
      <c r="AG33" s="296"/>
      <c r="AH33" s="296"/>
      <c r="AI33" s="296"/>
    </row>
    <row r="34" spans="2:35">
      <c r="B34" s="11" t="s">
        <v>252</v>
      </c>
      <c r="C34" s="11"/>
      <c r="D34" s="11"/>
      <c r="E34" s="11"/>
      <c r="F34" s="11"/>
      <c r="H34" s="20">
        <v>-213</v>
      </c>
      <c r="I34" s="20"/>
      <c r="J34" s="20"/>
      <c r="K34" s="20"/>
      <c r="L34" s="20"/>
      <c r="M34" s="20"/>
      <c r="N34" s="20"/>
      <c r="Q34" s="31" t="s">
        <v>253</v>
      </c>
      <c r="R34" s="31"/>
      <c r="S34" s="31"/>
      <c r="T34" s="294">
        <v>7833681</v>
      </c>
      <c r="U34" s="294">
        <v>7833681</v>
      </c>
      <c r="V34" s="31"/>
      <c r="W34" s="295">
        <f t="shared" si="9"/>
        <v>274190972986</v>
      </c>
      <c r="X34" s="31"/>
      <c r="Y34" s="31"/>
      <c r="Z34" s="36"/>
      <c r="AA34" s="36"/>
      <c r="AB34" s="36"/>
      <c r="AG34" s="296"/>
      <c r="AH34" s="296"/>
      <c r="AI34" s="296"/>
    </row>
    <row r="35" spans="2:35">
      <c r="B35" s="11" t="s">
        <v>254</v>
      </c>
      <c r="C35" s="11"/>
      <c r="D35" s="11"/>
      <c r="E35" s="11"/>
      <c r="F35" s="11"/>
      <c r="G35" s="20">
        <f>SUM(G36:G37)</f>
        <v>0</v>
      </c>
      <c r="H35" s="20">
        <f>SUM(H36:H37)</f>
        <v>0</v>
      </c>
      <c r="I35" s="20">
        <f>SUM(I36:I37)</f>
        <v>0</v>
      </c>
      <c r="J35" s="20">
        <f>SUM(J36:J37)</f>
        <v>0</v>
      </c>
      <c r="K35" s="20">
        <f>SUM(K36:K37)</f>
        <v>0</v>
      </c>
      <c r="L35" s="20">
        <v>0</v>
      </c>
      <c r="M35" s="20">
        <v>0</v>
      </c>
      <c r="N35" s="20">
        <v>0</v>
      </c>
      <c r="Q35" s="31"/>
      <c r="R35" s="31"/>
      <c r="S35" s="31"/>
      <c r="T35" s="294"/>
      <c r="U35" s="294"/>
      <c r="V35" s="31"/>
      <c r="W35" s="295">
        <f t="shared" si="9"/>
        <v>274190972986</v>
      </c>
      <c r="X35" s="31"/>
      <c r="Y35" s="31"/>
      <c r="Z35" s="36"/>
      <c r="AA35" s="36"/>
      <c r="AB35" s="36"/>
    </row>
    <row r="36" spans="2:35">
      <c r="B36" s="11" t="s">
        <v>250</v>
      </c>
      <c r="C36" s="11"/>
      <c r="D36" s="11"/>
      <c r="E36" s="11"/>
      <c r="F36" s="11"/>
      <c r="G36" s="20"/>
      <c r="H36" s="20"/>
      <c r="I36" s="20"/>
      <c r="J36" s="20"/>
      <c r="K36" s="20"/>
      <c r="L36" s="20"/>
      <c r="M36" s="20"/>
      <c r="N36" s="20"/>
      <c r="Q36" s="31"/>
      <c r="R36" s="31"/>
      <c r="S36" s="31"/>
      <c r="T36" s="294"/>
      <c r="U36" s="294"/>
      <c r="V36" s="31"/>
      <c r="W36" s="295">
        <f t="shared" si="9"/>
        <v>274190972986</v>
      </c>
      <c r="X36" s="31"/>
      <c r="Y36" s="31"/>
      <c r="Z36" s="36"/>
      <c r="AA36" s="36"/>
      <c r="AB36" s="36"/>
    </row>
    <row r="37" spans="2:35">
      <c r="B37" s="11" t="s">
        <v>255</v>
      </c>
      <c r="C37" s="11"/>
      <c r="D37" s="11"/>
      <c r="E37" s="11"/>
      <c r="F37" s="11"/>
      <c r="G37" s="20"/>
      <c r="H37" s="20"/>
      <c r="I37" s="20"/>
      <c r="J37" s="20"/>
      <c r="K37" s="20"/>
      <c r="L37" s="20"/>
      <c r="M37" s="20"/>
      <c r="N37" s="20"/>
      <c r="Q37" s="32" t="s">
        <v>256</v>
      </c>
      <c r="R37" s="31"/>
      <c r="S37" s="31"/>
      <c r="T37" s="294"/>
      <c r="U37" s="294"/>
      <c r="V37" s="31"/>
      <c r="W37" s="295">
        <f t="shared" si="9"/>
        <v>274190972986</v>
      </c>
      <c r="X37" s="31"/>
      <c r="Y37" s="31"/>
      <c r="Z37" s="36"/>
      <c r="AA37" s="36"/>
      <c r="AB37" s="36"/>
    </row>
    <row r="38" spans="2:35">
      <c r="B38" s="10" t="s">
        <v>257</v>
      </c>
      <c r="C38" s="35">
        <f t="shared" ref="C38:N38" si="12">C39</f>
        <v>0</v>
      </c>
      <c r="D38" s="35">
        <f t="shared" si="12"/>
        <v>0</v>
      </c>
      <c r="E38" s="35">
        <f t="shared" si="12"/>
        <v>0</v>
      </c>
      <c r="F38" s="35">
        <f t="shared" si="12"/>
        <v>0</v>
      </c>
      <c r="G38" s="35">
        <f t="shared" si="12"/>
        <v>0</v>
      </c>
      <c r="H38" s="35">
        <f t="shared" si="12"/>
        <v>27091</v>
      </c>
      <c r="I38" s="35">
        <f t="shared" si="12"/>
        <v>0</v>
      </c>
      <c r="J38" s="35">
        <f t="shared" si="12"/>
        <v>0</v>
      </c>
      <c r="K38" s="35">
        <f t="shared" si="12"/>
        <v>0</v>
      </c>
      <c r="L38" s="35">
        <f t="shared" si="12"/>
        <v>0</v>
      </c>
      <c r="M38" s="35">
        <f t="shared" si="12"/>
        <v>0</v>
      </c>
      <c r="N38" s="35">
        <f t="shared" si="12"/>
        <v>0</v>
      </c>
      <c r="Q38" s="33"/>
      <c r="R38" s="33"/>
      <c r="S38" s="33"/>
      <c r="T38" s="297"/>
      <c r="U38" s="297"/>
      <c r="V38" s="31"/>
      <c r="W38" s="295">
        <f t="shared" si="9"/>
        <v>274190972986</v>
      </c>
      <c r="X38" s="31"/>
      <c r="Y38" s="31"/>
      <c r="Z38" s="36"/>
      <c r="AA38" s="36"/>
      <c r="AB38" s="36"/>
    </row>
    <row r="39" spans="2:35">
      <c r="B39" s="11" t="s">
        <v>258</v>
      </c>
      <c r="C39" s="11"/>
      <c r="D39" s="11"/>
      <c r="E39" s="11"/>
      <c r="F39" s="11"/>
      <c r="G39" s="20"/>
      <c r="H39" s="20">
        <v>27091</v>
      </c>
      <c r="I39" s="20"/>
      <c r="J39" s="20"/>
      <c r="K39" s="20"/>
      <c r="L39" s="20"/>
      <c r="M39" s="20"/>
      <c r="N39" s="20"/>
      <c r="Q39" s="31" t="s">
        <v>259</v>
      </c>
      <c r="R39" s="31"/>
      <c r="S39" s="31" t="s">
        <v>260</v>
      </c>
      <c r="T39" s="294">
        <v>158985220283</v>
      </c>
      <c r="U39" s="294">
        <v>23864937375</v>
      </c>
      <c r="V39" s="31"/>
      <c r="W39" s="295">
        <f t="shared" si="9"/>
        <v>409311255894</v>
      </c>
      <c r="X39" s="31"/>
      <c r="Y39" s="31"/>
      <c r="Z39" s="36"/>
      <c r="AA39" s="36"/>
      <c r="AB39" s="36"/>
      <c r="AG39" s="280"/>
      <c r="AH39" s="280"/>
      <c r="AI39" s="280"/>
    </row>
    <row r="40" spans="2:35">
      <c r="B40" s="10" t="s">
        <v>261</v>
      </c>
      <c r="C40" s="35">
        <f t="shared" ref="C40:N40" si="13">SUM(C41:C43)</f>
        <v>0</v>
      </c>
      <c r="D40" s="35">
        <f t="shared" si="13"/>
        <v>0</v>
      </c>
      <c r="E40" s="35">
        <f t="shared" si="13"/>
        <v>0</v>
      </c>
      <c r="F40" s="35">
        <f t="shared" si="13"/>
        <v>0</v>
      </c>
      <c r="G40" s="35">
        <f t="shared" si="13"/>
        <v>0</v>
      </c>
      <c r="H40" s="35">
        <f t="shared" si="13"/>
        <v>952239</v>
      </c>
      <c r="I40" s="35">
        <f t="shared" si="13"/>
        <v>0</v>
      </c>
      <c r="J40" s="35">
        <f t="shared" si="13"/>
        <v>0</v>
      </c>
      <c r="K40" s="35">
        <f t="shared" si="13"/>
        <v>0</v>
      </c>
      <c r="L40" s="35">
        <f t="shared" si="13"/>
        <v>0</v>
      </c>
      <c r="M40" s="35">
        <f t="shared" si="13"/>
        <v>0</v>
      </c>
      <c r="N40" s="35">
        <f t="shared" si="13"/>
        <v>0</v>
      </c>
      <c r="Q40" s="31" t="s">
        <v>262</v>
      </c>
      <c r="R40" s="31"/>
      <c r="S40" s="31" t="s">
        <v>260</v>
      </c>
      <c r="T40" s="294">
        <v>0</v>
      </c>
      <c r="U40" s="294">
        <v>2623969</v>
      </c>
      <c r="V40" s="31"/>
      <c r="W40" s="295">
        <f t="shared" si="9"/>
        <v>409308631925</v>
      </c>
      <c r="X40" s="31"/>
      <c r="Y40" s="31"/>
      <c r="Z40" s="36"/>
      <c r="AA40" s="36"/>
      <c r="AB40" s="36"/>
    </row>
    <row r="41" spans="2:35">
      <c r="B41" s="11" t="s">
        <v>263</v>
      </c>
      <c r="C41" s="11"/>
      <c r="D41" s="11"/>
      <c r="E41" s="11"/>
      <c r="F41" s="11"/>
      <c r="G41" s="35"/>
      <c r="H41" s="35"/>
      <c r="I41" s="35"/>
      <c r="J41" s="35"/>
      <c r="K41" s="35"/>
      <c r="L41" s="35"/>
      <c r="M41" s="35"/>
      <c r="N41" s="35"/>
      <c r="Q41" s="31"/>
      <c r="R41" s="31"/>
      <c r="S41" s="31"/>
      <c r="T41" s="294"/>
      <c r="U41" s="294"/>
      <c r="V41" s="31"/>
      <c r="W41" s="295"/>
      <c r="X41" s="31"/>
      <c r="Y41" s="31"/>
      <c r="Z41" s="36"/>
      <c r="AA41" s="36"/>
      <c r="AB41" s="36"/>
    </row>
    <row r="42" spans="2:35">
      <c r="B42" s="38" t="s">
        <v>264</v>
      </c>
      <c r="C42" s="38"/>
      <c r="D42" s="38"/>
      <c r="E42" s="38"/>
      <c r="F42" s="38"/>
      <c r="G42" s="20"/>
      <c r="H42" s="20">
        <v>596239</v>
      </c>
      <c r="I42" s="20"/>
      <c r="J42" s="20"/>
      <c r="K42" s="20"/>
      <c r="L42" s="20"/>
      <c r="M42" s="20"/>
      <c r="N42" s="20"/>
      <c r="Q42" s="31"/>
      <c r="R42" s="31"/>
      <c r="S42" s="31"/>
      <c r="T42" s="294"/>
      <c r="U42" s="294"/>
      <c r="V42" s="31"/>
      <c r="W42" s="295">
        <f>W40+T42-U42</f>
        <v>409308631925</v>
      </c>
      <c r="X42" s="31"/>
      <c r="Y42" s="31"/>
      <c r="Z42" s="36"/>
      <c r="AA42" s="36"/>
      <c r="AB42" s="36"/>
    </row>
    <row r="43" spans="2:35">
      <c r="B43" t="s">
        <v>265</v>
      </c>
      <c r="G43" s="20"/>
      <c r="H43">
        <v>356000</v>
      </c>
      <c r="I43" s="20"/>
      <c r="J43" s="20"/>
      <c r="K43" s="20"/>
      <c r="L43" s="20"/>
      <c r="M43" s="20"/>
      <c r="N43" s="20"/>
      <c r="Q43" s="31"/>
      <c r="R43" s="31"/>
      <c r="S43" s="31"/>
      <c r="T43" s="294"/>
      <c r="U43" s="294"/>
      <c r="V43" s="31"/>
      <c r="W43" s="295">
        <f>W42+T43-U43</f>
        <v>409308631925</v>
      </c>
      <c r="X43" s="31"/>
      <c r="Y43" s="31"/>
      <c r="Z43" s="36"/>
      <c r="AA43" s="36"/>
      <c r="AB43" s="36"/>
    </row>
    <row r="44" spans="2:35">
      <c r="B44" s="10" t="s">
        <v>266</v>
      </c>
      <c r="C44" s="35">
        <f t="shared" ref="C44:N44" si="14">SUM(C45:C47)</f>
        <v>0</v>
      </c>
      <c r="D44" s="35">
        <f t="shared" si="14"/>
        <v>0</v>
      </c>
      <c r="E44" s="35">
        <f t="shared" si="14"/>
        <v>0</v>
      </c>
      <c r="F44" s="35">
        <f t="shared" si="14"/>
        <v>0</v>
      </c>
      <c r="G44" s="35">
        <f t="shared" si="14"/>
        <v>0</v>
      </c>
      <c r="H44" s="35">
        <f t="shared" si="14"/>
        <v>179436</v>
      </c>
      <c r="I44" s="35">
        <f t="shared" si="14"/>
        <v>0</v>
      </c>
      <c r="J44" s="35">
        <f t="shared" si="14"/>
        <v>0</v>
      </c>
      <c r="K44" s="35">
        <f t="shared" si="14"/>
        <v>0</v>
      </c>
      <c r="L44" s="35">
        <f t="shared" si="14"/>
        <v>0</v>
      </c>
      <c r="M44" s="35">
        <f t="shared" si="14"/>
        <v>0</v>
      </c>
      <c r="N44" s="35">
        <f t="shared" si="14"/>
        <v>0</v>
      </c>
      <c r="Q44" s="32" t="s">
        <v>267</v>
      </c>
      <c r="R44" s="31"/>
      <c r="S44" s="31"/>
      <c r="T44" s="294"/>
      <c r="U44" s="294"/>
      <c r="V44" s="31"/>
      <c r="W44" s="295">
        <f>W43+T44-U44</f>
        <v>409308631925</v>
      </c>
      <c r="X44" s="31"/>
      <c r="Y44" s="31"/>
      <c r="Z44" s="36"/>
      <c r="AA44" s="36"/>
      <c r="AB44" s="36"/>
    </row>
    <row r="45" spans="2:35">
      <c r="B45" s="11" t="s">
        <v>268</v>
      </c>
      <c r="C45" s="11"/>
      <c r="D45" s="11"/>
      <c r="E45" s="11"/>
      <c r="F45" s="11"/>
      <c r="G45" s="20"/>
      <c r="H45" s="20">
        <v>6714</v>
      </c>
      <c r="I45" s="20"/>
      <c r="J45" s="20"/>
      <c r="K45" s="20"/>
      <c r="L45" s="20"/>
      <c r="M45" s="20"/>
      <c r="N45" s="20"/>
      <c r="Q45" s="31" t="s">
        <v>269</v>
      </c>
      <c r="R45" s="31"/>
      <c r="S45" s="31" t="s">
        <v>246</v>
      </c>
      <c r="T45" s="294">
        <v>2500000000</v>
      </c>
      <c r="U45" s="294">
        <v>1586700000000</v>
      </c>
      <c r="V45" s="31"/>
      <c r="W45" s="295">
        <f>W44+T45-U45</f>
        <v>-1174891368075</v>
      </c>
      <c r="X45" s="31"/>
      <c r="Y45" s="295"/>
      <c r="Z45" s="36"/>
      <c r="AA45" s="36"/>
      <c r="AB45" s="36"/>
      <c r="AG45" s="280"/>
      <c r="AH45" s="280"/>
      <c r="AI45" s="280"/>
    </row>
    <row r="46" spans="2:35">
      <c r="B46" s="11" t="s">
        <v>270</v>
      </c>
      <c r="C46" s="11"/>
      <c r="D46" s="11"/>
      <c r="E46" s="11"/>
      <c r="F46" s="11"/>
      <c r="G46" s="20"/>
      <c r="I46" s="20"/>
      <c r="J46" s="20"/>
      <c r="K46" s="20"/>
      <c r="L46" s="20"/>
      <c r="M46" s="20"/>
      <c r="N46" s="20"/>
      <c r="Q46" s="31" t="s">
        <v>271</v>
      </c>
      <c r="R46" s="31"/>
      <c r="S46" s="31" t="s">
        <v>249</v>
      </c>
      <c r="T46" s="294">
        <v>2741911909771</v>
      </c>
      <c r="U46" s="294">
        <v>0</v>
      </c>
      <c r="V46" s="31"/>
      <c r="W46" s="295">
        <f>W45+T46-U46</f>
        <v>1567020541696</v>
      </c>
      <c r="X46" s="31"/>
      <c r="Y46" s="31"/>
      <c r="Z46" s="36"/>
      <c r="AA46" s="36"/>
      <c r="AB46" s="36"/>
    </row>
    <row r="47" spans="2:35" ht="15.75" customHeight="1" thickBot="1">
      <c r="B47" s="11" t="s">
        <v>272</v>
      </c>
      <c r="C47" s="11"/>
      <c r="D47" s="11"/>
      <c r="E47" s="11"/>
      <c r="F47" s="11"/>
      <c r="G47" s="20"/>
      <c r="H47" s="20">
        <v>172722</v>
      </c>
      <c r="I47" s="20"/>
      <c r="J47" s="20"/>
      <c r="K47" s="20"/>
      <c r="L47" s="20"/>
      <c r="M47" s="20"/>
      <c r="N47" s="20"/>
      <c r="Q47" s="31"/>
      <c r="R47" s="31"/>
      <c r="S47" s="31"/>
      <c r="T47" s="294"/>
      <c r="U47" s="294"/>
      <c r="V47" s="31"/>
      <c r="W47" s="31"/>
      <c r="X47" s="31"/>
      <c r="Y47" s="31"/>
      <c r="Z47" s="36"/>
      <c r="AA47" s="36"/>
      <c r="AB47" s="36"/>
      <c r="AG47" s="280"/>
      <c r="AH47" s="280"/>
      <c r="AI47" s="280"/>
    </row>
    <row r="48" spans="2:35" ht="16.5" customHeight="1" thickTop="1" thickBot="1">
      <c r="B48" s="12" t="s">
        <v>273</v>
      </c>
      <c r="C48" s="35">
        <f t="shared" ref="C48:N48" si="15">SUM(C24,C23)</f>
        <v>0</v>
      </c>
      <c r="D48" s="35">
        <f t="shared" si="15"/>
        <v>0</v>
      </c>
      <c r="E48" s="35">
        <f t="shared" si="15"/>
        <v>0</v>
      </c>
      <c r="F48" s="35">
        <f t="shared" si="15"/>
        <v>0</v>
      </c>
      <c r="G48" s="35">
        <f t="shared" si="15"/>
        <v>848523</v>
      </c>
      <c r="H48" s="35">
        <f t="shared" si="15"/>
        <v>8543878</v>
      </c>
      <c r="I48" s="35">
        <f t="shared" si="15"/>
        <v>0</v>
      </c>
      <c r="J48" s="35">
        <f t="shared" si="15"/>
        <v>0</v>
      </c>
      <c r="K48" s="35">
        <f t="shared" si="15"/>
        <v>0</v>
      </c>
      <c r="L48" s="35">
        <f t="shared" si="15"/>
        <v>0</v>
      </c>
      <c r="M48" s="35">
        <f t="shared" si="15"/>
        <v>0</v>
      </c>
      <c r="N48" s="35">
        <f t="shared" si="15"/>
        <v>0</v>
      </c>
      <c r="Q48" s="32"/>
      <c r="R48" s="31"/>
      <c r="S48" s="31"/>
      <c r="T48" s="294"/>
      <c r="U48" s="294"/>
      <c r="V48" s="31"/>
      <c r="W48" s="31"/>
      <c r="X48" s="31"/>
      <c r="Y48" s="31"/>
      <c r="Z48" s="36"/>
      <c r="AA48" s="36"/>
      <c r="AB48" s="36"/>
    </row>
    <row r="49" spans="2:35" ht="16.5" customHeight="1" thickTop="1" thickBot="1">
      <c r="B49" s="8" t="s">
        <v>274</v>
      </c>
      <c r="C49" s="39"/>
      <c r="D49" s="39"/>
      <c r="E49" s="39"/>
      <c r="F49" s="39"/>
      <c r="G49" s="20"/>
      <c r="H49" s="20"/>
      <c r="I49" s="20"/>
      <c r="J49" s="20"/>
      <c r="K49" s="20"/>
      <c r="L49" s="20">
        <v>0</v>
      </c>
      <c r="M49" s="20">
        <v>0</v>
      </c>
      <c r="N49" s="20">
        <v>0</v>
      </c>
      <c r="Q49" s="33"/>
      <c r="R49" s="33"/>
      <c r="S49" s="33"/>
      <c r="T49" s="297"/>
      <c r="U49" s="297"/>
      <c r="V49" s="31"/>
      <c r="W49" s="31"/>
      <c r="X49" s="31"/>
      <c r="Y49" s="31"/>
      <c r="Z49" s="36"/>
      <c r="AA49" s="36"/>
      <c r="AB49" s="36"/>
    </row>
    <row r="50" spans="2:35" ht="15.75" customHeight="1" thickTop="1">
      <c r="B50" s="5" t="s">
        <v>275</v>
      </c>
      <c r="C50" s="35">
        <f t="shared" ref="C50:N50" si="16">SUM(C51,C62)</f>
        <v>0</v>
      </c>
      <c r="D50" s="35">
        <f t="shared" si="16"/>
        <v>0</v>
      </c>
      <c r="E50" s="35">
        <f t="shared" si="16"/>
        <v>0</v>
      </c>
      <c r="F50" s="35">
        <f t="shared" si="16"/>
        <v>0</v>
      </c>
      <c r="G50" s="35">
        <f t="shared" si="16"/>
        <v>50356</v>
      </c>
      <c r="H50" s="35">
        <f t="shared" si="16"/>
        <v>73801</v>
      </c>
      <c r="I50" s="35">
        <f t="shared" si="16"/>
        <v>0</v>
      </c>
      <c r="J50" s="35">
        <f t="shared" si="16"/>
        <v>0</v>
      </c>
      <c r="K50" s="35">
        <f t="shared" si="16"/>
        <v>0</v>
      </c>
      <c r="L50" s="35">
        <f t="shared" si="16"/>
        <v>0</v>
      </c>
      <c r="M50" s="35">
        <f t="shared" si="16"/>
        <v>0</v>
      </c>
      <c r="N50" s="35">
        <f t="shared" si="16"/>
        <v>0</v>
      </c>
      <c r="Q50" s="31"/>
      <c r="R50" s="31"/>
      <c r="S50" s="31"/>
      <c r="T50" s="294"/>
      <c r="U50" s="294"/>
      <c r="V50" s="31"/>
      <c r="W50" s="31"/>
      <c r="X50" s="31"/>
      <c r="Y50" s="31"/>
      <c r="Z50" s="36"/>
      <c r="AA50" s="36"/>
      <c r="AB50" s="36"/>
    </row>
    <row r="51" spans="2:35">
      <c r="B51" s="6" t="s">
        <v>276</v>
      </c>
      <c r="C51" s="35">
        <f t="shared" ref="C51:N51" si="17">SUM(C52:C61)</f>
        <v>0</v>
      </c>
      <c r="D51" s="35">
        <f t="shared" si="17"/>
        <v>0</v>
      </c>
      <c r="E51" s="35">
        <f t="shared" si="17"/>
        <v>0</v>
      </c>
      <c r="F51" s="35">
        <f t="shared" si="17"/>
        <v>0</v>
      </c>
      <c r="G51" s="35">
        <f t="shared" si="17"/>
        <v>50356</v>
      </c>
      <c r="H51" s="35">
        <f t="shared" si="17"/>
        <v>73801</v>
      </c>
      <c r="I51" s="35">
        <f t="shared" si="17"/>
        <v>0</v>
      </c>
      <c r="J51" s="35">
        <f t="shared" si="17"/>
        <v>0</v>
      </c>
      <c r="K51" s="35">
        <f t="shared" si="17"/>
        <v>0</v>
      </c>
      <c r="L51" s="35">
        <f t="shared" si="17"/>
        <v>0</v>
      </c>
      <c r="M51" s="35">
        <f t="shared" si="17"/>
        <v>0</v>
      </c>
      <c r="N51" s="35">
        <f t="shared" si="17"/>
        <v>0</v>
      </c>
      <c r="Q51" s="31"/>
      <c r="R51" s="31"/>
      <c r="S51" s="31"/>
      <c r="T51" s="294"/>
      <c r="U51" s="294"/>
      <c r="V51" s="31"/>
      <c r="W51" s="31"/>
      <c r="X51" s="31"/>
      <c r="Y51" s="31"/>
      <c r="Z51" s="36"/>
      <c r="AA51" s="36"/>
      <c r="AB51" s="36"/>
    </row>
    <row r="52" spans="2:35">
      <c r="B52" s="7" t="s">
        <v>277</v>
      </c>
      <c r="C52" s="11"/>
      <c r="D52" s="11"/>
      <c r="E52" s="11"/>
      <c r="F52" s="11"/>
      <c r="G52" s="20">
        <v>50074</v>
      </c>
      <c r="H52" s="20">
        <v>73308</v>
      </c>
      <c r="I52" s="20"/>
      <c r="J52" s="20"/>
      <c r="K52" s="20"/>
      <c r="L52" s="20"/>
      <c r="M52" s="20"/>
      <c r="N52" s="20"/>
      <c r="Q52" s="31"/>
      <c r="R52" s="31"/>
      <c r="S52" s="31"/>
      <c r="T52" s="294"/>
      <c r="U52" s="294"/>
      <c r="V52" s="31"/>
      <c r="W52" s="31"/>
      <c r="X52" s="31"/>
      <c r="Y52" s="31"/>
      <c r="Z52" s="36"/>
      <c r="AA52" s="36"/>
      <c r="AB52" s="36"/>
      <c r="AG52" s="280"/>
      <c r="AH52" s="280"/>
      <c r="AI52" s="280"/>
    </row>
    <row r="53" spans="2:35">
      <c r="B53" s="7" t="s">
        <v>278</v>
      </c>
      <c r="C53" s="11"/>
      <c r="D53" s="11"/>
      <c r="E53" s="11"/>
      <c r="F53" s="11"/>
      <c r="G53" s="20">
        <v>282</v>
      </c>
      <c r="H53" s="20">
        <v>493</v>
      </c>
      <c r="I53" s="20"/>
      <c r="J53" s="20"/>
      <c r="K53" s="20"/>
      <c r="L53" s="20"/>
      <c r="M53" s="20"/>
      <c r="N53" s="20"/>
      <c r="Q53" s="32" t="s">
        <v>279</v>
      </c>
      <c r="R53" s="31"/>
      <c r="S53" s="31"/>
      <c r="T53" s="294"/>
      <c r="U53" s="294"/>
      <c r="V53" s="31"/>
      <c r="W53" s="31"/>
      <c r="X53" s="31"/>
      <c r="Y53" s="31"/>
      <c r="Z53" s="36"/>
      <c r="AA53" s="36"/>
      <c r="AB53" s="36"/>
      <c r="AG53" s="280"/>
      <c r="AH53" s="280"/>
      <c r="AI53" s="280"/>
    </row>
    <row r="54" spans="2:35">
      <c r="B54" s="7" t="s">
        <v>280</v>
      </c>
      <c r="C54" s="11"/>
      <c r="D54" s="11"/>
      <c r="E54" s="11"/>
      <c r="F54" s="11"/>
      <c r="G54" s="20"/>
      <c r="H54" s="20"/>
      <c r="I54" s="20"/>
      <c r="J54" s="20"/>
      <c r="K54" s="20"/>
      <c r="L54" s="20"/>
      <c r="M54" s="20"/>
      <c r="N54" s="20"/>
      <c r="Q54" s="31" t="s">
        <v>281</v>
      </c>
      <c r="R54" s="31"/>
      <c r="S54" s="31"/>
      <c r="T54" s="294">
        <v>280566634797</v>
      </c>
      <c r="U54" s="294">
        <v>150417643813</v>
      </c>
      <c r="V54" s="31"/>
      <c r="W54" s="295">
        <f>T54-U54</f>
        <v>130148990984</v>
      </c>
      <c r="X54" s="31"/>
      <c r="Y54" s="31"/>
      <c r="Z54" s="36"/>
      <c r="AA54" s="36"/>
      <c r="AB54" s="36"/>
      <c r="AG54" s="280"/>
      <c r="AH54" s="280"/>
      <c r="AI54" s="280"/>
    </row>
    <row r="55" spans="2:35">
      <c r="B55" s="7" t="s">
        <v>282</v>
      </c>
      <c r="C55" s="11"/>
      <c r="D55" s="11"/>
      <c r="E55" s="11"/>
      <c r="F55" s="11"/>
      <c r="G55" s="20"/>
      <c r="H55" s="20"/>
      <c r="I55" s="20"/>
      <c r="J55" s="20"/>
      <c r="K55" s="20"/>
      <c r="L55" s="20"/>
      <c r="M55" s="20"/>
      <c r="N55" s="20"/>
      <c r="Q55" s="31" t="s">
        <v>283</v>
      </c>
      <c r="R55" s="31"/>
      <c r="S55" s="31"/>
      <c r="T55" s="294">
        <v>135093180</v>
      </c>
      <c r="U55" s="294">
        <v>54811787</v>
      </c>
      <c r="V55" s="31"/>
      <c r="W55" s="295">
        <f>W54+T55-U55</f>
        <v>130229272377</v>
      </c>
      <c r="X55" s="31"/>
      <c r="Y55" s="31"/>
      <c r="Z55" s="36"/>
      <c r="AA55" s="36"/>
      <c r="AB55" s="36"/>
      <c r="AG55" s="280"/>
      <c r="AH55" s="280"/>
      <c r="AI55" s="280"/>
    </row>
    <row r="56" spans="2:35">
      <c r="B56" s="7" t="s">
        <v>284</v>
      </c>
      <c r="C56" s="11"/>
      <c r="D56" s="11"/>
      <c r="E56" s="11"/>
      <c r="F56" s="11"/>
      <c r="G56" s="20"/>
      <c r="H56" s="20"/>
      <c r="I56" s="20"/>
      <c r="J56" s="20"/>
      <c r="K56" s="20"/>
      <c r="L56" s="20"/>
      <c r="M56" s="20"/>
      <c r="N56" s="20"/>
      <c r="Q56" s="31" t="s">
        <v>285</v>
      </c>
      <c r="R56" s="31"/>
      <c r="S56" s="31"/>
      <c r="T56" s="294">
        <v>7138378669</v>
      </c>
      <c r="U56" s="294">
        <v>7970082313</v>
      </c>
      <c r="V56" s="31"/>
      <c r="W56" s="31"/>
      <c r="X56" s="31"/>
      <c r="Y56" s="31"/>
      <c r="Z56" s="36"/>
      <c r="AA56" s="36"/>
      <c r="AB56" s="36"/>
      <c r="AG56" s="280"/>
      <c r="AH56" s="280"/>
      <c r="AI56" s="280"/>
    </row>
    <row r="57" spans="2:35">
      <c r="B57" s="7" t="s">
        <v>286</v>
      </c>
      <c r="C57" s="11"/>
      <c r="D57" s="11"/>
      <c r="E57" s="11"/>
      <c r="F57" s="11"/>
      <c r="G57" s="20"/>
      <c r="H57" s="20"/>
      <c r="I57" s="20"/>
      <c r="J57" s="20"/>
      <c r="K57" s="20"/>
      <c r="L57" s="20"/>
      <c r="M57" s="20"/>
      <c r="N57" s="20"/>
      <c r="Q57" s="31" t="s">
        <v>287</v>
      </c>
      <c r="R57" s="31"/>
      <c r="S57" s="31"/>
      <c r="T57" s="294">
        <v>82529088</v>
      </c>
      <c r="U57" s="294">
        <v>75764127</v>
      </c>
      <c r="V57" s="31"/>
      <c r="W57" s="295">
        <f>W55+T57-U57</f>
        <v>130236037338</v>
      </c>
      <c r="X57" s="31"/>
      <c r="Y57" s="31"/>
      <c r="Z57" s="36"/>
      <c r="AA57" s="36"/>
      <c r="AB57" s="36"/>
    </row>
    <row r="58" spans="2:35">
      <c r="B58" s="7" t="s">
        <v>288</v>
      </c>
      <c r="C58" s="11"/>
      <c r="D58" s="11"/>
      <c r="E58" s="11"/>
      <c r="F58" s="11"/>
      <c r="G58" s="20"/>
      <c r="H58" s="20"/>
      <c r="I58" s="20"/>
      <c r="J58" s="20"/>
      <c r="K58" s="20"/>
      <c r="L58" s="20"/>
      <c r="M58" s="20"/>
      <c r="N58" s="20"/>
      <c r="Q58" s="31" t="s">
        <v>289</v>
      </c>
      <c r="R58" s="31"/>
      <c r="S58" s="31"/>
      <c r="T58" s="294">
        <v>249113922720</v>
      </c>
      <c r="U58" s="294">
        <v>245774279616</v>
      </c>
      <c r="V58" s="31"/>
      <c r="W58" s="295"/>
      <c r="X58" s="31"/>
      <c r="Y58" s="31"/>
      <c r="Z58" s="36"/>
      <c r="AA58" s="36"/>
      <c r="AB58" s="36"/>
    </row>
    <row r="59" spans="2:35">
      <c r="B59" s="7" t="s">
        <v>290</v>
      </c>
      <c r="C59" s="11"/>
      <c r="D59" s="11"/>
      <c r="E59" s="11"/>
      <c r="F59" s="11"/>
      <c r="G59" s="20"/>
      <c r="H59" s="20"/>
      <c r="I59" s="20"/>
      <c r="J59" s="20"/>
      <c r="K59" s="20"/>
      <c r="L59" s="20"/>
      <c r="M59" s="20"/>
      <c r="N59" s="20"/>
      <c r="Q59" s="31"/>
      <c r="R59" s="31" t="s">
        <v>291</v>
      </c>
      <c r="S59" s="31"/>
      <c r="T59" s="294">
        <v>73730026861</v>
      </c>
      <c r="U59" s="294">
        <v>133984134462</v>
      </c>
      <c r="V59" s="31"/>
      <c r="W59" s="295">
        <f>W57+T59-U59</f>
        <v>69981929737</v>
      </c>
      <c r="X59" s="31"/>
      <c r="Y59" s="31"/>
      <c r="Z59" s="36"/>
      <c r="AA59" s="36"/>
      <c r="AB59" s="36"/>
      <c r="AG59" s="280"/>
      <c r="AH59" s="280"/>
      <c r="AI59" s="280"/>
    </row>
    <row r="60" spans="2:35">
      <c r="B60" s="7" t="s">
        <v>292</v>
      </c>
      <c r="C60" s="11"/>
      <c r="D60" s="11"/>
      <c r="E60" s="11"/>
      <c r="F60" s="11"/>
      <c r="G60" s="20"/>
      <c r="H60" s="20"/>
      <c r="I60" s="20"/>
      <c r="J60" s="20"/>
      <c r="K60" s="20"/>
      <c r="L60" s="20"/>
      <c r="M60" s="20"/>
      <c r="N60" s="20"/>
      <c r="Q60" s="31"/>
      <c r="R60" s="31" t="s">
        <v>293</v>
      </c>
      <c r="S60" s="31"/>
      <c r="T60" s="294">
        <v>166100401095</v>
      </c>
      <c r="U60" s="294">
        <v>111504774430</v>
      </c>
      <c r="V60" s="31"/>
      <c r="W60" s="31"/>
      <c r="X60" s="31"/>
      <c r="Y60" s="31"/>
      <c r="Z60" s="36"/>
      <c r="AA60" s="36"/>
      <c r="AB60" s="36"/>
      <c r="AG60" s="280"/>
      <c r="AH60" s="280"/>
      <c r="AI60" s="280"/>
    </row>
    <row r="61" spans="2:35">
      <c r="B61" s="7" t="s">
        <v>294</v>
      </c>
      <c r="C61" s="11"/>
      <c r="D61" s="11"/>
      <c r="E61" s="11"/>
      <c r="F61" s="11"/>
      <c r="G61" s="20"/>
      <c r="H61" s="20"/>
      <c r="I61" s="20"/>
      <c r="J61" s="20"/>
      <c r="K61" s="20"/>
      <c r="L61" s="20"/>
      <c r="M61" s="20"/>
      <c r="N61" s="20"/>
      <c r="Q61" s="31"/>
      <c r="R61" s="31" t="s">
        <v>295</v>
      </c>
      <c r="S61" s="31"/>
      <c r="T61" s="294">
        <v>9283494764</v>
      </c>
      <c r="U61" s="294">
        <v>285370724</v>
      </c>
      <c r="V61" s="31"/>
      <c r="W61" s="295">
        <f>W59+T61-U61</f>
        <v>78980053777</v>
      </c>
      <c r="X61" s="31"/>
      <c r="Y61" s="31"/>
      <c r="Z61" s="36"/>
      <c r="AA61" s="36"/>
      <c r="AB61" s="36"/>
      <c r="AG61" s="280"/>
      <c r="AH61" s="280"/>
      <c r="AI61" s="280"/>
    </row>
    <row r="62" spans="2:35">
      <c r="B62" s="13" t="s">
        <v>296</v>
      </c>
      <c r="C62" s="35">
        <f t="shared" ref="C62:N62" si="18">SUM(C63:C67)</f>
        <v>0</v>
      </c>
      <c r="D62" s="35">
        <f t="shared" si="18"/>
        <v>0</v>
      </c>
      <c r="E62" s="35">
        <f t="shared" si="18"/>
        <v>0</v>
      </c>
      <c r="F62" s="35">
        <f t="shared" si="18"/>
        <v>0</v>
      </c>
      <c r="G62" s="35">
        <f t="shared" si="18"/>
        <v>0</v>
      </c>
      <c r="H62" s="35">
        <f t="shared" si="18"/>
        <v>0</v>
      </c>
      <c r="I62" s="35">
        <f t="shared" si="18"/>
        <v>0</v>
      </c>
      <c r="J62" s="35">
        <f t="shared" si="18"/>
        <v>0</v>
      </c>
      <c r="K62" s="35">
        <f t="shared" si="18"/>
        <v>0</v>
      </c>
      <c r="L62" s="35">
        <f t="shared" si="18"/>
        <v>0</v>
      </c>
      <c r="M62" s="35">
        <f t="shared" si="18"/>
        <v>0</v>
      </c>
      <c r="N62" s="35">
        <f t="shared" si="18"/>
        <v>0</v>
      </c>
      <c r="Q62" s="31"/>
      <c r="R62" s="31"/>
      <c r="S62" s="31"/>
      <c r="T62" s="294"/>
      <c r="U62" s="294"/>
      <c r="V62" s="31"/>
      <c r="W62" s="31"/>
      <c r="X62" s="31"/>
      <c r="Y62" s="31"/>
      <c r="Z62" s="36"/>
      <c r="AA62" s="36"/>
      <c r="AB62" s="36"/>
    </row>
    <row r="63" spans="2:35">
      <c r="B63" s="28" t="s">
        <v>297</v>
      </c>
      <c r="C63" s="40"/>
      <c r="D63" s="40"/>
      <c r="E63" s="40"/>
      <c r="F63" s="40"/>
      <c r="G63" s="35"/>
      <c r="H63" s="35"/>
      <c r="I63" s="35"/>
      <c r="J63" s="35"/>
      <c r="K63" s="20"/>
      <c r="L63" s="20"/>
      <c r="M63" s="20"/>
      <c r="N63" s="20"/>
      <c r="Q63" s="31" t="s">
        <v>298</v>
      </c>
      <c r="R63" s="31"/>
      <c r="S63" s="31"/>
      <c r="T63" s="294">
        <v>534487288512</v>
      </c>
      <c r="U63" s="294">
        <v>2309130162</v>
      </c>
      <c r="V63" s="31"/>
      <c r="W63" s="295">
        <f>W61+T63-U63</f>
        <v>611158212127</v>
      </c>
      <c r="X63" s="31"/>
      <c r="Y63" s="31"/>
      <c r="Z63" s="36"/>
      <c r="AA63" s="36"/>
      <c r="AB63" s="36"/>
      <c r="AG63" s="280"/>
      <c r="AH63" s="280"/>
      <c r="AI63" s="280"/>
    </row>
    <row r="64" spans="2:35">
      <c r="B64" s="7" t="s">
        <v>299</v>
      </c>
      <c r="C64" s="11"/>
      <c r="D64" s="11"/>
      <c r="E64" s="11"/>
      <c r="F64" s="11"/>
      <c r="G64" s="20"/>
      <c r="H64" s="20"/>
      <c r="I64" s="20"/>
      <c r="J64" s="20"/>
      <c r="K64" s="20"/>
      <c r="L64" s="20"/>
      <c r="M64" s="20"/>
      <c r="N64" s="20"/>
      <c r="Q64" s="31" t="s">
        <v>300</v>
      </c>
      <c r="R64" s="31"/>
      <c r="S64" s="31"/>
      <c r="T64" s="294">
        <v>704422529548</v>
      </c>
      <c r="U64" s="294">
        <v>1846488</v>
      </c>
      <c r="V64" s="31"/>
      <c r="W64" s="31"/>
      <c r="X64" s="31"/>
      <c r="Y64" s="31"/>
      <c r="Z64" s="36"/>
      <c r="AA64" s="36"/>
      <c r="AB64" s="36"/>
      <c r="AG64" s="280"/>
      <c r="AH64" s="280"/>
      <c r="AI64" s="280"/>
    </row>
    <row r="65" spans="2:35">
      <c r="B65" s="7" t="s">
        <v>301</v>
      </c>
      <c r="C65" s="11"/>
      <c r="D65" s="11"/>
      <c r="E65" s="11"/>
      <c r="F65" s="11"/>
      <c r="G65" s="20"/>
      <c r="H65" s="20"/>
      <c r="I65" s="20"/>
      <c r="J65" s="20"/>
      <c r="K65" s="20"/>
      <c r="L65" s="20"/>
      <c r="M65" s="20"/>
      <c r="N65" s="20"/>
      <c r="Q65" s="31" t="s">
        <v>302</v>
      </c>
      <c r="R65" s="31"/>
      <c r="S65" s="31"/>
      <c r="T65" s="294">
        <v>203320903</v>
      </c>
      <c r="U65" s="294">
        <v>164528983</v>
      </c>
      <c r="V65" s="31"/>
      <c r="W65" s="31"/>
      <c r="X65" s="31"/>
      <c r="Y65" s="31"/>
      <c r="Z65" s="36"/>
      <c r="AA65" s="36"/>
      <c r="AB65" s="36"/>
      <c r="AG65" s="280"/>
      <c r="AH65" s="280"/>
      <c r="AI65" s="280"/>
    </row>
    <row r="66" spans="2:35">
      <c r="B66" s="7" t="s">
        <v>303</v>
      </c>
      <c r="C66" s="11"/>
      <c r="D66" s="11"/>
      <c r="E66" s="11"/>
      <c r="F66" s="11"/>
      <c r="G66" s="20"/>
      <c r="H66" s="20"/>
      <c r="I66" s="20"/>
      <c r="J66" s="20"/>
      <c r="K66" s="20"/>
      <c r="L66" s="20"/>
      <c r="M66" s="20"/>
      <c r="N66" s="20"/>
      <c r="Q66" s="31"/>
      <c r="R66" s="31"/>
      <c r="S66" s="31"/>
      <c r="T66" s="294"/>
      <c r="U66" s="294"/>
      <c r="V66" s="31"/>
      <c r="W66" s="31"/>
      <c r="X66" s="31"/>
      <c r="Y66" s="31"/>
      <c r="Z66" s="36"/>
      <c r="AA66" s="36"/>
      <c r="AB66" s="36"/>
      <c r="AG66" s="280"/>
      <c r="AH66" s="280"/>
      <c r="AI66" s="280"/>
    </row>
    <row r="67" spans="2:35">
      <c r="B67" s="7" t="s">
        <v>304</v>
      </c>
      <c r="C67" s="11"/>
      <c r="D67" s="11"/>
      <c r="E67" s="11"/>
      <c r="F67" s="11"/>
      <c r="G67" s="20"/>
      <c r="H67" s="20"/>
      <c r="I67" s="20"/>
      <c r="J67" s="20"/>
      <c r="K67" s="20"/>
      <c r="L67" s="20"/>
      <c r="M67" s="20"/>
      <c r="N67" s="20"/>
      <c r="Q67" s="32" t="s">
        <v>305</v>
      </c>
      <c r="R67" s="31"/>
      <c r="S67" s="31"/>
      <c r="T67" s="294"/>
      <c r="U67" s="294"/>
      <c r="V67" s="31"/>
      <c r="W67" s="31"/>
      <c r="X67" s="31"/>
      <c r="Y67" s="31"/>
      <c r="Z67" s="36"/>
      <c r="AA67" s="36"/>
      <c r="AB67" s="36"/>
      <c r="AG67" s="280"/>
      <c r="AH67" s="280"/>
      <c r="AI67" s="280"/>
    </row>
    <row r="68" spans="2:35">
      <c r="B68" s="5" t="s">
        <v>306</v>
      </c>
      <c r="C68" s="35">
        <f t="shared" ref="C68:N68" si="19">SUM(C69,C77)</f>
        <v>0</v>
      </c>
      <c r="D68" s="35">
        <f t="shared" si="19"/>
        <v>0</v>
      </c>
      <c r="E68" s="35">
        <f t="shared" si="19"/>
        <v>0</v>
      </c>
      <c r="F68" s="35">
        <f t="shared" si="19"/>
        <v>0</v>
      </c>
      <c r="G68" s="35">
        <f t="shared" si="19"/>
        <v>0</v>
      </c>
      <c r="H68" s="35">
        <f t="shared" si="19"/>
        <v>0</v>
      </c>
      <c r="I68" s="35">
        <f t="shared" si="19"/>
        <v>0</v>
      </c>
      <c r="J68" s="35">
        <f t="shared" si="19"/>
        <v>0</v>
      </c>
      <c r="K68" s="35">
        <f t="shared" si="19"/>
        <v>0</v>
      </c>
      <c r="L68" s="35">
        <f t="shared" si="19"/>
        <v>0</v>
      </c>
      <c r="M68" s="35">
        <f t="shared" si="19"/>
        <v>0</v>
      </c>
      <c r="N68" s="35">
        <f t="shared" si="19"/>
        <v>0</v>
      </c>
      <c r="Q68" s="31" t="s">
        <v>307</v>
      </c>
      <c r="R68" s="31"/>
      <c r="S68" s="31"/>
      <c r="T68" s="294">
        <v>873755671</v>
      </c>
      <c r="U68" s="294">
        <v>0</v>
      </c>
      <c r="V68" s="31"/>
      <c r="W68" s="31"/>
      <c r="X68" s="31"/>
      <c r="Y68" s="31"/>
      <c r="Z68" s="36"/>
      <c r="AA68" s="36"/>
      <c r="AB68" s="36"/>
    </row>
    <row r="69" spans="2:35">
      <c r="B69" s="6" t="s">
        <v>308</v>
      </c>
      <c r="C69" s="35">
        <f t="shared" ref="C69:N69" si="20">SUM(C70:C74)</f>
        <v>0</v>
      </c>
      <c r="D69" s="35">
        <f t="shared" si="20"/>
        <v>0</v>
      </c>
      <c r="E69" s="35">
        <f t="shared" si="20"/>
        <v>0</v>
      </c>
      <c r="F69" s="35">
        <f t="shared" si="20"/>
        <v>0</v>
      </c>
      <c r="G69" s="35">
        <f t="shared" si="20"/>
        <v>0</v>
      </c>
      <c r="H69" s="35">
        <f t="shared" si="20"/>
        <v>0</v>
      </c>
      <c r="I69" s="35">
        <f t="shared" si="20"/>
        <v>0</v>
      </c>
      <c r="J69" s="35">
        <f t="shared" si="20"/>
        <v>0</v>
      </c>
      <c r="K69" s="35">
        <f t="shared" si="20"/>
        <v>0</v>
      </c>
      <c r="L69" s="35">
        <f t="shared" si="20"/>
        <v>0</v>
      </c>
      <c r="M69" s="35">
        <f t="shared" si="20"/>
        <v>0</v>
      </c>
      <c r="N69" s="35">
        <f t="shared" si="20"/>
        <v>0</v>
      </c>
      <c r="Q69" s="31"/>
      <c r="R69" s="31" t="s">
        <v>293</v>
      </c>
      <c r="S69" s="31"/>
      <c r="T69" s="294">
        <v>855287671</v>
      </c>
      <c r="U69" s="294">
        <v>0</v>
      </c>
      <c r="V69" s="31"/>
      <c r="W69" s="31"/>
      <c r="X69" s="31"/>
      <c r="Y69" s="31"/>
      <c r="Z69" s="36"/>
      <c r="AA69" s="36"/>
      <c r="AB69" s="36"/>
    </row>
    <row r="70" spans="2:35">
      <c r="B70" s="7" t="s">
        <v>309</v>
      </c>
      <c r="C70" s="11"/>
      <c r="D70" s="11"/>
      <c r="E70" s="11"/>
      <c r="F70" s="11"/>
      <c r="G70" s="20"/>
      <c r="H70" s="20"/>
      <c r="I70" s="20"/>
      <c r="J70" s="20"/>
      <c r="K70" s="20"/>
      <c r="L70" s="20"/>
      <c r="M70" s="20"/>
      <c r="N70" s="20"/>
      <c r="Q70" s="31"/>
      <c r="R70" s="31" t="s">
        <v>295</v>
      </c>
      <c r="S70" s="31"/>
      <c r="T70" s="294">
        <v>18468000</v>
      </c>
      <c r="U70" s="294">
        <v>0</v>
      </c>
      <c r="V70" s="31"/>
      <c r="W70" s="295">
        <f>W63+T70-U70</f>
        <v>611176680127</v>
      </c>
      <c r="X70" s="31"/>
      <c r="Y70" s="31"/>
      <c r="Z70" s="36"/>
      <c r="AA70" s="36"/>
      <c r="AB70" s="36"/>
      <c r="AG70" s="298"/>
      <c r="AH70" s="298"/>
      <c r="AI70" s="298"/>
    </row>
    <row r="71" spans="2:35">
      <c r="B71" s="7" t="s">
        <v>310</v>
      </c>
      <c r="C71" s="11"/>
      <c r="D71" s="11"/>
      <c r="E71" s="11"/>
      <c r="F71" s="11"/>
      <c r="G71" s="20"/>
      <c r="H71" s="20"/>
      <c r="I71" s="20"/>
      <c r="J71" s="20"/>
      <c r="K71" s="20"/>
      <c r="L71" s="20"/>
      <c r="M71" s="20"/>
      <c r="N71" s="20"/>
      <c r="Q71" s="31"/>
      <c r="R71" s="31"/>
      <c r="S71" s="31"/>
      <c r="T71" s="294"/>
      <c r="U71" s="294"/>
      <c r="V71" s="31"/>
      <c r="W71" s="31"/>
      <c r="X71" s="31"/>
      <c r="Y71" s="31"/>
      <c r="Z71" s="36"/>
      <c r="AA71" s="36"/>
      <c r="AB71" s="36"/>
    </row>
    <row r="72" spans="2:35">
      <c r="B72" s="7" t="s">
        <v>311</v>
      </c>
      <c r="C72" s="11"/>
      <c r="D72" s="11"/>
      <c r="E72" s="11"/>
      <c r="F72" s="11"/>
      <c r="G72" s="20"/>
      <c r="H72" s="20"/>
      <c r="I72" s="20"/>
      <c r="J72" s="20"/>
      <c r="K72" s="20"/>
      <c r="L72" s="20"/>
      <c r="M72" s="20"/>
      <c r="N72" s="20"/>
      <c r="Q72" s="31" t="s">
        <v>312</v>
      </c>
      <c r="R72" s="31"/>
      <c r="S72" s="31"/>
      <c r="T72" s="294">
        <v>1738726911</v>
      </c>
      <c r="U72" s="294">
        <v>1827139071</v>
      </c>
      <c r="V72" s="31"/>
      <c r="W72" s="295">
        <f>W70+T72-U72</f>
        <v>611088267967</v>
      </c>
      <c r="X72" s="31"/>
      <c r="Y72" s="31"/>
      <c r="Z72" s="36"/>
      <c r="AA72" s="36"/>
      <c r="AB72" s="36"/>
    </row>
    <row r="73" spans="2:35">
      <c r="B73" s="7" t="s">
        <v>313</v>
      </c>
      <c r="C73" s="11"/>
      <c r="D73" s="11"/>
      <c r="E73" s="11"/>
      <c r="F73" s="11"/>
      <c r="G73" s="20"/>
      <c r="H73" s="20"/>
      <c r="I73" s="20"/>
      <c r="J73" s="20"/>
      <c r="K73" s="20"/>
      <c r="L73" s="20"/>
      <c r="M73" s="20"/>
      <c r="N73" s="20"/>
      <c r="Q73" s="31" t="s">
        <v>182</v>
      </c>
      <c r="R73" s="31"/>
      <c r="S73" s="31"/>
      <c r="T73" s="294">
        <v>835685230137</v>
      </c>
      <c r="U73" s="294">
        <v>483420000000</v>
      </c>
      <c r="V73" s="31"/>
      <c r="W73" s="295">
        <f>W72+T73-U73</f>
        <v>963353498104</v>
      </c>
      <c r="X73" s="31"/>
      <c r="Y73" s="295">
        <f>840575791158-W73</f>
        <v>-122777706946</v>
      </c>
      <c r="Z73" s="36"/>
      <c r="AA73" s="36"/>
      <c r="AB73" s="36"/>
    </row>
    <row r="74" spans="2:35">
      <c r="B74" s="7" t="s">
        <v>314</v>
      </c>
      <c r="C74" s="20">
        <f t="shared" ref="C74:N74" si="21">SUM(C75:C76)</f>
        <v>0</v>
      </c>
      <c r="D74" s="20">
        <f t="shared" si="21"/>
        <v>0</v>
      </c>
      <c r="E74" s="20">
        <f t="shared" si="21"/>
        <v>0</v>
      </c>
      <c r="F74" s="20">
        <f t="shared" si="21"/>
        <v>0</v>
      </c>
      <c r="G74" s="20">
        <f t="shared" si="21"/>
        <v>0</v>
      </c>
      <c r="H74" s="20">
        <f t="shared" si="21"/>
        <v>0</v>
      </c>
      <c r="I74" s="20">
        <f t="shared" si="21"/>
        <v>0</v>
      </c>
      <c r="J74" s="20">
        <f t="shared" si="21"/>
        <v>0</v>
      </c>
      <c r="K74" s="20">
        <f t="shared" si="21"/>
        <v>0</v>
      </c>
      <c r="L74" s="20">
        <f t="shared" si="21"/>
        <v>0</v>
      </c>
      <c r="M74" s="20">
        <f t="shared" si="21"/>
        <v>0</v>
      </c>
      <c r="N74" s="20">
        <f t="shared" si="21"/>
        <v>0</v>
      </c>
      <c r="Q74" s="31" t="s">
        <v>315</v>
      </c>
      <c r="R74" s="31"/>
      <c r="S74" s="31"/>
      <c r="T74" s="294">
        <v>4228313607428</v>
      </c>
      <c r="U74" s="294">
        <v>3114737920774</v>
      </c>
      <c r="V74" s="31"/>
      <c r="W74" s="31"/>
      <c r="X74" s="31"/>
      <c r="Y74" s="31"/>
      <c r="Z74" s="36"/>
      <c r="AA74" s="36"/>
      <c r="AB74" s="36"/>
    </row>
    <row r="75" spans="2:35">
      <c r="B75" s="14" t="s">
        <v>316</v>
      </c>
      <c r="C75" s="41"/>
      <c r="D75" s="41"/>
      <c r="E75" s="41"/>
      <c r="F75" s="41"/>
      <c r="G75" s="20"/>
      <c r="H75" s="20"/>
      <c r="I75" s="20"/>
      <c r="J75" s="20"/>
      <c r="K75" s="20"/>
      <c r="L75" s="20"/>
      <c r="M75" s="20"/>
      <c r="N75" s="20"/>
      <c r="Q75" s="31" t="s">
        <v>317</v>
      </c>
      <c r="R75" s="31"/>
      <c r="S75" s="31"/>
      <c r="T75" s="294">
        <v>12972258275</v>
      </c>
      <c r="U75" s="294">
        <v>0</v>
      </c>
      <c r="V75" s="31"/>
      <c r="W75" s="31"/>
      <c r="X75" s="31"/>
      <c r="Y75" s="31"/>
      <c r="Z75" s="36"/>
      <c r="AA75" s="36"/>
      <c r="AB75" s="36"/>
      <c r="AG75" s="296"/>
      <c r="AH75" s="296"/>
      <c r="AI75" s="296"/>
    </row>
    <row r="76" spans="2:35">
      <c r="B76" s="14" t="s">
        <v>318</v>
      </c>
      <c r="C76" s="41"/>
      <c r="D76" s="41"/>
      <c r="E76" s="41"/>
      <c r="F76" s="41"/>
      <c r="G76" s="20"/>
      <c r="H76" s="20"/>
      <c r="I76" s="20"/>
      <c r="J76" s="20"/>
      <c r="K76" s="20"/>
      <c r="L76" s="20"/>
      <c r="M76" s="20"/>
      <c r="N76" s="20"/>
      <c r="Q76" s="31"/>
      <c r="R76" s="31"/>
      <c r="S76" s="31"/>
      <c r="T76" s="294"/>
      <c r="U76" s="294"/>
      <c r="V76" s="31"/>
      <c r="W76" s="31"/>
      <c r="X76" s="31"/>
      <c r="Y76" s="31"/>
      <c r="Z76" s="36"/>
      <c r="AA76" s="36"/>
      <c r="AB76" s="36"/>
      <c r="AG76" s="296"/>
      <c r="AH76" s="296"/>
      <c r="AI76" s="298"/>
    </row>
    <row r="77" spans="2:35" ht="15.75" customHeight="1" thickBot="1">
      <c r="B77" s="14" t="s">
        <v>319</v>
      </c>
      <c r="C77" s="41"/>
      <c r="D77" s="41"/>
      <c r="E77" s="41"/>
      <c r="F77" s="41"/>
      <c r="G77" s="20"/>
      <c r="H77" s="20"/>
      <c r="I77" s="20"/>
      <c r="J77" s="20"/>
      <c r="K77" s="20"/>
      <c r="L77" s="20"/>
      <c r="M77" s="20"/>
      <c r="N77" s="20"/>
      <c r="Q77" s="31"/>
      <c r="R77" s="31"/>
      <c r="S77" s="31"/>
      <c r="T77" s="294"/>
      <c r="U77" s="294"/>
      <c r="V77" s="31"/>
      <c r="W77" s="31"/>
      <c r="X77" s="31"/>
      <c r="Y77" s="31"/>
      <c r="Z77" s="36"/>
      <c r="AA77" s="36"/>
      <c r="AB77" s="36"/>
      <c r="AG77" s="280"/>
      <c r="AH77" s="280"/>
      <c r="AI77" s="280"/>
    </row>
    <row r="78" spans="2:35" ht="16.5" customHeight="1" thickTop="1" thickBot="1">
      <c r="B78" s="15" t="s">
        <v>320</v>
      </c>
      <c r="C78" s="35">
        <f t="shared" ref="C78:N78" si="22">SUM(C68,C50)</f>
        <v>0</v>
      </c>
      <c r="D78" s="35">
        <f t="shared" si="22"/>
        <v>0</v>
      </c>
      <c r="E78" s="35">
        <f t="shared" si="22"/>
        <v>0</v>
      </c>
      <c r="F78" s="35">
        <f t="shared" si="22"/>
        <v>0</v>
      </c>
      <c r="G78" s="35">
        <f t="shared" si="22"/>
        <v>50356</v>
      </c>
      <c r="H78" s="35">
        <f t="shared" si="22"/>
        <v>73801</v>
      </c>
      <c r="I78" s="35">
        <f t="shared" si="22"/>
        <v>0</v>
      </c>
      <c r="J78" s="35">
        <f t="shared" si="22"/>
        <v>0</v>
      </c>
      <c r="K78" s="35">
        <f t="shared" si="22"/>
        <v>0</v>
      </c>
      <c r="L78" s="35">
        <f t="shared" si="22"/>
        <v>0</v>
      </c>
      <c r="M78" s="35">
        <f t="shared" si="22"/>
        <v>0</v>
      </c>
      <c r="N78" s="35">
        <f t="shared" si="22"/>
        <v>0</v>
      </c>
      <c r="Q78" s="31"/>
      <c r="R78" s="31"/>
      <c r="S78" s="31"/>
      <c r="T78" s="294"/>
      <c r="U78" s="294"/>
      <c r="V78" s="31"/>
      <c r="W78" s="31"/>
      <c r="X78" s="31"/>
      <c r="Y78" s="31"/>
    </row>
    <row r="79" spans="2:35">
      <c r="G79" s="20">
        <f>G48-G78</f>
        <v>798167</v>
      </c>
      <c r="H79" s="20">
        <f>H48-H78</f>
        <v>8470077</v>
      </c>
      <c r="I79" s="20">
        <f>I48-I78</f>
        <v>0</v>
      </c>
      <c r="J79" s="20">
        <f>J48-J78</f>
        <v>0</v>
      </c>
      <c r="K79" s="20">
        <f>K48-K78</f>
        <v>0</v>
      </c>
      <c r="Q79" s="31"/>
      <c r="R79" s="31"/>
      <c r="S79" s="31"/>
      <c r="T79" s="294"/>
      <c r="U79" s="294"/>
      <c r="V79" s="31"/>
      <c r="W79" s="31"/>
      <c r="X79" s="31"/>
      <c r="Y79" s="31"/>
    </row>
  </sheetData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A120"/>
  <sheetViews>
    <sheetView workbookViewId="0">
      <selection activeCell="E2" sqref="E2"/>
    </sheetView>
  </sheetViews>
  <sheetFormatPr defaultColWidth="8.88671875" defaultRowHeight="14.4"/>
  <cols>
    <col min="1" max="1" width="8.88671875" style="162" customWidth="1"/>
    <col min="3" max="3" width="37.109375" style="162" customWidth="1"/>
    <col min="4" max="4" width="29.44140625" style="162" customWidth="1"/>
    <col min="5" max="12" width="10.44140625" style="162" customWidth="1"/>
    <col min="13" max="14" width="11.33203125" style="162" customWidth="1"/>
    <col min="15" max="15" width="12.6640625" style="162" customWidth="1"/>
    <col min="16" max="18" width="11.33203125" style="162" customWidth="1"/>
    <col min="19" max="20" width="11.44140625" style="162" customWidth="1"/>
    <col min="21" max="23" width="11.44140625" style="162" bestFit="1" customWidth="1"/>
    <col min="25" max="27" width="10.44140625" style="162" bestFit="1" customWidth="1"/>
  </cols>
  <sheetData>
    <row r="1" spans="2:23" ht="15.75" customHeight="1" thickBot="1"/>
    <row r="2" spans="2:23" ht="27" customHeight="1" thickBot="1">
      <c r="B2" s="46" t="s">
        <v>321</v>
      </c>
      <c r="C2" s="163"/>
      <c r="D2" s="163" t="s">
        <v>322</v>
      </c>
      <c r="E2" s="47" t="s">
        <v>323</v>
      </c>
      <c r="F2" s="47" t="s">
        <v>324</v>
      </c>
      <c r="G2" s="47" t="s">
        <v>325</v>
      </c>
      <c r="H2" s="47" t="s">
        <v>326</v>
      </c>
      <c r="I2" s="47" t="s">
        <v>327</v>
      </c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</row>
    <row r="3" spans="2:23" ht="19.5" customHeight="1" thickTop="1">
      <c r="B3" s="44" t="s">
        <v>328</v>
      </c>
      <c r="C3" s="48" t="s">
        <v>329</v>
      </c>
      <c r="D3" s="168"/>
    </row>
    <row r="4" spans="2:23" s="169" customFormat="1" ht="18.75" customHeight="1">
      <c r="B4" s="44">
        <v>100</v>
      </c>
      <c r="C4" s="49" t="s">
        <v>330</v>
      </c>
      <c r="D4" s="168"/>
      <c r="E4" s="299">
        <v>135279026</v>
      </c>
      <c r="F4" s="299">
        <v>197392877</v>
      </c>
      <c r="G4" s="299">
        <v>166013805</v>
      </c>
      <c r="H4" s="299">
        <v>161374270</v>
      </c>
      <c r="I4" s="299">
        <v>283116653</v>
      </c>
      <c r="J4" s="299"/>
      <c r="K4" s="299"/>
      <c r="L4" s="299"/>
      <c r="M4" s="299"/>
      <c r="N4" s="299"/>
      <c r="O4" s="299"/>
      <c r="P4" s="299"/>
      <c r="Q4" s="299"/>
      <c r="R4" s="299"/>
      <c r="S4" s="299"/>
      <c r="T4" s="299"/>
      <c r="U4" s="299"/>
      <c r="V4" s="299"/>
      <c r="W4" s="299"/>
    </row>
    <row r="5" spans="2:23" s="169" customFormat="1">
      <c r="B5" s="43">
        <v>110</v>
      </c>
      <c r="C5" s="50" t="s">
        <v>331</v>
      </c>
      <c r="D5" s="300" t="s">
        <v>48</v>
      </c>
      <c r="E5" s="301">
        <v>13557055</v>
      </c>
      <c r="F5" s="301">
        <v>18446969</v>
      </c>
      <c r="G5" s="301">
        <v>29403688</v>
      </c>
      <c r="H5" s="301">
        <v>18352236</v>
      </c>
      <c r="I5" s="301">
        <v>26213302</v>
      </c>
      <c r="J5" s="301"/>
      <c r="K5" s="301"/>
      <c r="L5" s="301"/>
      <c r="M5" s="301"/>
      <c r="N5" s="301"/>
      <c r="O5" s="301"/>
      <c r="P5" s="301"/>
      <c r="Q5" s="301"/>
      <c r="R5" s="301"/>
      <c r="S5" s="301"/>
      <c r="T5" s="301"/>
      <c r="U5" s="301"/>
      <c r="V5" s="301"/>
      <c r="W5" s="301"/>
    </row>
    <row r="6" spans="2:23">
      <c r="B6" s="42">
        <v>111</v>
      </c>
      <c r="C6" s="51" t="s">
        <v>332</v>
      </c>
      <c r="D6" s="165"/>
      <c r="E6" s="264">
        <v>8566276</v>
      </c>
      <c r="F6" s="264">
        <v>7639369</v>
      </c>
      <c r="G6" s="264">
        <v>9076372</v>
      </c>
      <c r="H6" s="264">
        <v>10330320</v>
      </c>
      <c r="I6" s="264">
        <v>7896325</v>
      </c>
      <c r="J6" s="264"/>
      <c r="K6" s="264"/>
      <c r="L6" s="264"/>
      <c r="M6" s="264"/>
      <c r="N6" s="264"/>
      <c r="O6" s="264"/>
      <c r="P6" s="264"/>
      <c r="Q6" s="264"/>
      <c r="R6" s="264"/>
      <c r="S6" s="264"/>
      <c r="T6" s="264"/>
      <c r="U6" s="264"/>
      <c r="V6" s="264"/>
      <c r="W6" s="264"/>
    </row>
    <row r="7" spans="2:23">
      <c r="B7" s="42">
        <v>112</v>
      </c>
      <c r="C7" s="51" t="s">
        <v>333</v>
      </c>
      <c r="D7" s="165"/>
      <c r="E7" s="264">
        <v>4990779</v>
      </c>
      <c r="F7" s="264">
        <v>10807599</v>
      </c>
      <c r="G7" s="264">
        <v>20327316</v>
      </c>
      <c r="H7" s="264">
        <v>8021916</v>
      </c>
      <c r="I7" s="264">
        <v>18316977</v>
      </c>
      <c r="J7" s="264"/>
      <c r="K7" s="264"/>
      <c r="L7" s="264"/>
      <c r="M7" s="264"/>
      <c r="N7" s="264"/>
      <c r="O7" s="264"/>
      <c r="P7" s="264"/>
      <c r="Q7" s="264"/>
      <c r="R7" s="264"/>
      <c r="S7" s="264"/>
      <c r="T7" s="264"/>
      <c r="U7" s="264"/>
      <c r="V7" s="264"/>
      <c r="W7" s="264"/>
    </row>
    <row r="8" spans="2:23" s="169" customFormat="1">
      <c r="B8" s="43">
        <v>120</v>
      </c>
      <c r="C8" s="50" t="s">
        <v>334</v>
      </c>
      <c r="D8" s="300" t="s">
        <v>48</v>
      </c>
      <c r="E8" s="301">
        <v>1951598</v>
      </c>
      <c r="F8" s="301">
        <v>11172868</v>
      </c>
      <c r="G8" s="301">
        <v>10413625</v>
      </c>
      <c r="H8" s="301">
        <v>8080448</v>
      </c>
      <c r="I8" s="301">
        <v>6735880</v>
      </c>
      <c r="J8" s="301"/>
      <c r="K8" s="301"/>
      <c r="L8" s="301"/>
      <c r="M8" s="301"/>
      <c r="N8" s="301"/>
      <c r="O8" s="301"/>
      <c r="P8" s="301"/>
      <c r="Q8" s="301"/>
      <c r="R8" s="301"/>
      <c r="S8" s="301"/>
      <c r="T8" s="301"/>
      <c r="U8" s="301"/>
      <c r="V8" s="301"/>
      <c r="W8" s="301"/>
    </row>
    <row r="9" spans="2:23">
      <c r="B9" s="42">
        <v>121</v>
      </c>
      <c r="C9" s="51" t="s">
        <v>335</v>
      </c>
      <c r="D9" s="165"/>
      <c r="E9" s="264"/>
      <c r="F9" s="264">
        <v>9539371</v>
      </c>
      <c r="G9" s="264">
        <v>5897650</v>
      </c>
      <c r="H9" s="264">
        <v>4909495</v>
      </c>
      <c r="I9" s="264">
        <v>2352947</v>
      </c>
      <c r="J9" s="264"/>
      <c r="K9" s="264"/>
      <c r="L9" s="264"/>
      <c r="M9" s="264"/>
      <c r="N9" s="264"/>
      <c r="O9" s="264"/>
      <c r="P9" s="264"/>
      <c r="Q9" s="264"/>
      <c r="R9" s="264"/>
      <c r="S9" s="264"/>
      <c r="T9" s="264"/>
      <c r="U9" s="264"/>
      <c r="V9" s="264"/>
      <c r="W9" s="264"/>
    </row>
    <row r="10" spans="2:23">
      <c r="B10" s="42">
        <v>122</v>
      </c>
      <c r="C10" s="51" t="s">
        <v>336</v>
      </c>
      <c r="D10" s="165"/>
      <c r="E10" s="264"/>
      <c r="F10" s="264"/>
      <c r="G10" s="264"/>
      <c r="H10" s="264"/>
      <c r="I10" s="264"/>
      <c r="J10" s="264"/>
      <c r="K10" s="264"/>
      <c r="L10" s="264"/>
      <c r="M10" s="264"/>
      <c r="N10" s="264"/>
      <c r="O10" s="264"/>
      <c r="P10" s="264"/>
      <c r="Q10" s="264"/>
      <c r="R10" s="264"/>
      <c r="S10" s="264"/>
      <c r="T10" s="264"/>
      <c r="U10" s="264"/>
      <c r="V10" s="264"/>
      <c r="W10" s="264"/>
    </row>
    <row r="11" spans="2:23">
      <c r="B11" s="42">
        <v>123</v>
      </c>
      <c r="C11" s="51" t="s">
        <v>337</v>
      </c>
      <c r="D11" s="165"/>
      <c r="E11" s="264">
        <v>1951598</v>
      </c>
      <c r="F11" s="264">
        <v>1633496</v>
      </c>
      <c r="G11" s="264">
        <v>4515975</v>
      </c>
      <c r="H11" s="264">
        <v>3170953</v>
      </c>
      <c r="I11" s="264">
        <v>4382933</v>
      </c>
      <c r="J11" s="264"/>
      <c r="K11" s="264"/>
      <c r="L11" s="264"/>
      <c r="M11" s="264"/>
      <c r="N11" s="264"/>
      <c r="O11" s="264"/>
      <c r="P11" s="264"/>
      <c r="Q11" s="264"/>
      <c r="R11" s="264"/>
      <c r="S11" s="264"/>
      <c r="T11" s="264"/>
      <c r="U11" s="264"/>
      <c r="V11" s="264"/>
      <c r="W11" s="264"/>
    </row>
    <row r="12" spans="2:23" s="169" customFormat="1">
      <c r="B12" s="43">
        <v>130</v>
      </c>
      <c r="C12" s="50" t="s">
        <v>338</v>
      </c>
      <c r="D12" s="168"/>
      <c r="E12" s="301">
        <v>50075354</v>
      </c>
      <c r="F12" s="301">
        <v>63871798</v>
      </c>
      <c r="G12" s="301">
        <v>52395927</v>
      </c>
      <c r="H12" s="301">
        <v>72186627</v>
      </c>
      <c r="I12" s="301">
        <v>126232017</v>
      </c>
      <c r="J12" s="301"/>
      <c r="K12" s="301"/>
      <c r="L12" s="301"/>
      <c r="M12" s="301"/>
      <c r="N12" s="301"/>
      <c r="O12" s="301"/>
      <c r="P12" s="301"/>
      <c r="Q12" s="301"/>
      <c r="R12" s="301"/>
      <c r="S12" s="301"/>
      <c r="T12" s="301"/>
      <c r="U12" s="301"/>
      <c r="V12" s="301"/>
      <c r="W12" s="301"/>
    </row>
    <row r="13" spans="2:23">
      <c r="B13" s="42">
        <v>131</v>
      </c>
      <c r="C13" s="51" t="s">
        <v>339</v>
      </c>
      <c r="D13" s="302" t="s">
        <v>50</v>
      </c>
      <c r="E13" s="264">
        <v>7594010</v>
      </c>
      <c r="F13" s="264">
        <v>16640800</v>
      </c>
      <c r="G13" s="264">
        <v>16026874</v>
      </c>
      <c r="H13" s="264">
        <v>20004799</v>
      </c>
      <c r="I13" s="264">
        <v>25276287</v>
      </c>
      <c r="J13" s="264"/>
      <c r="K13" s="264"/>
      <c r="L13" s="264"/>
      <c r="M13" s="264"/>
      <c r="N13" s="264"/>
      <c r="O13" s="264"/>
      <c r="P13" s="264"/>
      <c r="Q13" s="264"/>
      <c r="R13" s="264"/>
      <c r="S13" s="264"/>
      <c r="T13" s="264"/>
      <c r="U13" s="264"/>
      <c r="V13" s="264"/>
      <c r="W13" s="264"/>
    </row>
    <row r="14" spans="2:23">
      <c r="B14" s="42">
        <v>132</v>
      </c>
      <c r="C14" s="51" t="s">
        <v>340</v>
      </c>
      <c r="D14" s="303" t="s">
        <v>55</v>
      </c>
      <c r="E14" s="264">
        <v>16677008</v>
      </c>
      <c r="F14" s="264">
        <v>16519157</v>
      </c>
      <c r="G14" s="264">
        <v>15346915</v>
      </c>
      <c r="H14" s="264">
        <v>21271470</v>
      </c>
      <c r="I14" s="264">
        <v>37954852</v>
      </c>
      <c r="J14" s="264"/>
      <c r="K14" s="264"/>
      <c r="L14" s="264"/>
      <c r="M14" s="264"/>
      <c r="N14" s="264"/>
      <c r="O14" s="264"/>
      <c r="P14" s="264"/>
      <c r="Q14" s="264"/>
      <c r="R14" s="264"/>
      <c r="S14" s="264"/>
      <c r="T14" s="264"/>
      <c r="U14" s="264"/>
      <c r="V14" s="264"/>
      <c r="W14" s="264"/>
    </row>
    <row r="15" spans="2:23">
      <c r="B15" s="42">
        <v>133</v>
      </c>
      <c r="C15" s="51" t="s">
        <v>341</v>
      </c>
      <c r="D15" s="303" t="s">
        <v>59</v>
      </c>
      <c r="E15" s="264"/>
      <c r="F15" s="264"/>
      <c r="G15" s="264"/>
      <c r="H15" s="264"/>
      <c r="I15" s="264"/>
      <c r="J15" s="264"/>
      <c r="K15" s="264"/>
      <c r="L15" s="264"/>
      <c r="M15" s="264"/>
      <c r="N15" s="264"/>
      <c r="O15" s="264"/>
      <c r="P15" s="264"/>
      <c r="Q15" s="264"/>
      <c r="R15" s="264"/>
      <c r="S15" s="264"/>
      <c r="T15" s="264"/>
      <c r="U15" s="264"/>
      <c r="V15" s="264"/>
      <c r="W15" s="264"/>
    </row>
    <row r="16" spans="2:23">
      <c r="B16" s="42">
        <v>134</v>
      </c>
      <c r="C16" s="51" t="s">
        <v>342</v>
      </c>
      <c r="D16" s="303" t="s">
        <v>59</v>
      </c>
      <c r="E16" s="264"/>
      <c r="F16" s="264"/>
      <c r="G16" s="264"/>
      <c r="H16" s="264"/>
      <c r="I16" s="264"/>
      <c r="J16" s="264"/>
      <c r="K16" s="264"/>
      <c r="L16" s="264"/>
      <c r="M16" s="264"/>
      <c r="N16" s="264"/>
      <c r="O16" s="264"/>
      <c r="P16" s="264"/>
      <c r="Q16" s="264"/>
      <c r="R16" s="264"/>
      <c r="S16" s="264"/>
      <c r="T16" s="264"/>
      <c r="U16" s="264"/>
      <c r="V16" s="264"/>
      <c r="W16" s="264"/>
    </row>
    <row r="17" spans="2:23">
      <c r="B17" s="42">
        <v>135</v>
      </c>
      <c r="C17" s="51" t="s">
        <v>343</v>
      </c>
      <c r="D17" s="303" t="s">
        <v>59</v>
      </c>
      <c r="E17" s="264">
        <v>5077857</v>
      </c>
      <c r="F17" s="264">
        <v>21022039</v>
      </c>
      <c r="G17" s="264">
        <v>8539910</v>
      </c>
      <c r="H17" s="264">
        <v>14824123</v>
      </c>
      <c r="I17" s="264">
        <v>8256866</v>
      </c>
      <c r="J17" s="264"/>
      <c r="K17" s="264"/>
      <c r="L17" s="264"/>
      <c r="M17" s="264"/>
      <c r="N17" s="264"/>
      <c r="O17" s="264"/>
      <c r="P17" s="264"/>
      <c r="Q17" s="264"/>
      <c r="R17" s="264"/>
      <c r="S17" s="264"/>
      <c r="T17" s="264"/>
      <c r="U17" s="264"/>
      <c r="V17" s="264"/>
      <c r="W17" s="264"/>
    </row>
    <row r="18" spans="2:23">
      <c r="B18" s="42">
        <v>136</v>
      </c>
      <c r="C18" s="51" t="s">
        <v>344</v>
      </c>
      <c r="D18" s="303" t="s">
        <v>59</v>
      </c>
      <c r="E18" s="264">
        <v>20993915</v>
      </c>
      <c r="F18" s="264">
        <v>10062709</v>
      </c>
      <c r="G18" s="264">
        <v>12789024</v>
      </c>
      <c r="H18" s="264">
        <v>16651053</v>
      </c>
      <c r="I18" s="264">
        <v>55864370</v>
      </c>
      <c r="J18" s="264"/>
      <c r="K18" s="264"/>
      <c r="L18" s="264"/>
      <c r="M18" s="264"/>
      <c r="N18" s="264"/>
      <c r="O18" s="264"/>
      <c r="P18" s="264"/>
      <c r="Q18" s="264"/>
      <c r="R18" s="264"/>
      <c r="S18" s="264"/>
      <c r="T18" s="264"/>
      <c r="U18" s="264"/>
      <c r="V18" s="264"/>
      <c r="W18" s="264"/>
    </row>
    <row r="19" spans="2:23">
      <c r="B19" s="42">
        <v>137</v>
      </c>
      <c r="C19" s="51" t="s">
        <v>345</v>
      </c>
      <c r="D19" s="303" t="s">
        <v>59</v>
      </c>
      <c r="E19" s="264">
        <v>-267437</v>
      </c>
      <c r="F19" s="264">
        <v>-372907</v>
      </c>
      <c r="G19" s="264">
        <v>-306796</v>
      </c>
      <c r="H19" s="264">
        <v>-564818</v>
      </c>
      <c r="I19" s="264">
        <v>-1120358</v>
      </c>
      <c r="J19" s="264"/>
      <c r="K19" s="264"/>
      <c r="L19" s="264"/>
      <c r="M19" s="264"/>
      <c r="N19" s="264"/>
      <c r="O19" s="264"/>
      <c r="P19" s="264"/>
      <c r="Q19" s="264"/>
      <c r="R19" s="264"/>
      <c r="S19" s="264"/>
      <c r="T19" s="264"/>
      <c r="U19" s="264"/>
      <c r="V19" s="264"/>
      <c r="W19" s="264"/>
    </row>
    <row r="20" spans="2:23">
      <c r="B20" s="42">
        <v>139</v>
      </c>
      <c r="C20" s="51" t="s">
        <v>346</v>
      </c>
      <c r="D20" s="303" t="s">
        <v>59</v>
      </c>
      <c r="E20" s="264"/>
      <c r="F20" s="264"/>
      <c r="G20" s="264"/>
      <c r="H20" s="264"/>
      <c r="I20" s="264"/>
      <c r="J20" s="264"/>
      <c r="K20" s="264"/>
      <c r="L20" s="264"/>
      <c r="M20" s="264"/>
      <c r="N20" s="264"/>
      <c r="O20" s="264"/>
      <c r="P20" s="264"/>
      <c r="Q20" s="264"/>
      <c r="R20" s="264"/>
      <c r="S20" s="264"/>
      <c r="T20" s="264"/>
      <c r="U20" s="264"/>
      <c r="V20" s="264"/>
      <c r="W20" s="264"/>
    </row>
    <row r="21" spans="2:23" s="169" customFormat="1">
      <c r="B21" s="43">
        <v>140</v>
      </c>
      <c r="C21" s="50" t="s">
        <v>347</v>
      </c>
      <c r="D21" s="304" t="s">
        <v>53</v>
      </c>
      <c r="E21" s="301">
        <v>55105514</v>
      </c>
      <c r="F21" s="301">
        <v>83808756</v>
      </c>
      <c r="G21" s="301">
        <v>62495269</v>
      </c>
      <c r="H21" s="301">
        <v>50425325</v>
      </c>
      <c r="I21" s="301">
        <v>98587507</v>
      </c>
      <c r="J21" s="301"/>
      <c r="K21" s="301"/>
      <c r="L21" s="301"/>
      <c r="M21" s="301"/>
      <c r="N21" s="301"/>
      <c r="O21" s="301"/>
      <c r="P21" s="301"/>
      <c r="Q21" s="301"/>
      <c r="R21" s="301"/>
      <c r="S21" s="301"/>
      <c r="T21" s="301"/>
      <c r="U21" s="301"/>
      <c r="V21" s="301"/>
      <c r="W21" s="301"/>
    </row>
    <row r="22" spans="2:23">
      <c r="B22" s="42">
        <v>141</v>
      </c>
      <c r="C22" s="51" t="s">
        <v>348</v>
      </c>
      <c r="D22" s="165"/>
      <c r="E22" s="264">
        <v>55616902</v>
      </c>
      <c r="F22" s="264">
        <v>85969752</v>
      </c>
      <c r="G22" s="264">
        <v>63606541</v>
      </c>
      <c r="H22" s="264">
        <v>52534314</v>
      </c>
      <c r="I22" s="264">
        <v>104024054</v>
      </c>
      <c r="J22" s="264"/>
      <c r="K22" s="264"/>
      <c r="L22" s="264"/>
      <c r="M22" s="264"/>
      <c r="N22" s="264"/>
      <c r="O22" s="264"/>
      <c r="P22" s="264"/>
      <c r="Q22" s="264"/>
      <c r="R22" s="264"/>
      <c r="S22" s="264"/>
      <c r="T22" s="264"/>
      <c r="U22" s="264"/>
      <c r="V22" s="264"/>
      <c r="W22" s="264"/>
    </row>
    <row r="23" spans="2:23">
      <c r="B23" s="42">
        <v>149</v>
      </c>
      <c r="C23" s="51" t="s">
        <v>349</v>
      </c>
      <c r="D23" s="165"/>
      <c r="E23" s="264">
        <v>-511388</v>
      </c>
      <c r="F23" s="264">
        <v>-2160996</v>
      </c>
      <c r="G23" s="264">
        <v>-1111272</v>
      </c>
      <c r="H23" s="264">
        <v>-2108989</v>
      </c>
      <c r="I23" s="264">
        <v>-5436547</v>
      </c>
      <c r="J23" s="264"/>
      <c r="K23" s="264"/>
      <c r="L23" s="264"/>
      <c r="M23" s="264"/>
      <c r="N23" s="264"/>
      <c r="O23" s="264"/>
      <c r="P23" s="264"/>
      <c r="Q23" s="264"/>
      <c r="R23" s="264"/>
      <c r="S23" s="264"/>
      <c r="T23" s="264"/>
      <c r="U23" s="264"/>
      <c r="V23" s="264"/>
      <c r="W23" s="264"/>
    </row>
    <row r="24" spans="2:23" s="169" customFormat="1">
      <c r="B24" s="43">
        <v>150</v>
      </c>
      <c r="C24" s="50" t="s">
        <v>350</v>
      </c>
      <c r="D24" s="168"/>
      <c r="E24" s="301">
        <v>14589506</v>
      </c>
      <c r="F24" s="301">
        <v>20092487</v>
      </c>
      <c r="G24" s="301">
        <v>11305296</v>
      </c>
      <c r="H24" s="301">
        <v>12329634</v>
      </c>
      <c r="I24" s="301">
        <v>25347947</v>
      </c>
      <c r="J24" s="301"/>
      <c r="K24" s="301"/>
      <c r="L24" s="301"/>
      <c r="M24" s="301"/>
      <c r="N24" s="301"/>
      <c r="O24" s="301"/>
      <c r="P24" s="301"/>
      <c r="Q24" s="301"/>
      <c r="R24" s="301"/>
      <c r="S24" s="301"/>
      <c r="T24" s="301"/>
      <c r="U24" s="301"/>
      <c r="V24" s="301"/>
      <c r="W24" s="301"/>
    </row>
    <row r="25" spans="2:23">
      <c r="B25" s="42">
        <v>151</v>
      </c>
      <c r="C25" s="51" t="s">
        <v>351</v>
      </c>
      <c r="D25" s="165" t="s">
        <v>57</v>
      </c>
      <c r="E25" s="264">
        <v>2484728</v>
      </c>
      <c r="F25" s="264">
        <v>3254545</v>
      </c>
      <c r="G25" s="264">
        <v>2753060</v>
      </c>
      <c r="H25" s="264">
        <v>1299866</v>
      </c>
      <c r="I25" s="264">
        <v>3252605</v>
      </c>
      <c r="J25" s="264"/>
      <c r="K25" s="264"/>
      <c r="L25" s="264"/>
      <c r="M25" s="264"/>
      <c r="N25" s="264"/>
      <c r="O25" s="264"/>
      <c r="P25" s="264"/>
      <c r="Q25" s="264"/>
      <c r="R25" s="264"/>
      <c r="S25" s="264"/>
      <c r="T25" s="264"/>
      <c r="U25" s="264"/>
      <c r="V25" s="264"/>
      <c r="W25" s="264"/>
    </row>
    <row r="26" spans="2:23">
      <c r="B26" s="42">
        <v>152</v>
      </c>
      <c r="C26" s="51" t="s">
        <v>352</v>
      </c>
      <c r="D26" s="165" t="s">
        <v>59</v>
      </c>
      <c r="E26" s="264">
        <v>2402675</v>
      </c>
      <c r="F26" s="264">
        <v>3905190</v>
      </c>
      <c r="G26" s="264">
        <v>4584086</v>
      </c>
      <c r="H26" s="264">
        <v>6795531</v>
      </c>
      <c r="I26" s="264">
        <v>8456837</v>
      </c>
      <c r="J26" s="264"/>
      <c r="K26" s="264"/>
      <c r="L26" s="264"/>
      <c r="M26" s="264"/>
      <c r="N26" s="264"/>
      <c r="O26" s="264"/>
      <c r="P26" s="264"/>
      <c r="Q26" s="264"/>
      <c r="R26" s="264"/>
      <c r="S26" s="264"/>
      <c r="T26" s="264"/>
      <c r="U26" s="264"/>
      <c r="V26" s="264"/>
      <c r="W26" s="264"/>
    </row>
    <row r="27" spans="2:23">
      <c r="B27" s="42">
        <v>153</v>
      </c>
      <c r="C27" s="51" t="s">
        <v>353</v>
      </c>
      <c r="D27" s="305" t="s">
        <v>59</v>
      </c>
      <c r="E27" s="264">
        <v>312854</v>
      </c>
      <c r="F27" s="264">
        <v>68800</v>
      </c>
      <c r="G27" s="264">
        <v>913987</v>
      </c>
      <c r="H27" s="264">
        <v>609199</v>
      </c>
      <c r="I27" s="264">
        <v>338448</v>
      </c>
      <c r="J27" s="264"/>
      <c r="K27" s="264"/>
      <c r="L27" s="264"/>
      <c r="M27" s="264"/>
      <c r="N27" s="264"/>
      <c r="O27" s="264"/>
      <c r="P27" s="264"/>
      <c r="Q27" s="264"/>
      <c r="R27" s="264"/>
      <c r="S27" s="264"/>
      <c r="T27" s="264"/>
      <c r="U27" s="264"/>
      <c r="V27" s="264"/>
      <c r="W27" s="264"/>
    </row>
    <row r="28" spans="2:23">
      <c r="B28" s="42">
        <v>154</v>
      </c>
      <c r="C28" s="51" t="s">
        <v>354</v>
      </c>
      <c r="D28" s="305" t="s">
        <v>59</v>
      </c>
      <c r="E28" s="264"/>
      <c r="F28" s="264"/>
      <c r="G28" s="264"/>
      <c r="H28" s="264"/>
      <c r="I28" s="264"/>
      <c r="J28" s="264"/>
      <c r="K28" s="264"/>
      <c r="L28" s="264"/>
      <c r="M28" s="264"/>
      <c r="N28" s="264"/>
      <c r="O28" s="264"/>
      <c r="P28" s="264"/>
      <c r="Q28" s="264"/>
      <c r="R28" s="264"/>
      <c r="S28" s="264"/>
      <c r="T28" s="264"/>
      <c r="U28" s="264"/>
      <c r="V28" s="264"/>
      <c r="W28" s="264"/>
    </row>
    <row r="29" spans="2:23">
      <c r="B29" s="42">
        <v>155</v>
      </c>
      <c r="C29" s="51" t="s">
        <v>355</v>
      </c>
      <c r="D29" s="305" t="s">
        <v>59</v>
      </c>
      <c r="E29" s="264">
        <v>9389248</v>
      </c>
      <c r="F29" s="264">
        <v>12863952</v>
      </c>
      <c r="G29" s="264">
        <v>3054163</v>
      </c>
      <c r="H29" s="264">
        <v>3625038</v>
      </c>
      <c r="I29" s="264">
        <v>13300057</v>
      </c>
      <c r="J29" s="264"/>
      <c r="K29" s="264"/>
      <c r="L29" s="264"/>
      <c r="M29" s="264"/>
      <c r="N29" s="264"/>
      <c r="O29" s="264"/>
      <c r="P29" s="264"/>
      <c r="Q29" s="264"/>
      <c r="R29" s="264"/>
      <c r="S29" s="264"/>
      <c r="T29" s="264"/>
      <c r="U29" s="264"/>
      <c r="V29" s="264"/>
      <c r="W29" s="264"/>
    </row>
    <row r="30" spans="2:23" s="169" customFormat="1" ht="18.75" customHeight="1">
      <c r="B30" s="44">
        <v>200</v>
      </c>
      <c r="C30" s="49" t="s">
        <v>356</v>
      </c>
      <c r="D30" s="168"/>
      <c r="E30" s="301">
        <v>152695150</v>
      </c>
      <c r="F30" s="301">
        <v>206347877</v>
      </c>
      <c r="G30" s="301">
        <v>256489962</v>
      </c>
      <c r="H30" s="301">
        <v>267010195</v>
      </c>
      <c r="I30" s="301">
        <v>294290587</v>
      </c>
      <c r="J30" s="301"/>
      <c r="K30" s="301"/>
      <c r="L30" s="301"/>
      <c r="M30" s="301"/>
      <c r="N30" s="301"/>
      <c r="O30" s="301"/>
      <c r="P30" s="301"/>
      <c r="Q30" s="301"/>
      <c r="R30" s="301"/>
      <c r="S30" s="301"/>
      <c r="T30" s="301"/>
      <c r="U30" s="301"/>
      <c r="V30" s="301"/>
      <c r="W30" s="301"/>
    </row>
    <row r="31" spans="2:23" s="169" customFormat="1">
      <c r="B31" s="43">
        <v>210</v>
      </c>
      <c r="C31" s="50" t="s">
        <v>357</v>
      </c>
      <c r="D31" s="168"/>
      <c r="E31" s="301">
        <v>360541</v>
      </c>
      <c r="F31" s="301">
        <v>1464431</v>
      </c>
      <c r="G31" s="301">
        <v>7379649</v>
      </c>
      <c r="H31" s="301">
        <v>598956</v>
      </c>
      <c r="I31" s="301">
        <v>9932866</v>
      </c>
      <c r="J31" s="301"/>
      <c r="K31" s="301"/>
      <c r="L31" s="301"/>
      <c r="M31" s="301"/>
      <c r="N31" s="301"/>
      <c r="O31" s="301"/>
      <c r="P31" s="301"/>
      <c r="Q31" s="301"/>
      <c r="R31" s="301"/>
      <c r="S31" s="301"/>
      <c r="T31" s="301"/>
      <c r="U31" s="301"/>
      <c r="V31" s="301"/>
      <c r="W31" s="301"/>
    </row>
    <row r="32" spans="2:23">
      <c r="B32" s="42">
        <v>211</v>
      </c>
      <c r="C32" s="51" t="s">
        <v>358</v>
      </c>
      <c r="D32" s="305" t="s">
        <v>59</v>
      </c>
      <c r="E32" s="264"/>
      <c r="F32" s="264"/>
      <c r="G32" s="264"/>
      <c r="H32" s="264"/>
      <c r="I32" s="264">
        <v>1724508</v>
      </c>
      <c r="J32" s="264"/>
      <c r="K32" s="264"/>
      <c r="L32" s="264"/>
      <c r="M32" s="264"/>
      <c r="N32" s="264"/>
      <c r="O32" s="264"/>
      <c r="P32" s="264"/>
      <c r="Q32" s="264"/>
      <c r="R32" s="264"/>
      <c r="S32" s="264"/>
      <c r="T32" s="264"/>
      <c r="U32" s="264"/>
      <c r="V32" s="264"/>
      <c r="W32" s="264"/>
    </row>
    <row r="33" spans="2:23">
      <c r="B33" s="42">
        <v>212</v>
      </c>
      <c r="C33" s="51" t="s">
        <v>359</v>
      </c>
      <c r="D33" s="305" t="s">
        <v>59</v>
      </c>
      <c r="E33" s="264"/>
      <c r="F33" s="264"/>
      <c r="G33" s="264"/>
      <c r="H33" s="264"/>
      <c r="I33" s="264"/>
      <c r="J33" s="264"/>
      <c r="K33" s="264"/>
      <c r="L33" s="264"/>
      <c r="M33" s="264"/>
      <c r="N33" s="264"/>
      <c r="O33" s="264"/>
      <c r="P33" s="264"/>
      <c r="Q33" s="264"/>
      <c r="R33" s="264"/>
      <c r="S33" s="264"/>
      <c r="T33" s="264"/>
      <c r="U33" s="264"/>
      <c r="V33" s="264"/>
      <c r="W33" s="264"/>
    </row>
    <row r="34" spans="2:23">
      <c r="B34" s="42">
        <v>213</v>
      </c>
      <c r="C34" s="51" t="s">
        <v>360</v>
      </c>
      <c r="D34" s="305" t="s">
        <v>59</v>
      </c>
      <c r="E34" s="264"/>
      <c r="F34" s="264"/>
      <c r="G34" s="264"/>
      <c r="H34" s="264"/>
      <c r="I34" s="264"/>
      <c r="J34" s="264"/>
      <c r="K34" s="264"/>
      <c r="L34" s="264"/>
      <c r="M34" s="264"/>
      <c r="N34" s="264"/>
      <c r="O34" s="264"/>
      <c r="P34" s="264"/>
      <c r="Q34" s="264"/>
      <c r="R34" s="264"/>
      <c r="S34" s="264"/>
      <c r="T34" s="264"/>
      <c r="U34" s="264"/>
      <c r="V34" s="264"/>
      <c r="W34" s="264"/>
    </row>
    <row r="35" spans="2:23">
      <c r="B35" s="42">
        <v>214</v>
      </c>
      <c r="C35" s="51" t="s">
        <v>361</v>
      </c>
      <c r="D35" s="305" t="s">
        <v>59</v>
      </c>
      <c r="E35" s="264"/>
      <c r="F35" s="264"/>
      <c r="G35" s="264"/>
      <c r="H35" s="264"/>
      <c r="I35" s="264"/>
      <c r="J35" s="264"/>
      <c r="K35" s="264"/>
      <c r="L35" s="264"/>
      <c r="M35" s="264"/>
      <c r="N35" s="264"/>
      <c r="O35" s="264"/>
      <c r="P35" s="264"/>
      <c r="Q35" s="264"/>
      <c r="R35" s="264"/>
      <c r="S35" s="264"/>
      <c r="T35" s="264"/>
      <c r="U35" s="264"/>
      <c r="V35" s="264"/>
      <c r="W35" s="264"/>
    </row>
    <row r="36" spans="2:23">
      <c r="B36" s="42">
        <v>215</v>
      </c>
      <c r="C36" s="51" t="s">
        <v>362</v>
      </c>
      <c r="D36" s="305" t="s">
        <v>59</v>
      </c>
      <c r="E36" s="264">
        <v>55000</v>
      </c>
      <c r="F36" s="264">
        <v>1207650</v>
      </c>
      <c r="G36" s="264">
        <v>6015000</v>
      </c>
      <c r="H36" s="264">
        <v>455249</v>
      </c>
      <c r="I36" s="264">
        <v>2486207</v>
      </c>
      <c r="J36" s="264"/>
      <c r="K36" s="264"/>
      <c r="L36" s="264"/>
      <c r="M36" s="264"/>
      <c r="N36" s="264"/>
      <c r="O36" s="264"/>
      <c r="P36" s="264"/>
      <c r="Q36" s="264"/>
      <c r="R36" s="264"/>
      <c r="S36" s="264"/>
      <c r="T36" s="264"/>
      <c r="U36" s="264"/>
      <c r="V36" s="264"/>
      <c r="W36" s="264"/>
    </row>
    <row r="37" spans="2:23">
      <c r="B37" s="42">
        <v>216</v>
      </c>
      <c r="C37" s="51" t="s">
        <v>363</v>
      </c>
      <c r="D37" s="305" t="s">
        <v>59</v>
      </c>
      <c r="E37" s="264">
        <v>305541</v>
      </c>
      <c r="F37" s="264">
        <v>256781</v>
      </c>
      <c r="G37" s="264">
        <v>1364649</v>
      </c>
      <c r="H37" s="264">
        <v>143707</v>
      </c>
      <c r="I37" s="264">
        <v>5722151</v>
      </c>
      <c r="J37" s="264"/>
      <c r="K37" s="264"/>
      <c r="L37" s="264"/>
      <c r="M37" s="264"/>
      <c r="N37" s="264"/>
      <c r="O37" s="264"/>
      <c r="P37" s="264"/>
      <c r="Q37" s="264"/>
      <c r="R37" s="264"/>
      <c r="S37" s="264"/>
      <c r="T37" s="264"/>
      <c r="U37" s="264"/>
      <c r="V37" s="264"/>
      <c r="W37" s="264"/>
    </row>
    <row r="38" spans="2:23">
      <c r="B38" s="42">
        <v>219</v>
      </c>
      <c r="C38" s="51" t="s">
        <v>364</v>
      </c>
      <c r="D38" s="305" t="s">
        <v>59</v>
      </c>
      <c r="E38" s="264"/>
      <c r="F38" s="264"/>
      <c r="G38" s="264"/>
      <c r="H38" s="264"/>
      <c r="I38" s="264"/>
      <c r="J38" s="264"/>
      <c r="K38" s="264"/>
      <c r="L38" s="264"/>
      <c r="M38" s="264"/>
      <c r="N38" s="264"/>
      <c r="O38" s="264"/>
      <c r="P38" s="264"/>
      <c r="Q38" s="264"/>
      <c r="R38" s="264"/>
      <c r="S38" s="264"/>
      <c r="T38" s="264"/>
      <c r="U38" s="264"/>
      <c r="V38" s="264"/>
      <c r="W38" s="264"/>
    </row>
    <row r="39" spans="2:23" s="169" customFormat="1">
      <c r="B39" s="43">
        <v>220</v>
      </c>
      <c r="C39" s="50" t="s">
        <v>365</v>
      </c>
      <c r="D39" s="168"/>
      <c r="E39" s="301">
        <v>49369196</v>
      </c>
      <c r="F39" s="301">
        <v>108268893</v>
      </c>
      <c r="G39" s="301">
        <v>125639869</v>
      </c>
      <c r="H39" s="301">
        <v>130695959</v>
      </c>
      <c r="I39" s="301">
        <v>119742444</v>
      </c>
      <c r="J39" s="301"/>
      <c r="K39" s="301"/>
      <c r="L39" s="301"/>
      <c r="M39" s="301"/>
      <c r="N39" s="301"/>
      <c r="O39" s="301"/>
      <c r="P39" s="301"/>
      <c r="Q39" s="301"/>
      <c r="R39" s="301"/>
      <c r="S39" s="301"/>
      <c r="T39" s="301"/>
      <c r="U39" s="301"/>
      <c r="V39" s="301"/>
      <c r="W39" s="301"/>
    </row>
    <row r="40" spans="2:23">
      <c r="B40" s="42">
        <v>221</v>
      </c>
      <c r="C40" s="51" t="s">
        <v>366</v>
      </c>
      <c r="D40" s="302" t="s">
        <v>63</v>
      </c>
      <c r="E40" s="264">
        <v>48549323</v>
      </c>
      <c r="F40" s="264">
        <v>88298602</v>
      </c>
      <c r="G40" s="264">
        <v>103813162</v>
      </c>
      <c r="H40" s="264">
        <v>106067440</v>
      </c>
      <c r="I40" s="264">
        <v>101344662</v>
      </c>
      <c r="J40" s="264"/>
      <c r="K40" s="264"/>
      <c r="L40" s="264"/>
      <c r="M40" s="264"/>
      <c r="N40" s="264"/>
      <c r="O40" s="264"/>
      <c r="P40" s="264"/>
      <c r="Q40" s="264"/>
      <c r="R40" s="264"/>
      <c r="S40" s="264"/>
      <c r="T40" s="264"/>
      <c r="U40" s="264"/>
      <c r="V40" s="264"/>
      <c r="W40" s="264"/>
    </row>
    <row r="41" spans="2:23">
      <c r="B41" s="42">
        <v>222</v>
      </c>
      <c r="C41" s="51" t="s">
        <v>367</v>
      </c>
      <c r="D41" s="165"/>
      <c r="E41" s="264">
        <v>1479208</v>
      </c>
      <c r="F41" s="264">
        <v>21348251</v>
      </c>
      <c r="G41" s="264">
        <v>24847891</v>
      </c>
      <c r="H41" s="264">
        <v>31311619</v>
      </c>
      <c r="I41" s="264">
        <v>31200022</v>
      </c>
      <c r="J41" s="264"/>
      <c r="K41" s="264"/>
      <c r="L41" s="264"/>
      <c r="M41" s="264"/>
      <c r="N41" s="264"/>
      <c r="O41" s="264"/>
      <c r="P41" s="264"/>
      <c r="Q41" s="264"/>
      <c r="R41" s="264"/>
      <c r="S41" s="264"/>
      <c r="T41" s="264"/>
      <c r="U41" s="264"/>
      <c r="V41" s="264"/>
      <c r="W41" s="264"/>
    </row>
    <row r="42" spans="2:23">
      <c r="B42" s="42">
        <v>223</v>
      </c>
      <c r="C42" s="51" t="s">
        <v>368</v>
      </c>
      <c r="D42" s="165"/>
      <c r="E42" s="264">
        <v>-659336</v>
      </c>
      <c r="F42" s="264">
        <v>-1377959</v>
      </c>
      <c r="G42" s="264">
        <v>-3021184</v>
      </c>
      <c r="H42" s="264">
        <v>-6683100</v>
      </c>
      <c r="I42" s="264">
        <v>-12802240</v>
      </c>
      <c r="J42" s="264"/>
      <c r="K42" s="264"/>
      <c r="L42" s="264"/>
      <c r="M42" s="264"/>
      <c r="N42" s="264"/>
      <c r="O42" s="264"/>
      <c r="P42" s="264"/>
      <c r="Q42" s="264"/>
      <c r="R42" s="264"/>
      <c r="S42" s="264"/>
      <c r="T42" s="264"/>
      <c r="U42" s="264"/>
      <c r="V42" s="264"/>
      <c r="W42" s="264"/>
    </row>
    <row r="43" spans="2:23">
      <c r="B43" s="42">
        <v>224</v>
      </c>
      <c r="C43" s="51" t="s">
        <v>369</v>
      </c>
      <c r="D43" s="302" t="s">
        <v>63</v>
      </c>
      <c r="E43" s="264"/>
      <c r="F43" s="264"/>
      <c r="G43" s="264"/>
      <c r="H43" s="264"/>
      <c r="I43" s="264"/>
      <c r="J43" s="264"/>
      <c r="K43" s="264"/>
      <c r="L43" s="264"/>
      <c r="M43" s="264"/>
      <c r="N43" s="264"/>
      <c r="O43" s="264"/>
      <c r="P43" s="264"/>
      <c r="Q43" s="264"/>
      <c r="R43" s="264"/>
      <c r="S43" s="264"/>
      <c r="T43" s="264"/>
      <c r="U43" s="264"/>
      <c r="V43" s="264"/>
      <c r="W43" s="264"/>
    </row>
    <row r="44" spans="2:23">
      <c r="B44" s="42">
        <v>225</v>
      </c>
      <c r="C44" s="51" t="s">
        <v>367</v>
      </c>
      <c r="D44" s="165"/>
      <c r="E44" s="264"/>
      <c r="F44" s="264"/>
      <c r="G44" s="264"/>
      <c r="H44" s="264"/>
      <c r="I44" s="264"/>
      <c r="J44" s="264"/>
      <c r="K44" s="264"/>
      <c r="L44" s="264"/>
      <c r="M44" s="264"/>
      <c r="N44" s="264"/>
      <c r="O44" s="264"/>
      <c r="P44" s="264"/>
      <c r="Q44" s="264"/>
      <c r="R44" s="264"/>
      <c r="S44" s="264"/>
      <c r="T44" s="264"/>
      <c r="U44" s="264"/>
      <c r="V44" s="264"/>
      <c r="W44" s="264"/>
    </row>
    <row r="45" spans="2:23">
      <c r="B45" s="42">
        <v>226</v>
      </c>
      <c r="C45" s="51" t="s">
        <v>368</v>
      </c>
      <c r="D45" s="165"/>
      <c r="E45" s="264"/>
      <c r="F45" s="264"/>
      <c r="G45" s="264"/>
      <c r="H45" s="264"/>
      <c r="I45" s="264"/>
      <c r="J45" s="264"/>
      <c r="K45" s="264"/>
      <c r="L45" s="264"/>
      <c r="M45" s="264"/>
      <c r="N45" s="264"/>
      <c r="O45" s="264"/>
      <c r="P45" s="264"/>
      <c r="Q45" s="264"/>
      <c r="R45" s="264"/>
      <c r="S45" s="264"/>
      <c r="T45" s="264"/>
      <c r="U45" s="264"/>
      <c r="V45" s="264"/>
      <c r="W45" s="264"/>
    </row>
    <row r="46" spans="2:23">
      <c r="B46" s="42">
        <v>227</v>
      </c>
      <c r="C46" s="51" t="s">
        <v>370</v>
      </c>
      <c r="D46" s="303" t="s">
        <v>65</v>
      </c>
      <c r="E46" s="264">
        <v>819873</v>
      </c>
      <c r="F46" s="264">
        <v>19970291</v>
      </c>
      <c r="G46" s="264">
        <v>21826707</v>
      </c>
      <c r="H46" s="264">
        <v>24628519</v>
      </c>
      <c r="I46" s="264">
        <v>18397782</v>
      </c>
      <c r="J46" s="264"/>
      <c r="K46" s="264"/>
      <c r="L46" s="264"/>
      <c r="M46" s="264"/>
      <c r="N46" s="264"/>
      <c r="O46" s="264"/>
      <c r="P46" s="264"/>
      <c r="Q46" s="264"/>
      <c r="R46" s="264"/>
      <c r="S46" s="264"/>
      <c r="T46" s="264"/>
      <c r="U46" s="264"/>
      <c r="V46" s="264"/>
      <c r="W46" s="264"/>
    </row>
    <row r="47" spans="2:23">
      <c r="B47" s="42">
        <v>228</v>
      </c>
      <c r="C47" s="51" t="s">
        <v>367</v>
      </c>
      <c r="D47" s="165"/>
      <c r="E47" s="264"/>
      <c r="F47" s="264"/>
      <c r="G47" s="264"/>
      <c r="H47" s="264"/>
      <c r="I47" s="264"/>
      <c r="J47" s="264"/>
      <c r="K47" s="264"/>
      <c r="L47" s="264"/>
      <c r="M47" s="264"/>
      <c r="N47" s="264"/>
      <c r="O47" s="264"/>
      <c r="P47" s="264"/>
      <c r="Q47" s="264"/>
      <c r="R47" s="264"/>
      <c r="S47" s="264"/>
      <c r="T47" s="264"/>
      <c r="U47" s="264"/>
      <c r="V47" s="264"/>
      <c r="W47" s="264"/>
    </row>
    <row r="48" spans="2:23">
      <c r="B48" s="42">
        <v>229</v>
      </c>
      <c r="C48" s="51" t="s">
        <v>368</v>
      </c>
      <c r="D48" s="165"/>
      <c r="E48" s="264"/>
      <c r="F48" s="264"/>
      <c r="G48" s="264"/>
      <c r="H48" s="264"/>
      <c r="I48" s="264"/>
      <c r="J48" s="264"/>
      <c r="K48" s="264"/>
      <c r="L48" s="264"/>
      <c r="M48" s="264"/>
      <c r="N48" s="264"/>
      <c r="O48" s="264"/>
      <c r="P48" s="264"/>
      <c r="Q48" s="264"/>
      <c r="R48" s="264"/>
      <c r="S48" s="264"/>
      <c r="T48" s="264"/>
      <c r="U48" s="264"/>
      <c r="V48" s="264"/>
      <c r="W48" s="264"/>
    </row>
    <row r="49" spans="2:23" s="169" customFormat="1">
      <c r="B49" s="43">
        <v>230</v>
      </c>
      <c r="C49" s="50" t="s">
        <v>371</v>
      </c>
      <c r="D49" s="300" t="s">
        <v>61</v>
      </c>
      <c r="E49" s="301">
        <v>26743667</v>
      </c>
      <c r="F49" s="301">
        <v>33872258</v>
      </c>
      <c r="G49" s="301">
        <v>34725866</v>
      </c>
      <c r="H49" s="301">
        <v>35133258</v>
      </c>
      <c r="I49" s="301">
        <v>38307078</v>
      </c>
      <c r="J49" s="301"/>
      <c r="K49" s="301"/>
      <c r="L49" s="301"/>
      <c r="M49" s="301"/>
      <c r="N49" s="301"/>
      <c r="O49" s="301"/>
      <c r="P49" s="301"/>
      <c r="Q49" s="301"/>
      <c r="R49" s="301"/>
      <c r="S49" s="301"/>
      <c r="T49" s="301"/>
      <c r="U49" s="301"/>
      <c r="V49" s="301"/>
      <c r="W49" s="301"/>
    </row>
    <row r="50" spans="2:23">
      <c r="B50" s="42">
        <v>231</v>
      </c>
      <c r="C50" s="51" t="s">
        <v>372</v>
      </c>
      <c r="D50" s="165"/>
      <c r="E50" s="264">
        <v>30173967</v>
      </c>
      <c r="F50" s="264">
        <v>39078518</v>
      </c>
      <c r="G50" s="264">
        <v>41248115</v>
      </c>
      <c r="H50" s="264">
        <v>43552966</v>
      </c>
      <c r="I50" s="264">
        <v>48445892</v>
      </c>
      <c r="J50" s="264"/>
      <c r="K50" s="264"/>
      <c r="L50" s="264"/>
      <c r="M50" s="264"/>
      <c r="N50" s="264"/>
      <c r="O50" s="264"/>
      <c r="P50" s="264"/>
      <c r="Q50" s="264"/>
      <c r="R50" s="264"/>
      <c r="S50" s="264"/>
      <c r="T50" s="264"/>
      <c r="U50" s="264"/>
      <c r="V50" s="264"/>
      <c r="W50" s="264"/>
    </row>
    <row r="51" spans="2:23">
      <c r="B51" s="42">
        <v>232</v>
      </c>
      <c r="C51" s="51" t="s">
        <v>373</v>
      </c>
      <c r="D51" s="165"/>
      <c r="E51" s="264">
        <v>-3430301</v>
      </c>
      <c r="F51" s="264">
        <v>-5206260</v>
      </c>
      <c r="G51" s="264">
        <v>-6522249</v>
      </c>
      <c r="H51" s="264">
        <v>-8419708</v>
      </c>
      <c r="I51" s="264">
        <v>-10138814</v>
      </c>
      <c r="J51" s="264"/>
      <c r="K51" s="264"/>
      <c r="L51" s="264"/>
      <c r="M51" s="264"/>
      <c r="N51" s="264"/>
      <c r="O51" s="264"/>
      <c r="P51" s="264"/>
      <c r="Q51" s="264"/>
      <c r="R51" s="264"/>
      <c r="S51" s="264"/>
      <c r="T51" s="264"/>
      <c r="U51" s="264"/>
      <c r="V51" s="264"/>
      <c r="W51" s="264"/>
    </row>
    <row r="52" spans="2:23" s="169" customFormat="1">
      <c r="B52" s="43">
        <v>240</v>
      </c>
      <c r="C52" s="50" t="s">
        <v>374</v>
      </c>
      <c r="D52" s="302" t="s">
        <v>63</v>
      </c>
      <c r="E52" s="301">
        <v>58529123</v>
      </c>
      <c r="F52" s="301">
        <v>48057748</v>
      </c>
      <c r="G52" s="301">
        <v>67921619</v>
      </c>
      <c r="H52" s="301">
        <v>83325334</v>
      </c>
      <c r="I52" s="301">
        <v>105708010</v>
      </c>
      <c r="J52" s="301"/>
      <c r="K52" s="301"/>
      <c r="L52" s="301"/>
      <c r="M52" s="301"/>
      <c r="N52" s="301"/>
      <c r="O52" s="301"/>
      <c r="P52" s="301"/>
      <c r="Q52" s="301"/>
      <c r="R52" s="301"/>
      <c r="S52" s="301"/>
      <c r="T52" s="301"/>
      <c r="U52" s="301"/>
      <c r="V52" s="301"/>
      <c r="W52" s="301"/>
    </row>
    <row r="53" spans="2:23">
      <c r="B53" s="42">
        <v>241</v>
      </c>
      <c r="C53" s="51" t="s">
        <v>375</v>
      </c>
      <c r="D53" s="165"/>
      <c r="E53" s="264"/>
      <c r="F53" s="264"/>
      <c r="G53" s="264"/>
      <c r="H53" s="264"/>
      <c r="I53" s="264"/>
      <c r="J53" s="264"/>
      <c r="K53" s="264"/>
      <c r="L53" s="264"/>
      <c r="M53" s="264"/>
      <c r="N53" s="264"/>
      <c r="O53" s="264"/>
      <c r="P53" s="264"/>
      <c r="Q53" s="264"/>
      <c r="R53" s="264"/>
      <c r="S53" s="264"/>
      <c r="T53" s="264"/>
      <c r="U53" s="264"/>
      <c r="V53" s="264"/>
      <c r="W53" s="264"/>
    </row>
    <row r="54" spans="2:23">
      <c r="B54" s="42">
        <v>242</v>
      </c>
      <c r="C54" s="51" t="s">
        <v>376</v>
      </c>
      <c r="D54" s="165"/>
      <c r="E54" s="264">
        <v>58529123</v>
      </c>
      <c r="F54" s="264">
        <v>48057748</v>
      </c>
      <c r="G54" s="264">
        <v>67921619</v>
      </c>
      <c r="H54" s="264">
        <v>83325334</v>
      </c>
      <c r="I54" s="264">
        <v>105708010</v>
      </c>
      <c r="J54" s="264"/>
      <c r="K54" s="264"/>
      <c r="L54" s="264"/>
      <c r="M54" s="264"/>
      <c r="N54" s="264"/>
      <c r="O54" s="264"/>
      <c r="P54" s="264"/>
      <c r="Q54" s="264"/>
      <c r="R54" s="264"/>
      <c r="S54" s="264"/>
      <c r="T54" s="264"/>
      <c r="U54" s="264"/>
      <c r="V54" s="264"/>
      <c r="W54" s="264"/>
    </row>
    <row r="55" spans="2:23" s="169" customFormat="1">
      <c r="B55" s="43">
        <v>250</v>
      </c>
      <c r="C55" s="50" t="s">
        <v>377</v>
      </c>
      <c r="D55" s="300" t="s">
        <v>61</v>
      </c>
      <c r="E55" s="301">
        <v>6068158</v>
      </c>
      <c r="F55" s="301">
        <v>3950882</v>
      </c>
      <c r="G55" s="301">
        <v>7413828</v>
      </c>
      <c r="H55" s="301">
        <v>9230804</v>
      </c>
      <c r="I55" s="301">
        <v>11145373</v>
      </c>
      <c r="J55" s="301"/>
      <c r="K55" s="301"/>
      <c r="L55" s="301"/>
      <c r="M55" s="301"/>
      <c r="N55" s="301"/>
      <c r="O55" s="301"/>
      <c r="P55" s="301"/>
      <c r="Q55" s="301"/>
      <c r="R55" s="301"/>
      <c r="S55" s="301"/>
      <c r="T55" s="301"/>
      <c r="U55" s="301"/>
      <c r="V55" s="301"/>
      <c r="W55" s="301"/>
    </row>
    <row r="56" spans="2:23">
      <c r="B56" s="42">
        <v>251</v>
      </c>
      <c r="C56" s="51" t="s">
        <v>378</v>
      </c>
      <c r="D56" s="165"/>
      <c r="E56" s="264"/>
      <c r="F56" s="264"/>
      <c r="G56" s="264"/>
      <c r="H56" s="264"/>
      <c r="I56" s="264"/>
      <c r="J56" s="264"/>
      <c r="K56" s="264"/>
      <c r="L56" s="264"/>
      <c r="M56" s="264"/>
      <c r="N56" s="264"/>
      <c r="O56" s="264"/>
      <c r="P56" s="264"/>
      <c r="Q56" s="264"/>
      <c r="R56" s="264"/>
      <c r="S56" s="264"/>
      <c r="T56" s="264"/>
      <c r="U56" s="264"/>
      <c r="V56" s="264"/>
      <c r="W56" s="264"/>
    </row>
    <row r="57" spans="2:23">
      <c r="B57" s="42">
        <v>252</v>
      </c>
      <c r="C57" s="51" t="s">
        <v>379</v>
      </c>
      <c r="D57" s="165"/>
      <c r="E57" s="264">
        <v>2546386</v>
      </c>
      <c r="F57" s="264">
        <v>2147468</v>
      </c>
      <c r="G57" s="264">
        <v>2725460</v>
      </c>
      <c r="H57" s="264">
        <v>293494</v>
      </c>
      <c r="I57" s="264">
        <v>484027</v>
      </c>
      <c r="J57" s="264"/>
      <c r="K57" s="264"/>
      <c r="L57" s="264"/>
      <c r="M57" s="264"/>
      <c r="N57" s="264"/>
      <c r="O57" s="264"/>
      <c r="P57" s="264"/>
      <c r="Q57" s="264"/>
      <c r="R57" s="264"/>
      <c r="S57" s="264"/>
      <c r="T57" s="264"/>
      <c r="U57" s="264"/>
      <c r="V57" s="264"/>
      <c r="W57" s="264"/>
    </row>
    <row r="58" spans="2:23">
      <c r="B58" s="42">
        <v>253</v>
      </c>
      <c r="C58" s="51" t="s">
        <v>380</v>
      </c>
      <c r="D58" s="165"/>
      <c r="E58" s="264">
        <v>1594869</v>
      </c>
      <c r="F58" s="264">
        <v>1707083</v>
      </c>
      <c r="G58" s="264">
        <v>4576705</v>
      </c>
      <c r="H58" s="264">
        <v>8831485</v>
      </c>
      <c r="I58" s="264">
        <v>10691516</v>
      </c>
      <c r="J58" s="264"/>
      <c r="K58" s="264"/>
      <c r="L58" s="264"/>
      <c r="M58" s="264"/>
      <c r="N58" s="264"/>
      <c r="O58" s="264"/>
      <c r="P58" s="264"/>
      <c r="Q58" s="264"/>
      <c r="R58" s="264"/>
      <c r="S58" s="264"/>
      <c r="T58" s="264"/>
      <c r="U58" s="264"/>
      <c r="V58" s="264"/>
      <c r="W58" s="264"/>
    </row>
    <row r="59" spans="2:23">
      <c r="B59" s="42">
        <v>254</v>
      </c>
      <c r="C59" s="51" t="s">
        <v>381</v>
      </c>
      <c r="D59" s="165"/>
      <c r="E59" s="264">
        <v>-72778</v>
      </c>
      <c r="F59" s="264">
        <v>-188865</v>
      </c>
      <c r="G59" s="264">
        <v>-123532</v>
      </c>
      <c r="H59" s="264">
        <v>-45470</v>
      </c>
      <c r="I59" s="264">
        <v>-166336</v>
      </c>
      <c r="J59" s="264"/>
      <c r="K59" s="264"/>
      <c r="L59" s="264"/>
      <c r="M59" s="264"/>
      <c r="N59" s="264"/>
      <c r="O59" s="264"/>
      <c r="P59" s="264"/>
      <c r="Q59" s="264"/>
      <c r="R59" s="264"/>
      <c r="S59" s="264"/>
      <c r="T59" s="264"/>
      <c r="U59" s="264"/>
      <c r="V59" s="264"/>
      <c r="W59" s="264"/>
    </row>
    <row r="60" spans="2:23">
      <c r="B60" s="42">
        <v>255</v>
      </c>
      <c r="C60" s="51" t="s">
        <v>382</v>
      </c>
      <c r="D60" s="165"/>
      <c r="E60" s="264">
        <v>1999680</v>
      </c>
      <c r="F60" s="264">
        <v>285195</v>
      </c>
      <c r="G60" s="264">
        <v>235195</v>
      </c>
      <c r="H60" s="264">
        <v>151295</v>
      </c>
      <c r="I60" s="264">
        <v>136166</v>
      </c>
      <c r="J60" s="264"/>
      <c r="K60" s="264"/>
      <c r="L60" s="264"/>
      <c r="M60" s="264"/>
      <c r="N60" s="264"/>
      <c r="O60" s="264"/>
      <c r="P60" s="264"/>
      <c r="Q60" s="264"/>
      <c r="R60" s="264"/>
      <c r="S60" s="264"/>
      <c r="T60" s="264"/>
      <c r="U60" s="264"/>
      <c r="V60" s="264"/>
      <c r="W60" s="264"/>
    </row>
    <row r="61" spans="2:23" s="169" customFormat="1">
      <c r="B61" s="43">
        <v>260</v>
      </c>
      <c r="C61" s="50" t="s">
        <v>383</v>
      </c>
      <c r="D61" s="168"/>
      <c r="E61" s="301">
        <v>7416007</v>
      </c>
      <c r="F61" s="301">
        <v>8359525</v>
      </c>
      <c r="G61" s="301">
        <v>10920667</v>
      </c>
      <c r="H61" s="301">
        <v>6881429</v>
      </c>
      <c r="I61" s="301">
        <v>8690249</v>
      </c>
      <c r="J61" s="301"/>
      <c r="K61" s="301"/>
      <c r="L61" s="301"/>
      <c r="M61" s="301"/>
      <c r="N61" s="301"/>
      <c r="O61" s="301"/>
      <c r="P61" s="301"/>
      <c r="Q61" s="301"/>
      <c r="R61" s="301"/>
      <c r="S61" s="301"/>
      <c r="T61" s="301"/>
      <c r="U61" s="301"/>
      <c r="V61" s="301"/>
      <c r="W61" s="301"/>
    </row>
    <row r="62" spans="2:23">
      <c r="B62" s="42">
        <v>261</v>
      </c>
      <c r="C62" s="51" t="s">
        <v>384</v>
      </c>
      <c r="D62" s="165" t="s">
        <v>59</v>
      </c>
      <c r="E62" s="264">
        <v>5570349</v>
      </c>
      <c r="F62" s="264">
        <v>6681695</v>
      </c>
      <c r="G62" s="264">
        <v>8342477</v>
      </c>
      <c r="H62" s="264">
        <v>5714976</v>
      </c>
      <c r="I62" s="264">
        <v>6028493</v>
      </c>
      <c r="J62" s="264"/>
      <c r="K62" s="264"/>
      <c r="L62" s="264"/>
      <c r="M62" s="264"/>
      <c r="N62" s="264"/>
      <c r="O62" s="264"/>
      <c r="P62" s="264"/>
      <c r="Q62" s="264"/>
      <c r="R62" s="264"/>
      <c r="S62" s="264"/>
      <c r="T62" s="264"/>
      <c r="U62" s="264"/>
      <c r="V62" s="264"/>
      <c r="W62" s="264"/>
    </row>
    <row r="63" spans="2:23">
      <c r="B63" s="42">
        <v>262</v>
      </c>
      <c r="C63" s="51" t="s">
        <v>385</v>
      </c>
      <c r="D63" s="165" t="s">
        <v>59</v>
      </c>
      <c r="E63" s="264">
        <v>614227</v>
      </c>
      <c r="F63" s="264">
        <v>645493</v>
      </c>
      <c r="G63" s="264">
        <v>1545853</v>
      </c>
      <c r="H63" s="264">
        <v>867364</v>
      </c>
      <c r="I63" s="264">
        <v>1629419</v>
      </c>
      <c r="J63" s="264"/>
      <c r="K63" s="264"/>
      <c r="L63" s="264"/>
      <c r="M63" s="264"/>
      <c r="N63" s="264"/>
      <c r="O63" s="264"/>
      <c r="P63" s="264"/>
      <c r="Q63" s="264"/>
      <c r="R63" s="264"/>
      <c r="S63" s="264"/>
      <c r="T63" s="264"/>
      <c r="U63" s="264"/>
      <c r="V63" s="264"/>
      <c r="W63" s="264"/>
    </row>
    <row r="64" spans="2:23">
      <c r="B64" s="42">
        <v>263</v>
      </c>
      <c r="C64" s="51" t="s">
        <v>386</v>
      </c>
      <c r="D64" s="305" t="s">
        <v>59</v>
      </c>
      <c r="E64" s="264"/>
      <c r="F64" s="264"/>
      <c r="G64" s="264"/>
      <c r="H64" s="264"/>
      <c r="I64" s="264"/>
      <c r="J64" s="264"/>
      <c r="K64" s="264"/>
      <c r="L64" s="264"/>
      <c r="M64" s="264"/>
      <c r="N64" s="264"/>
      <c r="O64" s="264"/>
      <c r="P64" s="264"/>
      <c r="Q64" s="264"/>
      <c r="R64" s="264"/>
      <c r="S64" s="264"/>
      <c r="T64" s="264"/>
      <c r="U64" s="264"/>
      <c r="V64" s="264"/>
      <c r="W64" s="264"/>
    </row>
    <row r="65" spans="2:27">
      <c r="B65" s="42">
        <v>268</v>
      </c>
      <c r="C65" s="51" t="s">
        <v>387</v>
      </c>
      <c r="D65" s="305" t="s">
        <v>59</v>
      </c>
      <c r="E65" s="264">
        <v>1231431</v>
      </c>
      <c r="F65" s="264">
        <v>1032337</v>
      </c>
      <c r="G65" s="264">
        <v>1032337</v>
      </c>
      <c r="H65" s="264">
        <v>299089</v>
      </c>
      <c r="I65" s="264">
        <v>1032337</v>
      </c>
      <c r="J65" s="264"/>
      <c r="K65" s="264"/>
      <c r="L65" s="264"/>
      <c r="M65" s="264"/>
      <c r="N65" s="264"/>
      <c r="O65" s="264"/>
      <c r="P65" s="264"/>
      <c r="Q65" s="264"/>
      <c r="R65" s="264"/>
      <c r="S65" s="264"/>
      <c r="T65" s="264"/>
      <c r="U65" s="264"/>
      <c r="V65" s="264"/>
      <c r="W65" s="264"/>
    </row>
    <row r="66" spans="2:27">
      <c r="B66" s="42">
        <v>269</v>
      </c>
      <c r="C66" s="51" t="s">
        <v>388</v>
      </c>
      <c r="D66" s="305" t="s">
        <v>59</v>
      </c>
      <c r="E66" s="264">
        <v>4208459</v>
      </c>
      <c r="F66" s="264">
        <v>2374139</v>
      </c>
      <c r="G66" s="264">
        <v>2488464</v>
      </c>
      <c r="H66" s="264">
        <v>1144455</v>
      </c>
      <c r="I66" s="264">
        <v>764567</v>
      </c>
      <c r="J66" s="264"/>
      <c r="K66" s="264"/>
      <c r="L66" s="264"/>
      <c r="M66" s="264"/>
      <c r="N66" s="264"/>
      <c r="O66" s="264"/>
      <c r="P66" s="264"/>
      <c r="Q66" s="264"/>
      <c r="R66" s="264"/>
      <c r="S66" s="264"/>
      <c r="T66" s="264"/>
      <c r="U66" s="264"/>
      <c r="V66" s="264"/>
      <c r="W66" s="264"/>
    </row>
    <row r="67" spans="2:27" s="169" customFormat="1" ht="18.75" customHeight="1">
      <c r="B67" s="52">
        <v>270</v>
      </c>
      <c r="C67" s="53" t="s">
        <v>389</v>
      </c>
      <c r="D67" s="54"/>
      <c r="E67" s="301">
        <v>287974177</v>
      </c>
      <c r="F67" s="301">
        <v>403740754</v>
      </c>
      <c r="G67" s="301">
        <v>422503767</v>
      </c>
      <c r="H67" s="301">
        <v>428384465</v>
      </c>
      <c r="I67" s="301">
        <v>577407240</v>
      </c>
      <c r="J67" s="301"/>
      <c r="K67" s="301"/>
      <c r="L67" s="301"/>
      <c r="M67" s="301"/>
      <c r="N67" s="301"/>
      <c r="O67" s="301"/>
      <c r="P67" s="301"/>
      <c r="Q67" s="301"/>
      <c r="R67" s="301"/>
      <c r="S67" s="301"/>
      <c r="T67" s="301"/>
      <c r="U67" s="301"/>
      <c r="V67" s="301"/>
      <c r="W67" s="301"/>
    </row>
    <row r="68" spans="2:27" s="169" customFormat="1" ht="18.75" customHeight="1">
      <c r="B68" s="44">
        <v>300</v>
      </c>
      <c r="C68" s="49" t="s">
        <v>390</v>
      </c>
      <c r="D68" s="168"/>
      <c r="E68" s="301">
        <v>188960462</v>
      </c>
      <c r="F68" s="301">
        <v>283152165</v>
      </c>
      <c r="G68" s="301">
        <v>286651052</v>
      </c>
      <c r="H68" s="301">
        <v>268812599</v>
      </c>
      <c r="I68" s="301">
        <v>441751791</v>
      </c>
      <c r="J68" s="301"/>
      <c r="K68" s="301"/>
      <c r="L68" s="301"/>
      <c r="M68" s="301"/>
      <c r="N68" s="301"/>
      <c r="O68" s="301"/>
      <c r="P68" s="301"/>
      <c r="Q68" s="301"/>
      <c r="R68" s="301"/>
      <c r="S68" s="301"/>
      <c r="T68" s="301"/>
      <c r="U68" s="301"/>
      <c r="V68" s="301"/>
      <c r="W68" s="301"/>
    </row>
    <row r="69" spans="2:27" s="169" customFormat="1">
      <c r="B69" s="43">
        <v>310</v>
      </c>
      <c r="C69" s="50" t="s">
        <v>391</v>
      </c>
      <c r="D69" s="168"/>
      <c r="E69" s="301">
        <v>109245614</v>
      </c>
      <c r="F69" s="301">
        <v>181293251</v>
      </c>
      <c r="G69" s="301">
        <v>169222607</v>
      </c>
      <c r="H69" s="301">
        <v>146445324</v>
      </c>
      <c r="I69" s="301">
        <v>298411509</v>
      </c>
      <c r="J69" s="301"/>
      <c r="K69" s="301"/>
      <c r="L69" s="301"/>
      <c r="M69" s="301"/>
      <c r="N69" s="301"/>
      <c r="O69" s="301"/>
      <c r="P69" s="301"/>
      <c r="Q69" s="301"/>
      <c r="R69" s="301"/>
      <c r="S69" s="301"/>
      <c r="T69" s="301"/>
      <c r="U69" s="301"/>
      <c r="V69" s="301"/>
      <c r="W69" s="301"/>
    </row>
    <row r="70" spans="2:27">
      <c r="B70" s="42">
        <v>311</v>
      </c>
      <c r="C70" s="51" t="s">
        <v>392</v>
      </c>
      <c r="D70" s="303" t="s">
        <v>70</v>
      </c>
      <c r="E70" s="264">
        <v>14773384</v>
      </c>
      <c r="F70" s="264">
        <v>17563738</v>
      </c>
      <c r="G70" s="264">
        <v>18511262</v>
      </c>
      <c r="H70" s="264">
        <v>19648464</v>
      </c>
      <c r="I70" s="264">
        <v>36539334</v>
      </c>
      <c r="J70" s="264"/>
      <c r="K70" s="264"/>
      <c r="L70" s="264"/>
      <c r="M70" s="264"/>
      <c r="N70" s="264"/>
      <c r="O70" s="264"/>
      <c r="P70" s="264"/>
      <c r="Q70" s="264"/>
      <c r="R70" s="264"/>
      <c r="S70" s="264"/>
      <c r="T70" s="264"/>
      <c r="U70" s="264"/>
      <c r="V70" s="264"/>
      <c r="W70" s="264"/>
      <c r="Z70" s="280"/>
      <c r="AA70" s="280"/>
    </row>
    <row r="71" spans="2:27">
      <c r="B71" s="42">
        <v>312</v>
      </c>
      <c r="C71" s="51" t="s">
        <v>393</v>
      </c>
      <c r="D71" s="302" t="s">
        <v>74</v>
      </c>
      <c r="E71" s="264">
        <v>25203958</v>
      </c>
      <c r="F71" s="264">
        <v>51470178</v>
      </c>
      <c r="G71" s="264">
        <v>37277334</v>
      </c>
      <c r="H71" s="264">
        <v>21680341</v>
      </c>
      <c r="I71" s="264">
        <v>74724604</v>
      </c>
      <c r="J71" s="264"/>
      <c r="K71" s="264"/>
      <c r="L71" s="264"/>
      <c r="M71" s="264"/>
      <c r="N71" s="264"/>
      <c r="O71" s="264"/>
      <c r="P71" s="264"/>
      <c r="Q71" s="264"/>
      <c r="R71" s="264"/>
      <c r="S71" s="264"/>
      <c r="T71" s="264"/>
      <c r="U71" s="264"/>
      <c r="V71" s="264"/>
      <c r="W71" s="264"/>
      <c r="Z71" s="280"/>
    </row>
    <row r="72" spans="2:27">
      <c r="B72" s="42">
        <v>313</v>
      </c>
      <c r="C72" s="51" t="s">
        <v>394</v>
      </c>
      <c r="D72" s="165" t="s">
        <v>79</v>
      </c>
      <c r="E72" s="264">
        <v>15520707</v>
      </c>
      <c r="F72" s="264">
        <v>5991675</v>
      </c>
      <c r="G72" s="264">
        <v>7805236</v>
      </c>
      <c r="H72" s="264">
        <v>5657022</v>
      </c>
      <c r="I72" s="264">
        <v>22343932</v>
      </c>
      <c r="J72" s="264"/>
      <c r="K72" s="264"/>
      <c r="L72" s="264"/>
      <c r="M72" s="264"/>
      <c r="N72" s="264"/>
      <c r="O72" s="264"/>
      <c r="P72" s="264"/>
      <c r="Q72" s="264"/>
      <c r="R72" s="264"/>
      <c r="S72" s="264"/>
      <c r="T72" s="264"/>
      <c r="U72" s="264"/>
      <c r="V72" s="264"/>
      <c r="W72" s="264"/>
    </row>
    <row r="73" spans="2:27">
      <c r="B73" s="42">
        <v>314</v>
      </c>
      <c r="C73" s="51" t="s">
        <v>395</v>
      </c>
      <c r="D73" s="303" t="s">
        <v>72</v>
      </c>
      <c r="E73" s="264">
        <v>1014578</v>
      </c>
      <c r="F73" s="264">
        <v>1141362</v>
      </c>
      <c r="G73" s="264">
        <v>938186</v>
      </c>
      <c r="H73" s="264">
        <v>1318795</v>
      </c>
      <c r="I73" s="264">
        <v>1602886</v>
      </c>
      <c r="J73" s="264"/>
      <c r="K73" s="264"/>
      <c r="L73" s="264"/>
      <c r="M73" s="264"/>
      <c r="N73" s="264"/>
      <c r="O73" s="264"/>
      <c r="P73" s="264"/>
      <c r="Q73" s="264"/>
      <c r="R73" s="264"/>
      <c r="S73" s="264"/>
      <c r="T73" s="264"/>
      <c r="U73" s="264"/>
      <c r="V73" s="264"/>
      <c r="W73" s="264"/>
    </row>
    <row r="74" spans="2:27">
      <c r="B74" s="42">
        <v>315</v>
      </c>
      <c r="C74" s="51" t="s">
        <v>396</v>
      </c>
      <c r="D74" s="303" t="s">
        <v>72</v>
      </c>
      <c r="E74" s="264">
        <v>16017109</v>
      </c>
      <c r="F74" s="264">
        <v>16493327</v>
      </c>
      <c r="G74" s="264">
        <v>24674957</v>
      </c>
      <c r="H74" s="264">
        <v>26282817</v>
      </c>
      <c r="I74" s="264">
        <v>40372673</v>
      </c>
      <c r="J74" s="264"/>
      <c r="K74" s="264"/>
      <c r="L74" s="264"/>
      <c r="M74" s="264"/>
      <c r="N74" s="264"/>
      <c r="O74" s="264"/>
      <c r="P74" s="264"/>
      <c r="Q74" s="264"/>
      <c r="R74" s="264"/>
      <c r="S74" s="264"/>
      <c r="T74" s="264"/>
      <c r="U74" s="264"/>
      <c r="V74" s="264"/>
      <c r="W74" s="264"/>
    </row>
    <row r="75" spans="2:27">
      <c r="B75" s="42">
        <v>316</v>
      </c>
      <c r="C75" s="51" t="s">
        <v>397</v>
      </c>
      <c r="D75" s="302" t="s">
        <v>77</v>
      </c>
      <c r="E75" s="264"/>
      <c r="F75" s="264"/>
      <c r="G75" s="264"/>
      <c r="H75" s="264"/>
      <c r="I75" s="264"/>
      <c r="J75" s="264"/>
      <c r="K75" s="264"/>
      <c r="L75" s="264"/>
      <c r="M75" s="264"/>
      <c r="N75" s="264"/>
      <c r="O75" s="264"/>
      <c r="P75" s="264"/>
      <c r="Q75" s="264"/>
      <c r="R75" s="264"/>
      <c r="S75" s="264"/>
      <c r="T75" s="264"/>
      <c r="U75" s="264"/>
      <c r="V75" s="264"/>
      <c r="W75" s="264"/>
    </row>
    <row r="76" spans="2:27">
      <c r="B76" s="42">
        <v>317</v>
      </c>
      <c r="C76" s="51" t="s">
        <v>398</v>
      </c>
      <c r="D76" s="302" t="s">
        <v>77</v>
      </c>
      <c r="E76" s="264"/>
      <c r="F76" s="264"/>
      <c r="G76" s="264"/>
      <c r="H76" s="264"/>
      <c r="I76" s="264"/>
      <c r="J76" s="264"/>
      <c r="K76" s="264"/>
      <c r="L76" s="264"/>
      <c r="M76" s="264"/>
      <c r="N76" s="264"/>
      <c r="O76" s="264"/>
      <c r="P76" s="264"/>
      <c r="Q76" s="264"/>
      <c r="R76" s="264"/>
      <c r="S76" s="264"/>
      <c r="T76" s="264"/>
      <c r="U76" s="264"/>
      <c r="V76" s="264"/>
      <c r="W76" s="264"/>
    </row>
    <row r="77" spans="2:27">
      <c r="B77" s="42">
        <v>318</v>
      </c>
      <c r="C77" s="51" t="s">
        <v>399</v>
      </c>
      <c r="D77" s="303" t="s">
        <v>76</v>
      </c>
      <c r="E77" s="264">
        <v>2473599</v>
      </c>
      <c r="F77" s="264">
        <v>2524522</v>
      </c>
      <c r="G77" s="264">
        <v>4950452</v>
      </c>
      <c r="H77" s="264">
        <v>3187424</v>
      </c>
      <c r="I77" s="264">
        <v>3568410</v>
      </c>
      <c r="J77" s="264"/>
      <c r="K77" s="264"/>
      <c r="L77" s="264"/>
      <c r="M77" s="264"/>
      <c r="N77" s="264"/>
      <c r="O77" s="264"/>
      <c r="P77" s="264"/>
      <c r="Q77" s="264"/>
      <c r="R77" s="264"/>
      <c r="S77" s="264"/>
      <c r="T77" s="264"/>
      <c r="U77" s="264"/>
      <c r="V77" s="264"/>
      <c r="W77" s="264"/>
    </row>
    <row r="78" spans="2:27">
      <c r="B78" s="42">
        <v>319</v>
      </c>
      <c r="C78" s="51" t="s">
        <v>400</v>
      </c>
      <c r="D78" s="302" t="s">
        <v>77</v>
      </c>
      <c r="E78" s="264">
        <v>14900338</v>
      </c>
      <c r="F78" s="264">
        <v>52864324</v>
      </c>
      <c r="G78" s="264">
        <v>43450189</v>
      </c>
      <c r="H78" s="264">
        <v>40561593</v>
      </c>
      <c r="I78" s="264">
        <v>67921473</v>
      </c>
      <c r="J78" s="264"/>
      <c r="K78" s="264"/>
      <c r="L78" s="264"/>
      <c r="M78" s="264"/>
      <c r="N78" s="264"/>
      <c r="O78" s="264"/>
      <c r="P78" s="264"/>
      <c r="Q78" s="264"/>
      <c r="R78" s="264"/>
      <c r="S78" s="264"/>
      <c r="T78" s="264"/>
      <c r="U78" s="264"/>
      <c r="V78" s="264"/>
      <c r="W78" s="264"/>
    </row>
    <row r="79" spans="2:27">
      <c r="B79" s="42">
        <v>320</v>
      </c>
      <c r="C79" s="51" t="s">
        <v>401</v>
      </c>
      <c r="D79" s="303" t="s">
        <v>81</v>
      </c>
      <c r="E79" s="264">
        <v>19115963</v>
      </c>
      <c r="F79" s="264">
        <v>32995790</v>
      </c>
      <c r="G79" s="264">
        <v>25971982</v>
      </c>
      <c r="H79" s="264">
        <v>20036906</v>
      </c>
      <c r="I79" s="264">
        <v>48231777</v>
      </c>
      <c r="J79" s="264"/>
      <c r="K79" s="264"/>
      <c r="L79" s="264"/>
      <c r="M79" s="264"/>
      <c r="N79" s="264"/>
      <c r="O79" s="264"/>
      <c r="P79" s="264"/>
      <c r="Q79" s="264"/>
      <c r="R79" s="264"/>
      <c r="S79" s="264"/>
      <c r="T79" s="264"/>
      <c r="U79" s="264"/>
      <c r="V79" s="264"/>
      <c r="W79" s="264"/>
      <c r="Y79" s="280"/>
      <c r="Z79" s="280"/>
    </row>
    <row r="80" spans="2:27">
      <c r="B80" s="42">
        <v>321</v>
      </c>
      <c r="C80" s="51" t="s">
        <v>402</v>
      </c>
      <c r="D80" s="302" t="s">
        <v>77</v>
      </c>
      <c r="E80" s="264">
        <v>225977</v>
      </c>
      <c r="F80" s="264">
        <v>248334</v>
      </c>
      <c r="G80" s="264">
        <v>5643009</v>
      </c>
      <c r="H80" s="264">
        <v>8071962</v>
      </c>
      <c r="I80" s="264">
        <v>3106420</v>
      </c>
      <c r="J80" s="264"/>
      <c r="K80" s="264"/>
      <c r="L80" s="264"/>
      <c r="M80" s="264"/>
      <c r="N80" s="264"/>
      <c r="O80" s="264"/>
      <c r="P80" s="264"/>
      <c r="Q80" s="264"/>
      <c r="R80" s="264"/>
      <c r="S80" s="264"/>
      <c r="T80" s="264"/>
      <c r="U80" s="264"/>
      <c r="V80" s="264"/>
      <c r="W80" s="264"/>
    </row>
    <row r="81" spans="2:23">
      <c r="B81" s="42">
        <v>322</v>
      </c>
      <c r="C81" s="51" t="s">
        <v>403</v>
      </c>
      <c r="D81" s="302" t="s">
        <v>77</v>
      </c>
      <c r="E81" s="264"/>
      <c r="F81" s="264"/>
      <c r="G81" s="264"/>
      <c r="H81" s="264"/>
      <c r="I81" s="264"/>
      <c r="J81" s="264"/>
      <c r="K81" s="264"/>
      <c r="L81" s="264"/>
      <c r="M81" s="264"/>
      <c r="N81" s="264"/>
      <c r="O81" s="264"/>
      <c r="P81" s="264"/>
      <c r="Q81" s="264"/>
      <c r="R81" s="264"/>
      <c r="S81" s="264"/>
      <c r="T81" s="264"/>
      <c r="U81" s="264"/>
      <c r="V81" s="264"/>
      <c r="W81" s="264"/>
    </row>
    <row r="82" spans="2:23">
      <c r="B82" s="42">
        <v>323</v>
      </c>
      <c r="C82" s="51" t="s">
        <v>404</v>
      </c>
      <c r="D82" s="302" t="s">
        <v>77</v>
      </c>
      <c r="E82" s="264"/>
      <c r="F82" s="264"/>
      <c r="G82" s="264"/>
      <c r="H82" s="264"/>
      <c r="I82" s="264"/>
      <c r="J82" s="264"/>
      <c r="K82" s="264"/>
      <c r="L82" s="264"/>
      <c r="M82" s="264"/>
      <c r="N82" s="264"/>
      <c r="O82" s="264"/>
      <c r="P82" s="264"/>
      <c r="Q82" s="264"/>
      <c r="R82" s="264"/>
      <c r="S82" s="264"/>
      <c r="T82" s="264"/>
      <c r="U82" s="264"/>
      <c r="V82" s="264"/>
      <c r="W82" s="264"/>
    </row>
    <row r="83" spans="2:23">
      <c r="B83" s="42">
        <v>324</v>
      </c>
      <c r="C83" s="51" t="s">
        <v>405</v>
      </c>
      <c r="D83" s="302" t="s">
        <v>77</v>
      </c>
      <c r="E83" s="264"/>
      <c r="F83" s="264"/>
      <c r="G83" s="264"/>
      <c r="H83" s="264"/>
      <c r="I83" s="264"/>
      <c r="J83" s="264"/>
      <c r="K83" s="264"/>
      <c r="L83" s="264"/>
      <c r="M83" s="264"/>
      <c r="N83" s="264"/>
      <c r="O83" s="264"/>
      <c r="P83" s="264"/>
      <c r="Q83" s="264"/>
      <c r="R83" s="264"/>
      <c r="S83" s="264"/>
      <c r="T83" s="264"/>
      <c r="U83" s="264"/>
      <c r="V83" s="264"/>
      <c r="W83" s="264"/>
    </row>
    <row r="84" spans="2:23" s="169" customFormat="1">
      <c r="B84" s="43">
        <v>330</v>
      </c>
      <c r="C84" s="50" t="s">
        <v>406</v>
      </c>
      <c r="D84" s="168"/>
      <c r="E84" s="301">
        <v>79714848</v>
      </c>
      <c r="F84" s="301">
        <v>101858914</v>
      </c>
      <c r="G84" s="301">
        <v>117428445</v>
      </c>
      <c r="H84" s="301">
        <v>122367275</v>
      </c>
      <c r="I84" s="301">
        <v>143340282</v>
      </c>
      <c r="J84" s="301"/>
      <c r="K84" s="301"/>
      <c r="L84" s="301"/>
      <c r="M84" s="301"/>
      <c r="N84" s="301"/>
      <c r="O84" s="301"/>
      <c r="P84" s="301"/>
      <c r="Q84" s="301"/>
      <c r="R84" s="301"/>
      <c r="S84" s="301"/>
      <c r="T84" s="301"/>
      <c r="U84" s="301"/>
      <c r="V84" s="301"/>
      <c r="W84" s="301"/>
    </row>
    <row r="85" spans="2:23">
      <c r="B85" s="42">
        <v>331</v>
      </c>
      <c r="C85" s="51" t="s">
        <v>407</v>
      </c>
      <c r="D85" s="302" t="s">
        <v>77</v>
      </c>
      <c r="E85" s="264"/>
      <c r="F85" s="264"/>
      <c r="G85" s="264"/>
      <c r="H85" s="264"/>
      <c r="I85" s="264"/>
      <c r="J85" s="264"/>
      <c r="K85" s="264"/>
      <c r="L85" s="264"/>
      <c r="M85" s="264"/>
      <c r="N85" s="264"/>
      <c r="O85" s="264"/>
      <c r="P85" s="264"/>
      <c r="Q85" s="264"/>
      <c r="R85" s="264"/>
      <c r="S85" s="264"/>
      <c r="T85" s="264"/>
      <c r="U85" s="264"/>
      <c r="V85" s="264"/>
      <c r="W85" s="264"/>
    </row>
    <row r="86" spans="2:23">
      <c r="B86" s="42">
        <v>332</v>
      </c>
      <c r="C86" s="51" t="s">
        <v>408</v>
      </c>
      <c r="D86" s="302" t="s">
        <v>77</v>
      </c>
      <c r="E86" s="264"/>
      <c r="F86" s="264"/>
      <c r="G86" s="264"/>
      <c r="H86" s="264"/>
      <c r="I86" s="264"/>
      <c r="J86" s="264"/>
      <c r="K86" s="264"/>
      <c r="L86" s="264"/>
      <c r="M86" s="264"/>
      <c r="N86" s="264"/>
      <c r="O86" s="264"/>
      <c r="P86" s="264"/>
      <c r="Q86" s="264"/>
      <c r="R86" s="264"/>
      <c r="S86" s="264"/>
      <c r="T86" s="264"/>
      <c r="U86" s="264"/>
      <c r="V86" s="264"/>
      <c r="W86" s="264"/>
    </row>
    <row r="87" spans="2:23">
      <c r="B87" s="42">
        <v>333</v>
      </c>
      <c r="C87" s="51" t="s">
        <v>409</v>
      </c>
      <c r="D87" s="302" t="s">
        <v>77</v>
      </c>
      <c r="E87" s="264">
        <v>123714</v>
      </c>
      <c r="F87" s="264">
        <v>487397</v>
      </c>
      <c r="G87" s="264">
        <v>1107530</v>
      </c>
      <c r="H87" s="264">
        <v>1657979</v>
      </c>
      <c r="I87" s="264">
        <v>488013</v>
      </c>
      <c r="J87" s="264"/>
      <c r="K87" s="264"/>
      <c r="L87" s="264"/>
      <c r="M87" s="264"/>
      <c r="N87" s="264"/>
      <c r="O87" s="264"/>
      <c r="P87" s="264"/>
      <c r="Q87" s="264"/>
      <c r="R87" s="264"/>
      <c r="S87" s="264"/>
      <c r="T87" s="264"/>
      <c r="U87" s="264"/>
      <c r="V87" s="264"/>
      <c r="W87" s="264"/>
    </row>
    <row r="88" spans="2:23">
      <c r="B88" s="42">
        <v>334</v>
      </c>
      <c r="C88" s="51" t="s">
        <v>410</v>
      </c>
      <c r="D88" s="302" t="s">
        <v>77</v>
      </c>
      <c r="E88" s="264"/>
      <c r="F88" s="264"/>
      <c r="G88" s="264"/>
      <c r="H88" s="264"/>
      <c r="I88" s="264"/>
      <c r="J88" s="264"/>
      <c r="K88" s="264"/>
      <c r="L88" s="264"/>
      <c r="M88" s="264"/>
      <c r="N88" s="264"/>
      <c r="O88" s="264"/>
      <c r="P88" s="264"/>
      <c r="Q88" s="264"/>
      <c r="R88" s="264"/>
      <c r="S88" s="264"/>
      <c r="T88" s="264"/>
      <c r="U88" s="264"/>
      <c r="V88" s="264"/>
      <c r="W88" s="264"/>
    </row>
    <row r="89" spans="2:23">
      <c r="B89" s="42">
        <v>335</v>
      </c>
      <c r="C89" s="51" t="s">
        <v>411</v>
      </c>
      <c r="D89" s="302" t="s">
        <v>77</v>
      </c>
      <c r="E89" s="264"/>
      <c r="F89" s="264"/>
      <c r="G89" s="264"/>
      <c r="H89" s="264"/>
      <c r="I89" s="264"/>
      <c r="J89" s="264"/>
      <c r="K89" s="264"/>
      <c r="L89" s="264"/>
      <c r="M89" s="264"/>
      <c r="N89" s="264"/>
      <c r="O89" s="264"/>
      <c r="P89" s="264"/>
      <c r="Q89" s="264"/>
      <c r="R89" s="264"/>
      <c r="S89" s="264"/>
      <c r="T89" s="264"/>
      <c r="U89" s="264"/>
      <c r="V89" s="264"/>
      <c r="W89" s="264"/>
    </row>
    <row r="90" spans="2:23">
      <c r="B90" s="42">
        <v>336</v>
      </c>
      <c r="C90" s="51" t="s">
        <v>412</v>
      </c>
      <c r="D90" s="302" t="s">
        <v>77</v>
      </c>
      <c r="E90" s="264">
        <v>5718562</v>
      </c>
      <c r="F90" s="264">
        <v>4999981</v>
      </c>
      <c r="G90" s="264">
        <v>5320738</v>
      </c>
      <c r="H90" s="264">
        <v>4348409</v>
      </c>
      <c r="I90" s="264">
        <v>3651352</v>
      </c>
      <c r="J90" s="264"/>
      <c r="K90" s="264"/>
      <c r="L90" s="264"/>
      <c r="M90" s="264"/>
      <c r="N90" s="264"/>
      <c r="O90" s="264"/>
      <c r="P90" s="264"/>
      <c r="Q90" s="264"/>
      <c r="R90" s="264"/>
      <c r="S90" s="264"/>
      <c r="T90" s="264"/>
      <c r="U90" s="264"/>
      <c r="V90" s="264"/>
      <c r="W90" s="264"/>
    </row>
    <row r="91" spans="2:23">
      <c r="B91" s="42">
        <v>337</v>
      </c>
      <c r="C91" s="51" t="s">
        <v>413</v>
      </c>
      <c r="D91" s="302" t="s">
        <v>77</v>
      </c>
      <c r="E91" s="264">
        <v>947426</v>
      </c>
      <c r="F91" s="264">
        <v>1029794</v>
      </c>
      <c r="G91" s="264">
        <v>6257218</v>
      </c>
      <c r="H91" s="264">
        <v>1650171</v>
      </c>
      <c r="I91" s="264">
        <v>1960505</v>
      </c>
      <c r="J91" s="264"/>
      <c r="K91" s="264"/>
      <c r="L91" s="264"/>
      <c r="M91" s="264"/>
      <c r="N91" s="264"/>
      <c r="O91" s="264"/>
      <c r="P91" s="264"/>
      <c r="Q91" s="264"/>
      <c r="R91" s="264"/>
      <c r="S91" s="264"/>
      <c r="T91" s="264"/>
      <c r="U91" s="264"/>
      <c r="V91" s="264"/>
      <c r="W91" s="264"/>
    </row>
    <row r="92" spans="2:23">
      <c r="B92" s="42">
        <v>338</v>
      </c>
      <c r="C92" s="51" t="s">
        <v>414</v>
      </c>
      <c r="D92" s="303" t="s">
        <v>83</v>
      </c>
      <c r="E92" s="264">
        <v>61770712</v>
      </c>
      <c r="F92" s="264">
        <v>84430440</v>
      </c>
      <c r="G92" s="264">
        <v>98309224</v>
      </c>
      <c r="H92" s="264">
        <v>102011250</v>
      </c>
      <c r="I92" s="264">
        <v>119804341</v>
      </c>
      <c r="J92" s="264"/>
      <c r="K92" s="264"/>
      <c r="L92" s="264"/>
      <c r="M92" s="264"/>
      <c r="N92" s="264"/>
      <c r="O92" s="264"/>
      <c r="P92" s="264"/>
      <c r="Q92" s="264"/>
      <c r="R92" s="264"/>
      <c r="S92" s="264"/>
      <c r="T92" s="264"/>
      <c r="U92" s="264"/>
      <c r="V92" s="264"/>
      <c r="W92" s="264"/>
    </row>
    <row r="93" spans="2:23">
      <c r="B93" s="42">
        <v>339</v>
      </c>
      <c r="C93" s="51" t="s">
        <v>415</v>
      </c>
      <c r="D93" s="303" t="s">
        <v>83</v>
      </c>
      <c r="E93" s="264">
        <v>10205665</v>
      </c>
      <c r="F93" s="264">
        <v>10259215</v>
      </c>
      <c r="G93" s="264">
        <v>5505646</v>
      </c>
      <c r="H93" s="264">
        <v>9488495</v>
      </c>
      <c r="I93" s="264">
        <v>9866970</v>
      </c>
      <c r="J93" s="264"/>
      <c r="K93" s="264"/>
      <c r="L93" s="264"/>
      <c r="M93" s="264"/>
      <c r="N93" s="264"/>
      <c r="O93" s="264"/>
      <c r="P93" s="264"/>
      <c r="Q93" s="264"/>
      <c r="R93" s="264"/>
      <c r="S93" s="264"/>
      <c r="T93" s="264"/>
      <c r="U93" s="264"/>
      <c r="V93" s="264"/>
      <c r="W93" s="264"/>
    </row>
    <row r="94" spans="2:23">
      <c r="B94" s="42">
        <v>340</v>
      </c>
      <c r="C94" s="51" t="s">
        <v>416</v>
      </c>
      <c r="D94" s="303" t="s">
        <v>83</v>
      </c>
      <c r="E94" s="264"/>
      <c r="F94" s="264"/>
      <c r="G94" s="264"/>
      <c r="H94" s="264"/>
      <c r="I94" s="264"/>
      <c r="J94" s="264"/>
      <c r="K94" s="264"/>
      <c r="L94" s="264"/>
      <c r="M94" s="264"/>
      <c r="N94" s="264"/>
      <c r="O94" s="264"/>
      <c r="P94" s="264"/>
      <c r="Q94" s="264"/>
      <c r="R94" s="264"/>
      <c r="S94" s="264"/>
      <c r="T94" s="264"/>
      <c r="U94" s="264"/>
      <c r="V94" s="264"/>
      <c r="W94" s="264"/>
    </row>
    <row r="95" spans="2:23">
      <c r="B95" s="42">
        <v>341</v>
      </c>
      <c r="C95" s="51" t="s">
        <v>417</v>
      </c>
      <c r="D95" s="165" t="s">
        <v>79</v>
      </c>
      <c r="E95" s="264">
        <v>824660</v>
      </c>
      <c r="F95" s="264">
        <v>470023</v>
      </c>
      <c r="G95" s="264">
        <v>551776</v>
      </c>
      <c r="H95" s="264">
        <v>1033936</v>
      </c>
      <c r="I95" s="264">
        <v>1138987</v>
      </c>
      <c r="J95" s="264"/>
      <c r="K95" s="264"/>
      <c r="L95" s="264"/>
      <c r="M95" s="264"/>
      <c r="N95" s="264"/>
      <c r="O95" s="264"/>
      <c r="P95" s="264"/>
      <c r="Q95" s="264"/>
      <c r="R95" s="264"/>
      <c r="S95" s="264"/>
      <c r="T95" s="264"/>
      <c r="U95" s="264"/>
      <c r="V95" s="264"/>
      <c r="W95" s="264"/>
    </row>
    <row r="96" spans="2:23">
      <c r="B96" s="42">
        <v>342</v>
      </c>
      <c r="C96" s="51" t="s">
        <v>418</v>
      </c>
      <c r="D96" s="302" t="s">
        <v>77</v>
      </c>
      <c r="E96" s="264">
        <v>124109</v>
      </c>
      <c r="F96" s="264">
        <v>182064</v>
      </c>
      <c r="G96" s="264">
        <v>376313</v>
      </c>
      <c r="H96" s="264">
        <v>2177035</v>
      </c>
      <c r="I96" s="264">
        <v>6430114</v>
      </c>
      <c r="J96" s="264"/>
      <c r="K96" s="264"/>
      <c r="L96" s="264"/>
      <c r="M96" s="264"/>
      <c r="N96" s="264"/>
      <c r="O96" s="264"/>
      <c r="P96" s="264"/>
      <c r="Q96" s="264"/>
      <c r="R96" s="264"/>
      <c r="S96" s="264"/>
      <c r="T96" s="264"/>
      <c r="U96" s="264"/>
      <c r="V96" s="264"/>
      <c r="W96" s="264"/>
    </row>
    <row r="97" spans="2:23">
      <c r="B97" s="42">
        <v>343</v>
      </c>
      <c r="C97" s="51" t="s">
        <v>419</v>
      </c>
      <c r="D97" s="302" t="s">
        <v>77</v>
      </c>
      <c r="E97" s="264"/>
      <c r="F97" s="264"/>
      <c r="G97" s="264"/>
      <c r="H97" s="264"/>
      <c r="I97" s="264"/>
      <c r="J97" s="264"/>
      <c r="K97" s="264"/>
      <c r="L97" s="264"/>
      <c r="M97" s="264"/>
      <c r="N97" s="264"/>
      <c r="O97" s="264"/>
      <c r="P97" s="264"/>
      <c r="Q97" s="264"/>
      <c r="R97" s="264"/>
      <c r="S97" s="264"/>
      <c r="T97" s="264"/>
      <c r="U97" s="264"/>
      <c r="V97" s="264"/>
      <c r="W97" s="264"/>
    </row>
    <row r="98" spans="2:23" s="169" customFormat="1" ht="18.75" customHeight="1">
      <c r="B98" s="44">
        <v>400</v>
      </c>
      <c r="C98" s="49" t="s">
        <v>420</v>
      </c>
      <c r="D98" s="168"/>
      <c r="E98" s="301">
        <v>99013715</v>
      </c>
      <c r="F98" s="301">
        <v>120588589</v>
      </c>
      <c r="G98" s="301">
        <v>135852715</v>
      </c>
      <c r="H98" s="301">
        <v>159571866</v>
      </c>
      <c r="I98" s="301">
        <v>135655449</v>
      </c>
      <c r="J98" s="301"/>
      <c r="K98" s="301"/>
      <c r="L98" s="301"/>
      <c r="M98" s="301"/>
      <c r="N98" s="301"/>
      <c r="O98" s="301"/>
      <c r="P98" s="301"/>
      <c r="Q98" s="301"/>
      <c r="R98" s="301"/>
      <c r="S98" s="301"/>
      <c r="T98" s="301"/>
      <c r="U98" s="301"/>
      <c r="V98" s="301"/>
      <c r="W98" s="301"/>
    </row>
    <row r="99" spans="2:23" s="169" customFormat="1">
      <c r="B99" s="43">
        <v>410</v>
      </c>
      <c r="C99" s="50" t="s">
        <v>421</v>
      </c>
      <c r="D99" s="168"/>
      <c r="E99" s="301">
        <v>99013715</v>
      </c>
      <c r="F99" s="301">
        <v>120588589</v>
      </c>
      <c r="G99" s="301">
        <v>135852715</v>
      </c>
      <c r="H99" s="301">
        <v>159571866</v>
      </c>
      <c r="I99" s="301">
        <v>135655449</v>
      </c>
      <c r="J99" s="301"/>
      <c r="K99" s="301"/>
      <c r="L99" s="301"/>
      <c r="M99" s="301"/>
      <c r="N99" s="301"/>
      <c r="O99" s="301"/>
      <c r="P99" s="301"/>
      <c r="Q99" s="301"/>
      <c r="R99" s="301"/>
      <c r="S99" s="301"/>
      <c r="T99" s="301"/>
      <c r="U99" s="301"/>
      <c r="V99" s="301"/>
      <c r="W99" s="301"/>
    </row>
    <row r="100" spans="2:23">
      <c r="B100" s="42">
        <v>411</v>
      </c>
      <c r="C100" s="51" t="s">
        <v>422</v>
      </c>
      <c r="D100" s="303" t="s">
        <v>90</v>
      </c>
      <c r="E100" s="264">
        <v>32756212</v>
      </c>
      <c r="F100" s="264">
        <v>34309140</v>
      </c>
      <c r="G100" s="264">
        <v>34447691</v>
      </c>
      <c r="H100" s="264">
        <v>38675533</v>
      </c>
      <c r="I100" s="264">
        <v>38688573</v>
      </c>
      <c r="J100" s="264"/>
      <c r="K100" s="264"/>
      <c r="L100" s="264"/>
      <c r="M100" s="264"/>
      <c r="N100" s="264"/>
      <c r="O100" s="264"/>
      <c r="P100" s="264"/>
      <c r="Q100" s="264"/>
      <c r="R100" s="264"/>
      <c r="S100" s="264"/>
      <c r="T100" s="264"/>
      <c r="U100" s="264"/>
      <c r="V100" s="264"/>
      <c r="W100" s="264"/>
    </row>
    <row r="101" spans="2:23">
      <c r="B101" s="42" t="s">
        <v>423</v>
      </c>
      <c r="C101" s="51" t="s">
        <v>424</v>
      </c>
      <c r="D101" s="165"/>
      <c r="E101" s="264">
        <v>31916212</v>
      </c>
      <c r="F101" s="264">
        <v>33685756</v>
      </c>
      <c r="G101" s="264">
        <v>33824306</v>
      </c>
      <c r="H101" s="264">
        <v>38052148</v>
      </c>
      <c r="I101" s="264">
        <v>38139356</v>
      </c>
      <c r="J101" s="264"/>
      <c r="K101" s="264"/>
      <c r="L101" s="264"/>
      <c r="M101" s="264"/>
      <c r="N101" s="264"/>
      <c r="O101" s="264"/>
      <c r="P101" s="264"/>
      <c r="Q101" s="264"/>
      <c r="R101" s="264"/>
      <c r="S101" s="264"/>
      <c r="T101" s="264"/>
      <c r="U101" s="264"/>
      <c r="V101" s="264"/>
      <c r="W101" s="264"/>
    </row>
    <row r="102" spans="2:23">
      <c r="B102" s="42" t="s">
        <v>425</v>
      </c>
      <c r="C102" s="51" t="s">
        <v>426</v>
      </c>
      <c r="D102" s="165"/>
      <c r="E102" s="264">
        <v>840000</v>
      </c>
      <c r="F102" s="264">
        <v>623385</v>
      </c>
      <c r="G102" s="264">
        <v>623385</v>
      </c>
      <c r="H102" s="264">
        <v>623385</v>
      </c>
      <c r="I102" s="264">
        <v>549217</v>
      </c>
      <c r="J102" s="264"/>
      <c r="K102" s="264"/>
      <c r="L102" s="264"/>
      <c r="M102" s="264"/>
      <c r="N102" s="264"/>
      <c r="O102" s="264"/>
      <c r="P102" s="264"/>
      <c r="Q102" s="264"/>
      <c r="R102" s="264"/>
      <c r="S102" s="264"/>
      <c r="T102" s="264"/>
      <c r="U102" s="264"/>
      <c r="V102" s="264"/>
      <c r="W102" s="264"/>
    </row>
    <row r="103" spans="2:23">
      <c r="B103" s="42">
        <v>412</v>
      </c>
      <c r="C103" s="51" t="s">
        <v>427</v>
      </c>
      <c r="D103" s="303" t="s">
        <v>90</v>
      </c>
      <c r="E103" s="264">
        <v>11442901</v>
      </c>
      <c r="F103" s="264">
        <v>33996368</v>
      </c>
      <c r="G103" s="264">
        <v>35411957</v>
      </c>
      <c r="H103" s="264">
        <v>40063173</v>
      </c>
      <c r="I103" s="264">
        <v>40050133</v>
      </c>
      <c r="J103" s="264"/>
      <c r="K103" s="264"/>
      <c r="L103" s="264"/>
      <c r="M103" s="264"/>
      <c r="N103" s="264"/>
      <c r="O103" s="264"/>
      <c r="P103" s="264"/>
      <c r="Q103" s="264"/>
      <c r="R103" s="264"/>
      <c r="S103" s="264"/>
      <c r="T103" s="264"/>
      <c r="U103" s="264"/>
      <c r="V103" s="264"/>
      <c r="W103" s="264"/>
    </row>
    <row r="104" spans="2:23">
      <c r="B104" s="42">
        <v>413</v>
      </c>
      <c r="C104" s="51" t="s">
        <v>428</v>
      </c>
      <c r="D104" s="303" t="s">
        <v>90</v>
      </c>
      <c r="E104" s="264"/>
      <c r="F104" s="264"/>
      <c r="G104" s="264"/>
      <c r="H104" s="264"/>
      <c r="I104" s="264"/>
      <c r="J104" s="264"/>
      <c r="K104" s="264"/>
      <c r="L104" s="264"/>
      <c r="M104" s="264"/>
      <c r="N104" s="264"/>
      <c r="O104" s="264"/>
      <c r="P104" s="264"/>
      <c r="Q104" s="264"/>
      <c r="R104" s="264"/>
      <c r="S104" s="264"/>
      <c r="T104" s="264"/>
      <c r="U104" s="264"/>
      <c r="V104" s="264"/>
      <c r="W104" s="264"/>
    </row>
    <row r="105" spans="2:23">
      <c r="B105" s="42">
        <v>414</v>
      </c>
      <c r="C105" s="51" t="s">
        <v>429</v>
      </c>
      <c r="D105" s="303" t="s">
        <v>90</v>
      </c>
      <c r="E105" s="264">
        <v>7235206</v>
      </c>
      <c r="F105" s="264">
        <v>7235206</v>
      </c>
      <c r="G105" s="264">
        <v>7235206</v>
      </c>
      <c r="H105" s="264">
        <v>18481872</v>
      </c>
      <c r="I105" s="264">
        <v>18481872</v>
      </c>
      <c r="J105" s="264"/>
      <c r="K105" s="264"/>
      <c r="L105" s="264"/>
      <c r="M105" s="264"/>
      <c r="N105" s="264"/>
      <c r="O105" s="264"/>
      <c r="P105" s="264"/>
      <c r="Q105" s="264"/>
      <c r="R105" s="264"/>
      <c r="S105" s="264"/>
      <c r="T105" s="264"/>
      <c r="U105" s="264"/>
      <c r="V105" s="264"/>
      <c r="W105" s="264"/>
    </row>
    <row r="106" spans="2:23">
      <c r="B106" s="42">
        <v>415</v>
      </c>
      <c r="C106" s="51" t="s">
        <v>430</v>
      </c>
      <c r="D106" s="303" t="s">
        <v>90</v>
      </c>
      <c r="E106" s="264">
        <v>-2974924</v>
      </c>
      <c r="F106" s="264">
        <v>-2284059</v>
      </c>
      <c r="G106" s="264">
        <v>-2284059</v>
      </c>
      <c r="H106" s="264">
        <v>-1344123</v>
      </c>
      <c r="I106" s="264">
        <v>-1344123</v>
      </c>
      <c r="J106" s="264"/>
      <c r="K106" s="264"/>
      <c r="L106" s="264"/>
      <c r="M106" s="264"/>
      <c r="N106" s="264"/>
      <c r="O106" s="264"/>
      <c r="P106" s="264"/>
      <c r="Q106" s="264"/>
      <c r="R106" s="264"/>
      <c r="S106" s="264"/>
      <c r="T106" s="264"/>
      <c r="U106" s="264"/>
      <c r="V106" s="264"/>
      <c r="W106" s="264"/>
    </row>
    <row r="107" spans="2:23">
      <c r="B107" s="42">
        <v>416</v>
      </c>
      <c r="C107" s="51" t="s">
        <v>431</v>
      </c>
      <c r="D107" s="303" t="s">
        <v>90</v>
      </c>
      <c r="E107" s="264"/>
      <c r="F107" s="264"/>
      <c r="G107" s="264"/>
      <c r="H107" s="264"/>
      <c r="I107" s="264"/>
      <c r="J107" s="264"/>
      <c r="K107" s="264"/>
      <c r="L107" s="264"/>
      <c r="M107" s="264"/>
      <c r="N107" s="264"/>
      <c r="O107" s="264"/>
      <c r="P107" s="264"/>
      <c r="Q107" s="264"/>
      <c r="R107" s="264"/>
      <c r="S107" s="264"/>
      <c r="T107" s="264"/>
      <c r="U107" s="264"/>
      <c r="V107" s="264"/>
      <c r="W107" s="264"/>
    </row>
    <row r="108" spans="2:23">
      <c r="B108" s="42">
        <v>417</v>
      </c>
      <c r="C108" s="51" t="s">
        <v>432</v>
      </c>
      <c r="D108" s="303" t="s">
        <v>90</v>
      </c>
      <c r="E108" s="264"/>
      <c r="F108" s="264">
        <v>-11784</v>
      </c>
      <c r="G108" s="264">
        <v>-42408</v>
      </c>
      <c r="H108" s="264">
        <v>-198406</v>
      </c>
      <c r="I108" s="264">
        <v>-218139</v>
      </c>
      <c r="J108" s="264"/>
      <c r="K108" s="264"/>
      <c r="L108" s="264"/>
      <c r="M108" s="264"/>
      <c r="N108" s="264"/>
      <c r="O108" s="264"/>
      <c r="P108" s="264"/>
      <c r="Q108" s="264"/>
      <c r="R108" s="264"/>
      <c r="S108" s="264"/>
      <c r="T108" s="264"/>
      <c r="U108" s="264"/>
      <c r="V108" s="264"/>
      <c r="W108" s="264"/>
    </row>
    <row r="109" spans="2:23">
      <c r="B109" s="42">
        <v>418</v>
      </c>
      <c r="C109" s="51" t="s">
        <v>433</v>
      </c>
      <c r="D109" s="303" t="s">
        <v>90</v>
      </c>
      <c r="E109" s="264"/>
      <c r="F109" s="264"/>
      <c r="G109" s="264"/>
      <c r="H109" s="264"/>
      <c r="I109" s="264"/>
      <c r="J109" s="264"/>
      <c r="K109" s="264"/>
      <c r="L109" s="264"/>
      <c r="M109" s="264"/>
      <c r="N109" s="264"/>
      <c r="O109" s="264"/>
      <c r="P109" s="264"/>
      <c r="Q109" s="264"/>
      <c r="R109" s="264"/>
      <c r="S109" s="264"/>
      <c r="T109" s="264"/>
      <c r="U109" s="264"/>
      <c r="V109" s="264"/>
      <c r="W109" s="264"/>
    </row>
    <row r="110" spans="2:23">
      <c r="B110" s="42">
        <v>419</v>
      </c>
      <c r="C110" s="51" t="s">
        <v>434</v>
      </c>
      <c r="D110" s="303" t="s">
        <v>90</v>
      </c>
      <c r="E110" s="264"/>
      <c r="F110" s="264"/>
      <c r="G110" s="264"/>
      <c r="H110" s="264"/>
      <c r="I110" s="264"/>
      <c r="J110" s="264"/>
      <c r="K110" s="264"/>
      <c r="L110" s="264"/>
      <c r="M110" s="264"/>
      <c r="N110" s="264"/>
      <c r="O110" s="264"/>
      <c r="P110" s="264"/>
      <c r="Q110" s="264"/>
      <c r="R110" s="264"/>
      <c r="S110" s="264"/>
      <c r="T110" s="264"/>
      <c r="U110" s="264"/>
      <c r="V110" s="264"/>
      <c r="W110" s="264"/>
    </row>
    <row r="111" spans="2:23">
      <c r="B111" s="42">
        <v>420</v>
      </c>
      <c r="C111" s="51" t="s">
        <v>435</v>
      </c>
      <c r="D111" s="303" t="s">
        <v>90</v>
      </c>
      <c r="E111" s="264">
        <v>42845</v>
      </c>
      <c r="F111" s="264">
        <v>52845</v>
      </c>
      <c r="G111" s="264">
        <v>67845</v>
      </c>
      <c r="H111" s="264">
        <v>77845</v>
      </c>
      <c r="I111" s="264">
        <v>87845</v>
      </c>
      <c r="J111" s="264"/>
      <c r="K111" s="264"/>
      <c r="L111" s="264"/>
      <c r="M111" s="264"/>
      <c r="N111" s="264"/>
      <c r="O111" s="264"/>
      <c r="P111" s="264"/>
      <c r="Q111" s="264"/>
      <c r="R111" s="264"/>
      <c r="S111" s="264"/>
      <c r="T111" s="264"/>
      <c r="U111" s="264"/>
      <c r="V111" s="264"/>
      <c r="W111" s="264"/>
    </row>
    <row r="112" spans="2:23">
      <c r="B112" s="42">
        <v>421</v>
      </c>
      <c r="C112" s="51" t="s">
        <v>436</v>
      </c>
      <c r="D112" s="303" t="s">
        <v>92</v>
      </c>
      <c r="E112" s="264">
        <v>5095996</v>
      </c>
      <c r="F112" s="264">
        <v>3119758</v>
      </c>
      <c r="G112" s="264">
        <v>4359645</v>
      </c>
      <c r="H112" s="264">
        <v>4718123</v>
      </c>
      <c r="I112" s="264">
        <v>14346643</v>
      </c>
      <c r="J112" s="264"/>
      <c r="K112" s="264"/>
      <c r="L112" s="264"/>
      <c r="M112" s="264"/>
      <c r="N112" s="264"/>
      <c r="O112" s="264"/>
      <c r="P112" s="264"/>
      <c r="Q112" s="264"/>
      <c r="R112" s="264"/>
      <c r="S112" s="264"/>
      <c r="T112" s="264"/>
      <c r="U112" s="264"/>
      <c r="V112" s="264"/>
      <c r="W112" s="264"/>
    </row>
    <row r="113" spans="2:23">
      <c r="B113" s="42" t="s">
        <v>437</v>
      </c>
      <c r="C113" s="51" t="s">
        <v>438</v>
      </c>
      <c r="D113" s="165"/>
      <c r="E113" s="264">
        <v>38952</v>
      </c>
      <c r="F113" s="264">
        <v>5135161</v>
      </c>
      <c r="G113" s="264">
        <v>3107392</v>
      </c>
      <c r="H113" s="264">
        <v>4350965</v>
      </c>
      <c r="I113" s="264">
        <v>4709655</v>
      </c>
      <c r="J113" s="264"/>
      <c r="K113" s="264"/>
      <c r="L113" s="264"/>
      <c r="M113" s="264"/>
      <c r="N113" s="264"/>
      <c r="O113" s="264"/>
      <c r="P113" s="264"/>
      <c r="Q113" s="264"/>
      <c r="R113" s="264"/>
      <c r="S113" s="264"/>
      <c r="T113" s="264"/>
      <c r="U113" s="264"/>
      <c r="V113" s="264"/>
      <c r="W113" s="264"/>
    </row>
    <row r="114" spans="2:23">
      <c r="B114" s="42" t="s">
        <v>439</v>
      </c>
      <c r="C114" s="51" t="s">
        <v>440</v>
      </c>
      <c r="D114" s="165"/>
      <c r="E114" s="264">
        <v>5057045</v>
      </c>
      <c r="F114" s="264">
        <v>-2015403</v>
      </c>
      <c r="G114" s="264">
        <v>1252253</v>
      </c>
      <c r="H114" s="264">
        <v>367158</v>
      </c>
      <c r="I114" s="264">
        <v>9636988</v>
      </c>
      <c r="J114" s="264"/>
      <c r="K114" s="264"/>
      <c r="L114" s="264"/>
      <c r="M114" s="264"/>
      <c r="N114" s="264"/>
      <c r="O114" s="264"/>
      <c r="P114" s="264"/>
      <c r="Q114" s="264"/>
      <c r="R114" s="264"/>
      <c r="S114" s="264"/>
      <c r="T114" s="264"/>
      <c r="U114" s="264"/>
      <c r="V114" s="264"/>
      <c r="W114" s="264"/>
    </row>
    <row r="115" spans="2:23">
      <c r="B115" s="42">
        <v>429</v>
      </c>
      <c r="C115" s="51" t="s">
        <v>441</v>
      </c>
      <c r="D115" s="303" t="s">
        <v>94</v>
      </c>
      <c r="E115" s="264">
        <v>45415478</v>
      </c>
      <c r="F115" s="264">
        <v>44171115</v>
      </c>
      <c r="G115" s="264">
        <v>56656838</v>
      </c>
      <c r="H115" s="264">
        <v>59097849</v>
      </c>
      <c r="I115" s="264">
        <v>25562645</v>
      </c>
      <c r="J115" s="264"/>
      <c r="K115" s="264"/>
      <c r="L115" s="264"/>
      <c r="M115" s="264"/>
      <c r="N115" s="264"/>
      <c r="O115" s="264"/>
      <c r="P115" s="264"/>
      <c r="Q115" s="264"/>
      <c r="R115" s="264"/>
      <c r="S115" s="264"/>
      <c r="T115" s="264"/>
      <c r="U115" s="264"/>
      <c r="V115" s="264"/>
      <c r="W115" s="264"/>
    </row>
    <row r="116" spans="2:23" s="169" customFormat="1">
      <c r="B116" s="43">
        <v>430</v>
      </c>
      <c r="C116" s="50" t="s">
        <v>442</v>
      </c>
      <c r="D116" s="306" t="s">
        <v>90</v>
      </c>
      <c r="E116" s="301"/>
      <c r="F116" s="301"/>
      <c r="G116" s="301"/>
      <c r="H116" s="301"/>
      <c r="I116" s="301"/>
      <c r="J116" s="301"/>
      <c r="K116" s="301"/>
      <c r="L116" s="301"/>
      <c r="M116" s="301"/>
      <c r="N116" s="301"/>
      <c r="O116" s="301"/>
      <c r="P116" s="301"/>
      <c r="Q116" s="301"/>
      <c r="R116" s="301"/>
      <c r="S116" s="301"/>
      <c r="T116" s="301"/>
      <c r="U116" s="301"/>
      <c r="V116" s="301"/>
      <c r="W116" s="301"/>
    </row>
    <row r="117" spans="2:23">
      <c r="B117" s="42">
        <v>431</v>
      </c>
      <c r="C117" s="51" t="s">
        <v>443</v>
      </c>
      <c r="D117" s="303"/>
      <c r="E117" s="264"/>
      <c r="F117" s="264"/>
      <c r="G117" s="264"/>
      <c r="H117" s="264"/>
      <c r="I117" s="264"/>
      <c r="J117" s="264"/>
      <c r="K117" s="264"/>
      <c r="L117" s="264"/>
      <c r="M117" s="264"/>
      <c r="N117" s="264"/>
      <c r="O117" s="264"/>
      <c r="P117" s="264"/>
      <c r="Q117" s="264"/>
      <c r="R117" s="264"/>
      <c r="S117" s="264"/>
      <c r="T117" s="264"/>
      <c r="U117" s="264"/>
      <c r="V117" s="264"/>
      <c r="W117" s="264"/>
    </row>
    <row r="118" spans="2:23">
      <c r="B118" s="42">
        <v>432</v>
      </c>
      <c r="C118" s="51" t="s">
        <v>444</v>
      </c>
      <c r="D118" s="303"/>
      <c r="E118" s="264"/>
      <c r="F118" s="264"/>
      <c r="G118" s="264"/>
      <c r="H118" s="264"/>
      <c r="I118" s="264"/>
      <c r="J118" s="264"/>
      <c r="K118" s="264"/>
      <c r="L118" s="264"/>
      <c r="M118" s="264"/>
      <c r="N118" s="264"/>
      <c r="O118" s="264"/>
      <c r="P118" s="264"/>
      <c r="Q118" s="264"/>
      <c r="R118" s="264"/>
      <c r="S118" s="264"/>
      <c r="T118" s="264"/>
      <c r="U118" s="264"/>
      <c r="V118" s="264"/>
      <c r="W118" s="264"/>
    </row>
    <row r="119" spans="2:23" s="169" customFormat="1" ht="18.75" customHeight="1">
      <c r="B119" s="44">
        <v>440</v>
      </c>
      <c r="C119" s="55" t="s">
        <v>445</v>
      </c>
      <c r="D119" s="168"/>
      <c r="E119" s="301">
        <v>287974177</v>
      </c>
      <c r="F119" s="301">
        <v>403740754</v>
      </c>
      <c r="G119" s="301">
        <v>422503767</v>
      </c>
      <c r="H119" s="301">
        <v>428384465</v>
      </c>
      <c r="I119" s="301">
        <v>577407240</v>
      </c>
      <c r="J119" s="301"/>
      <c r="K119" s="301"/>
      <c r="L119" s="301"/>
      <c r="M119" s="301"/>
      <c r="N119" s="301"/>
      <c r="O119" s="301"/>
      <c r="P119" s="301"/>
      <c r="Q119" s="301"/>
      <c r="R119" s="301"/>
      <c r="S119" s="301"/>
      <c r="T119" s="301"/>
      <c r="U119" s="301"/>
      <c r="V119" s="301"/>
      <c r="W119" s="301"/>
    </row>
    <row r="120" spans="2:23">
      <c r="E120" s="280"/>
      <c r="F120" s="280"/>
      <c r="G120" s="280"/>
      <c r="H120" s="280"/>
      <c r="I120" s="280"/>
      <c r="J120" s="280"/>
      <c r="K120" s="280"/>
      <c r="L120" s="280"/>
      <c r="M120" s="280"/>
      <c r="N120" s="280"/>
      <c r="O120" s="280"/>
      <c r="P120" s="280"/>
      <c r="Q120" s="280"/>
      <c r="R120" s="280"/>
      <c r="S120" s="280"/>
      <c r="T120" s="280"/>
      <c r="U120" s="280"/>
      <c r="V120" s="280"/>
      <c r="W120" s="280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Q41"/>
  <sheetViews>
    <sheetView workbookViewId="0">
      <selection activeCell="H10" sqref="H10:H12"/>
    </sheetView>
  </sheetViews>
  <sheetFormatPr defaultColWidth="8.88671875" defaultRowHeight="14.4"/>
  <cols>
    <col min="2" max="2" width="48" style="162" bestFit="1" customWidth="1"/>
    <col min="3" max="6" width="12.44140625" style="162" customWidth="1"/>
    <col min="7" max="7" width="9.88671875" style="162" bestFit="1" customWidth="1"/>
    <col min="8" max="11" width="10.88671875" style="162" bestFit="1" customWidth="1"/>
    <col min="12" max="14" width="17" style="162" bestFit="1" customWidth="1"/>
    <col min="15" max="15" width="11.44140625" style="162" hidden="1" customWidth="1"/>
    <col min="16" max="17" width="0" style="162" hidden="1"/>
  </cols>
  <sheetData>
    <row r="1" spans="1:17">
      <c r="B1" s="1" t="s">
        <v>209</v>
      </c>
    </row>
    <row r="2" spans="1:17">
      <c r="B2" s="1"/>
      <c r="O2">
        <v>1000000</v>
      </c>
    </row>
    <row r="3" spans="1:17">
      <c r="B3" s="1"/>
      <c r="C3" s="37">
        <v>2015</v>
      </c>
      <c r="D3" s="37">
        <f t="shared" ref="D3:N3" si="0">C3+1</f>
        <v>2016</v>
      </c>
      <c r="E3" s="37">
        <f t="shared" si="0"/>
        <v>2017</v>
      </c>
      <c r="F3" s="37">
        <f t="shared" si="0"/>
        <v>2018</v>
      </c>
      <c r="G3" s="37">
        <f t="shared" si="0"/>
        <v>2019</v>
      </c>
      <c r="H3" s="37">
        <f t="shared" si="0"/>
        <v>2020</v>
      </c>
      <c r="I3" s="37">
        <f t="shared" si="0"/>
        <v>2021</v>
      </c>
      <c r="J3" s="37">
        <f t="shared" si="0"/>
        <v>2022</v>
      </c>
      <c r="K3" s="37">
        <f t="shared" si="0"/>
        <v>2023</v>
      </c>
      <c r="L3" s="37">
        <f t="shared" si="0"/>
        <v>2024</v>
      </c>
      <c r="M3" s="37">
        <f t="shared" si="0"/>
        <v>2025</v>
      </c>
      <c r="N3" s="37">
        <f t="shared" si="0"/>
        <v>2026</v>
      </c>
    </row>
    <row r="4" spans="1:17" s="62" customFormat="1">
      <c r="B4" s="66" t="s">
        <v>446</v>
      </c>
      <c r="C4" s="67">
        <f t="shared" ref="C4:J4" si="1">C5</f>
        <v>0</v>
      </c>
      <c r="D4" s="67">
        <f t="shared" si="1"/>
        <v>0</v>
      </c>
      <c r="E4" s="67">
        <f t="shared" si="1"/>
        <v>0</v>
      </c>
      <c r="F4" s="67">
        <f t="shared" si="1"/>
        <v>0</v>
      </c>
      <c r="G4" s="67">
        <f t="shared" si="1"/>
        <v>0</v>
      </c>
      <c r="H4" s="67">
        <f t="shared" si="1"/>
        <v>0</v>
      </c>
      <c r="I4" s="67">
        <f t="shared" si="1"/>
        <v>0</v>
      </c>
      <c r="J4" s="67">
        <f t="shared" si="1"/>
        <v>0</v>
      </c>
      <c r="K4" s="67"/>
      <c r="L4" s="67"/>
      <c r="M4" s="67"/>
      <c r="N4" s="67"/>
    </row>
    <row r="5" spans="1:17">
      <c r="A5" s="42" t="s">
        <v>447</v>
      </c>
      <c r="B5" s="2" t="s">
        <v>448</v>
      </c>
      <c r="C5" s="20">
        <f>SUMIF(PL.data!$B$3:$B$25,PL!$A5,PL.data!P$3:P$25)</f>
        <v>0</v>
      </c>
      <c r="D5" s="20">
        <f>SUMIF(PL.data!$B$3:$B$25,PL!$A5,PL.data!Q$3:Q$25)</f>
        <v>0</v>
      </c>
      <c r="E5" s="20">
        <f>SUMIF(PL.data!$B$3:$B$25,PL!$A5,PL.data!R$3:R$25)</f>
        <v>0</v>
      </c>
      <c r="F5" s="20">
        <f>SUMIF(PL.data!$B$3:$B$25,PL!$A5,PL.data!S$3:S$25)</f>
        <v>0</v>
      </c>
      <c r="G5" s="20">
        <f>SUMIF(PL.data!$B$3:$B$25,PL!$A5,PL.data!T$3:T$25)</f>
        <v>0</v>
      </c>
      <c r="H5" s="20">
        <f>SUMIF(PL.data!$B$3:$B$25,PL!$A5,PL.data!U$3:U$25)</f>
        <v>0</v>
      </c>
      <c r="I5" s="20">
        <f>SUMIF(PL.data!$B$3:$B$25,PL!$A5,PL.data!V$3:V$25)</f>
        <v>0</v>
      </c>
      <c r="J5" s="20">
        <f>SUMIF(PL.data!$B$3:$B$25,PL!$A5,PL.data!W$3:W$25)</f>
        <v>0</v>
      </c>
      <c r="K5" s="20"/>
      <c r="L5" s="20"/>
      <c r="M5" s="20"/>
      <c r="N5" s="20"/>
      <c r="O5" s="36">
        <f t="shared" ref="O5:Q21" si="2">O24/$O$2</f>
        <v>128938.48853180651</v>
      </c>
      <c r="P5" s="36">
        <f t="shared" si="2"/>
        <v>303410.32500341709</v>
      </c>
      <c r="Q5" s="36">
        <f t="shared" si="2"/>
        <v>560343.38947109948</v>
      </c>
    </row>
    <row r="6" spans="1:17">
      <c r="A6" s="42" t="s">
        <v>449</v>
      </c>
      <c r="B6" s="1" t="s">
        <v>450</v>
      </c>
      <c r="C6" s="20">
        <f>SUMIF(PL.data!$B$3:$B$25,PL!$A6,PL.data!P$3:P$25)</f>
        <v>0</v>
      </c>
      <c r="D6" s="20">
        <f>SUMIF(PL.data!$B$3:$B$25,PL!$A6,PL.data!Q$3:Q$25)</f>
        <v>0</v>
      </c>
      <c r="E6" s="20">
        <f>SUMIF(PL.data!$B$3:$B$25,PL!$A6,PL.data!R$3:R$25)</f>
        <v>0</v>
      </c>
      <c r="F6" s="20">
        <f>SUMIF(PL.data!$B$3:$B$25,PL!$A6,PL.data!S$3:S$25)</f>
        <v>0</v>
      </c>
      <c r="G6" s="20">
        <f>SUMIF(PL.data!$B$3:$B$25,PL!$A6,PL.data!T$3:T$25)</f>
        <v>0</v>
      </c>
      <c r="H6" s="20">
        <f>SUMIF(PL.data!$B$3:$B$25,PL!$A6,PL.data!U$3:U$25)</f>
        <v>0</v>
      </c>
      <c r="I6" s="20">
        <f>SUMIF(PL.data!$B$3:$B$25,PL!$A6,PL.data!V$3:V$25)</f>
        <v>0</v>
      </c>
      <c r="J6" s="20">
        <f>SUMIF(PL.data!$B$3:$B$25,PL!$A6,PL.data!W$3:W$25)</f>
        <v>0</v>
      </c>
      <c r="K6" s="20"/>
      <c r="L6" s="20"/>
      <c r="M6" s="20"/>
      <c r="N6" s="20"/>
      <c r="O6" s="36">
        <f t="shared" si="2"/>
        <v>0</v>
      </c>
      <c r="P6" s="36">
        <f t="shared" si="2"/>
        <v>0</v>
      </c>
      <c r="Q6" s="36">
        <f t="shared" si="2"/>
        <v>0</v>
      </c>
    </row>
    <row r="7" spans="1:17">
      <c r="A7" s="43" t="s">
        <v>451</v>
      </c>
      <c r="B7" s="1" t="s">
        <v>452</v>
      </c>
      <c r="C7" s="20">
        <f>SUMIF(PL.data!$B$3:$B$25,PL!$A7,PL.data!P$3:P$25)</f>
        <v>0</v>
      </c>
      <c r="D7" s="20">
        <f>SUMIF(PL.data!$B$3:$B$25,PL!$A7,PL.data!Q$3:Q$25)</f>
        <v>0</v>
      </c>
      <c r="E7" s="20">
        <f>SUMIF(PL.data!$B$3:$B$25,PL!$A7,PL.data!R$3:R$25)</f>
        <v>0</v>
      </c>
      <c r="F7" s="20">
        <f>SUMIF(PL.data!$B$3:$B$25,PL!$A7,PL.data!S$3:S$25)</f>
        <v>0</v>
      </c>
      <c r="G7" s="20">
        <f>SUMIF(PL.data!$B$3:$B$25,PL!$A7,PL.data!T$3:T$25)</f>
        <v>0</v>
      </c>
      <c r="H7" s="20">
        <f>SUMIF(PL.data!$B$3:$B$25,PL!$A7,PL.data!U$3:U$25)</f>
        <v>0</v>
      </c>
      <c r="I7" s="20">
        <f>SUMIF(PL.data!$B$3:$B$25,PL!$A7,PL.data!V$3:V$25)</f>
        <v>0</v>
      </c>
      <c r="J7" s="20">
        <f>SUMIF(PL.data!$B$3:$B$25,PL!$A7,PL.data!W$3:W$25)</f>
        <v>0</v>
      </c>
      <c r="K7" s="20"/>
      <c r="L7" s="20"/>
      <c r="M7" s="20"/>
      <c r="N7" s="20"/>
      <c r="O7" s="36">
        <f t="shared" si="2"/>
        <v>0</v>
      </c>
      <c r="P7" s="36">
        <f t="shared" si="2"/>
        <v>0</v>
      </c>
      <c r="Q7" s="36">
        <f t="shared" si="2"/>
        <v>0</v>
      </c>
    </row>
    <row r="8" spans="1:17">
      <c r="A8" s="42" t="s">
        <v>453</v>
      </c>
      <c r="B8" s="1" t="s">
        <v>454</v>
      </c>
      <c r="C8" s="20">
        <f>SUMIF(PL.data!$B$3:$B$25,PL!$A8,PL.data!P$3:P$25)</f>
        <v>0</v>
      </c>
      <c r="D8" s="20">
        <f>SUMIF(PL.data!$B$3:$B$25,PL!$A8,PL.data!Q$3:Q$25)</f>
        <v>0</v>
      </c>
      <c r="E8" s="20">
        <f>SUMIF(PL.data!$B$3:$B$25,PL!$A8,PL.data!R$3:R$25)</f>
        <v>0</v>
      </c>
      <c r="F8" s="20">
        <f>SUMIF(PL.data!$B$3:$B$25,PL!$A8,PL.data!S$3:S$25)</f>
        <v>0</v>
      </c>
      <c r="G8" s="20">
        <f>SUMIF(PL.data!$B$3:$B$25,PL!$A8,PL.data!T$3:T$25)</f>
        <v>0</v>
      </c>
      <c r="H8" s="20">
        <f>SUMIF(PL.data!$B$3:$B$25,PL!$A8,PL.data!U$3:U$25)</f>
        <v>0</v>
      </c>
      <c r="I8" s="20">
        <f>SUMIF(PL.data!$B$3:$B$25,PL!$A8,PL.data!V$3:V$25)</f>
        <v>0</v>
      </c>
      <c r="J8" s="20">
        <f>SUMIF(PL.data!$B$3:$B$25,PL!$A8,PL.data!W$3:W$25)</f>
        <v>0</v>
      </c>
      <c r="K8" s="20"/>
      <c r="L8" s="20"/>
      <c r="M8" s="20"/>
      <c r="N8" s="20"/>
      <c r="O8" s="36">
        <f t="shared" si="2"/>
        <v>106357.0291176367</v>
      </c>
      <c r="P8" s="36">
        <f t="shared" si="2"/>
        <v>208607.01086422848</v>
      </c>
      <c r="Q8" s="36">
        <f t="shared" si="2"/>
        <v>329364.26083113201</v>
      </c>
    </row>
    <row r="9" spans="1:17" s="62" customFormat="1">
      <c r="A9" s="65" t="s">
        <v>455</v>
      </c>
      <c r="B9" s="66" t="s">
        <v>456</v>
      </c>
      <c r="C9" s="67">
        <f>SUMIF(PL.data!$B$3:$B$25,PL!$A9,PL.data!P$3:P$25)</f>
        <v>0</v>
      </c>
      <c r="D9" s="67">
        <f>SUMIF(PL.data!$B$3:$B$25,PL!$A9,PL.data!Q$3:Q$25)</f>
        <v>0</v>
      </c>
      <c r="E9" s="67">
        <f>SUMIF(PL.data!$B$3:$B$25,PL!$A9,PL.data!R$3:R$25)</f>
        <v>0</v>
      </c>
      <c r="F9" s="67">
        <f>SUMIF(PL.data!$B$3:$B$25,PL!$A9,PL.data!S$3:S$25)</f>
        <v>0</v>
      </c>
      <c r="G9" s="67">
        <f>SUMIF(PL.data!$B$3:$B$25,PL!$A9,PL.data!T$3:T$25)</f>
        <v>0</v>
      </c>
      <c r="H9" s="67">
        <f>SUMIF(PL.data!$B$3:$B$25,PL!$A9,PL.data!U$3:U$25)</f>
        <v>0</v>
      </c>
      <c r="I9" s="67">
        <f>SUMIF(PL.data!$B$3:$B$25,PL!$A9,PL.data!V$3:V$25)</f>
        <v>0</v>
      </c>
      <c r="J9" s="67">
        <f>SUMIF(PL.data!$B$3:$B$25,PL!$A9,PL.data!W$3:W$25)</f>
        <v>0</v>
      </c>
      <c r="K9" s="67"/>
      <c r="L9" s="67"/>
      <c r="M9" s="67"/>
      <c r="N9" s="67"/>
      <c r="O9" s="61">
        <f t="shared" si="2"/>
        <v>0</v>
      </c>
      <c r="P9" s="61">
        <f t="shared" si="2"/>
        <v>0</v>
      </c>
      <c r="Q9" s="61">
        <f t="shared" si="2"/>
        <v>0</v>
      </c>
    </row>
    <row r="10" spans="1:17">
      <c r="A10" s="42" t="s">
        <v>457</v>
      </c>
      <c r="B10" s="1" t="s">
        <v>458</v>
      </c>
      <c r="C10" s="20">
        <f>SUMIF(PL.data!$B$3:$B$25,PL!$A10,PL.data!P$3:P$25)</f>
        <v>0</v>
      </c>
      <c r="D10" s="20">
        <f>SUMIF(PL.data!$B$3:$B$25,PL!$A10,PL.data!Q$3:Q$25)</f>
        <v>0</v>
      </c>
      <c r="E10" s="20">
        <f>SUMIF(PL.data!$B$3:$B$25,PL!$A10,PL.data!R$3:R$25)</f>
        <v>0</v>
      </c>
      <c r="F10" s="20">
        <f>SUMIF(PL.data!$B$3:$B$25,PL!$A10,PL.data!S$3:S$25)</f>
        <v>0</v>
      </c>
      <c r="G10" s="20">
        <f>SUMIF(PL.data!$B$3:$B$25,PL!$A10,PL.data!T$3:T$25)</f>
        <v>0</v>
      </c>
      <c r="H10" s="20">
        <f>SUMIF(PL.data!$B$3:$B$25,PL!$A10,PL.data!U$3:U$25)</f>
        <v>0</v>
      </c>
      <c r="I10" s="20">
        <f>SUMIF(PL.data!$B$3:$B$25,PL!$A10,PL.data!V$3:V$25)</f>
        <v>0</v>
      </c>
      <c r="J10" s="20">
        <f>SUMIF(PL.data!$B$3:$B$25,PL!$A10,PL.data!W$3:W$25)</f>
        <v>0</v>
      </c>
      <c r="K10" s="20"/>
      <c r="L10" s="20"/>
      <c r="M10" s="20"/>
      <c r="N10" s="20"/>
      <c r="O10" s="36">
        <f t="shared" si="2"/>
        <v>520838.16498239397</v>
      </c>
      <c r="P10" s="36">
        <f t="shared" si="2"/>
        <v>540714.33897809801</v>
      </c>
      <c r="Q10" s="36">
        <f t="shared" si="2"/>
        <v>521747.05707464699</v>
      </c>
    </row>
    <row r="11" spans="1:17">
      <c r="A11" s="42" t="s">
        <v>459</v>
      </c>
      <c r="B11" s="1" t="s">
        <v>460</v>
      </c>
      <c r="C11" s="20">
        <v>-68270</v>
      </c>
      <c r="D11" s="20">
        <v>-216333</v>
      </c>
      <c r="E11" s="20">
        <f>SUMIF(PL.data!$B$3:$B$25,PL!$A11,PL.data!R$3:R$25)</f>
        <v>0</v>
      </c>
      <c r="F11" s="20">
        <f>SUMIF(PL.data!$B$3:$B$25,PL!$A11,PL.data!S$3:S$25)</f>
        <v>0</v>
      </c>
      <c r="G11" s="20">
        <f>SUMIF(PL.data!$B$3:$B$25,PL!$A11,PL.data!T$3:T$25)</f>
        <v>0</v>
      </c>
      <c r="H11" s="20">
        <f>SUMIF(PL.data!$B$3:$B$25,PL!$A11,PL.data!U$3:U$25)</f>
        <v>0</v>
      </c>
      <c r="I11" s="20">
        <f>SUMIF(PL.data!$B$3:$B$25,PL!$A11,PL.data!V$3:V$25)</f>
        <v>0</v>
      </c>
      <c r="J11" s="20">
        <f>SUMIF(PL.data!$B$3:$B$25,PL!$A11,PL.data!W$3:W$25)</f>
        <v>0</v>
      </c>
      <c r="K11" s="20"/>
      <c r="L11" s="20"/>
      <c r="M11" s="20"/>
      <c r="N11" s="20"/>
      <c r="O11" s="36">
        <f t="shared" si="2"/>
        <v>-271426.92026190599</v>
      </c>
      <c r="P11" s="36">
        <f t="shared" si="2"/>
        <v>-254475.45534463198</v>
      </c>
      <c r="Q11" s="36">
        <f t="shared" si="2"/>
        <v>-263381.26988555299</v>
      </c>
    </row>
    <row r="12" spans="1:17">
      <c r="A12" s="42" t="s">
        <v>461</v>
      </c>
      <c r="B12" s="2" t="s">
        <v>462</v>
      </c>
      <c r="C12" s="20">
        <v>-80245</v>
      </c>
      <c r="D12" s="20">
        <f>SUMIF(PL.data!$B$3:$B$25,PL!$A12,PL.data!Q$3:Q$25)</f>
        <v>0</v>
      </c>
      <c r="E12" s="20">
        <f>SUMIF(PL.data!$B$3:$B$25,PL!$A12,PL.data!R$3:R$25)</f>
        <v>0</v>
      </c>
      <c r="F12" s="20">
        <f>SUMIF(PL.data!$B$3:$B$25,PL!$A12,PL.data!S$3:S$25)</f>
        <v>0</v>
      </c>
      <c r="G12" s="20">
        <f>SUMIF(PL.data!$B$3:$B$25,PL!$A12,PL.data!T$3:T$25)</f>
        <v>0</v>
      </c>
      <c r="H12" s="20">
        <f>SUMIF(PL.data!$B$3:$B$25,PL!$A12,PL.data!U$3:U$25)</f>
        <v>0</v>
      </c>
      <c r="I12" s="20">
        <f>SUMIF(PL.data!$B$3:$B$25,PL!$A12,PL.data!V$3:V$25)</f>
        <v>0</v>
      </c>
      <c r="J12" s="20">
        <f>SUMIF(PL.data!$B$3:$B$25,PL!$A12,PL.data!W$3:W$25)</f>
        <v>0</v>
      </c>
      <c r="K12" s="20"/>
      <c r="L12" s="20"/>
      <c r="M12" s="20"/>
      <c r="N12" s="20"/>
      <c r="O12" s="36">
        <f t="shared" si="2"/>
        <v>-221426.92026190599</v>
      </c>
      <c r="P12" s="36">
        <f t="shared" si="2"/>
        <v>-204475.45534463198</v>
      </c>
      <c r="Q12" s="36">
        <f t="shared" si="2"/>
        <v>-213381.26988555302</v>
      </c>
    </row>
    <row r="13" spans="1:17">
      <c r="A13" s="42">
        <v>24</v>
      </c>
      <c r="B13" s="2" t="s">
        <v>463</v>
      </c>
      <c r="C13" s="20">
        <v>59891</v>
      </c>
      <c r="D13" s="20">
        <f>SUMIF(PL.data!$B$3:$B$25,PL!$A13,PL.data!Q$3:Q$25)</f>
        <v>0</v>
      </c>
      <c r="E13" s="20">
        <f>SUMIF(PL.data!$B$3:$B$25,PL!$A13,PL.data!R$3:R$25)</f>
        <v>0</v>
      </c>
      <c r="F13" s="20">
        <f>SUMIF(PL.data!$B$3:$B$25,PL!$A13,PL.data!S$3:S$25)</f>
        <v>0</v>
      </c>
      <c r="G13" s="20">
        <f>SUMIF(PL.data!$B$3:$B$25,PL!$A13,PL.data!T$3:T$25)</f>
        <v>0</v>
      </c>
      <c r="H13" s="20">
        <f>SUMIF(PL.data!$B$3:$B$25,PL!$A13,PL.data!U$3:U$25)</f>
        <v>0</v>
      </c>
      <c r="I13" s="20">
        <f>SUMIF(PL.data!$B$3:$B$25,PL!$A13,PL.data!V$3:V$25)</f>
        <v>0</v>
      </c>
      <c r="J13" s="20">
        <f>SUMIF(PL.data!$B$3:$B$25,PL!$A13,PL.data!W$3:W$25)</f>
        <v>0</v>
      </c>
      <c r="K13" s="20"/>
      <c r="L13" s="20"/>
      <c r="M13" s="20"/>
      <c r="N13" s="20"/>
      <c r="O13" s="36">
        <f t="shared" si="2"/>
        <v>0</v>
      </c>
      <c r="P13" s="36">
        <f t="shared" si="2"/>
        <v>0</v>
      </c>
      <c r="Q13" s="36">
        <f t="shared" si="2"/>
        <v>0</v>
      </c>
    </row>
    <row r="14" spans="1:17">
      <c r="A14" s="42" t="s">
        <v>464</v>
      </c>
      <c r="B14" s="1" t="s">
        <v>465</v>
      </c>
      <c r="C14" s="20">
        <v>-68366</v>
      </c>
      <c r="D14" s="20">
        <f>SUMIF(PL.data!$B$3:$B$25,PL!$A14,PL.data!Q$3:Q$25)</f>
        <v>0</v>
      </c>
      <c r="E14" s="20">
        <f>SUMIF(PL.data!$B$3:$B$25,PL!$A14,PL.data!R$3:R$25)</f>
        <v>0</v>
      </c>
      <c r="F14" s="20">
        <f>SUMIF(PL.data!$B$3:$B$25,PL!$A14,PL.data!S$3:S$25)</f>
        <v>0</v>
      </c>
      <c r="G14" s="20">
        <f>SUMIF(PL.data!$B$3:$B$25,PL!$A14,PL.data!T$3:T$25)</f>
        <v>0</v>
      </c>
      <c r="H14" s="20">
        <f>SUMIF(PL.data!$B$3:$B$25,PL!$A14,PL.data!U$3:U$25)</f>
        <v>0</v>
      </c>
      <c r="I14" s="20">
        <f>SUMIF(PL.data!$B$3:$B$25,PL!$A14,PL.data!V$3:V$25)</f>
        <v>0</v>
      </c>
      <c r="J14" s="20">
        <f>SUMIF(PL.data!$B$3:$B$25,PL!$A14,PL.data!W$3:W$25)</f>
        <v>0</v>
      </c>
      <c r="K14" s="20"/>
      <c r="L14" s="20"/>
      <c r="M14" s="20"/>
      <c r="N14" s="20"/>
      <c r="O14" s="36">
        <f t="shared" si="2"/>
        <v>-932.02198320000002</v>
      </c>
      <c r="P14" s="36">
        <f t="shared" si="2"/>
        <v>-1043.864621184</v>
      </c>
      <c r="Q14" s="36">
        <f t="shared" si="2"/>
        <v>-1200.4443143615999</v>
      </c>
    </row>
    <row r="15" spans="1:17">
      <c r="A15" s="42" t="s">
        <v>466</v>
      </c>
      <c r="B15" s="1" t="s">
        <v>467</v>
      </c>
      <c r="C15" s="20">
        <v>-65543</v>
      </c>
      <c r="D15" s="20">
        <f>SUMIF(PL.data!$B$3:$B$25,PL!$A15,PL.data!Q$3:Q$25)</f>
        <v>0</v>
      </c>
      <c r="E15" s="20">
        <f>SUMIF(PL.data!$B$3:$B$25,PL!$A15,PL.data!R$3:R$25)</f>
        <v>0</v>
      </c>
      <c r="F15" s="20">
        <f>SUMIF(PL.data!$B$3:$B$25,PL!$A15,PL.data!S$3:S$25)</f>
        <v>0</v>
      </c>
      <c r="G15" s="20">
        <f>SUMIF(PL.data!$B$3:$B$25,PL!$A15,PL.data!T$3:T$25)</f>
        <v>0</v>
      </c>
      <c r="H15" s="20">
        <f>SUMIF(PL.data!$B$3:$B$25,PL!$A15,PL.data!U$3:U$25)</f>
        <v>0</v>
      </c>
      <c r="I15" s="20">
        <f>SUMIF(PL.data!$B$3:$B$25,PL!$A15,PL.data!V$3:V$25)</f>
        <v>0</v>
      </c>
      <c r="J15" s="20">
        <f>SUMIF(PL.data!$B$3:$B$25,PL!$A15,PL.data!W$3:W$25)</f>
        <v>0</v>
      </c>
      <c r="K15" s="20"/>
      <c r="L15" s="20"/>
      <c r="M15" s="20"/>
      <c r="N15" s="20"/>
      <c r="O15" s="36">
        <f t="shared" si="2"/>
        <v>-251093.59441002802</v>
      </c>
      <c r="P15" s="36">
        <f t="shared" si="2"/>
        <v>-281224.82573923102</v>
      </c>
      <c r="Q15" s="36">
        <f t="shared" si="2"/>
        <v>-323408.54960011604</v>
      </c>
    </row>
    <row r="16" spans="1:17" s="62" customFormat="1">
      <c r="A16" s="65" t="s">
        <v>468</v>
      </c>
      <c r="B16" s="66" t="s">
        <v>469</v>
      </c>
      <c r="C16" s="67">
        <v>200165</v>
      </c>
      <c r="D16" s="67">
        <v>303829</v>
      </c>
      <c r="E16" s="67">
        <f>SUMIF(PL.data!$B$3:$B$25,PL!$A16,PL.data!R$3:R$25)</f>
        <v>0</v>
      </c>
      <c r="F16" s="67">
        <f>SUMIF(PL.data!$B$3:$B$25,PL!$A16,PL.data!S$3:S$25)</f>
        <v>0</v>
      </c>
      <c r="G16" s="67">
        <f>SUMIF(PL.data!$B$3:$B$25,PL!$A16,PL.data!T$3:T$25)</f>
        <v>0</v>
      </c>
      <c r="H16" s="67">
        <f>SUMIF(PL.data!$B$3:$B$25,PL!$A16,PL.data!U$3:U$25)</f>
        <v>0</v>
      </c>
      <c r="I16" s="67">
        <f>SUMIF(PL.data!$B$3:$B$25,PL!$A16,PL.data!V$3:V$25)</f>
        <v>0</v>
      </c>
      <c r="J16" s="67">
        <f>SUMIF(PL.data!$B$3:$B$25,PL!$A16,PL.data!W$3:W$25)</f>
        <v>0</v>
      </c>
      <c r="K16" s="67"/>
      <c r="L16" s="67"/>
      <c r="M16" s="67"/>
      <c r="N16" s="67"/>
      <c r="O16" s="61">
        <f t="shared" si="2"/>
        <v>0</v>
      </c>
      <c r="P16" s="61">
        <f t="shared" si="2"/>
        <v>0</v>
      </c>
      <c r="Q16" s="61">
        <f t="shared" si="2"/>
        <v>0</v>
      </c>
    </row>
    <row r="17" spans="1:17">
      <c r="A17" s="42" t="s">
        <v>470</v>
      </c>
      <c r="B17" s="1" t="s">
        <v>471</v>
      </c>
      <c r="C17" s="20">
        <v>10601</v>
      </c>
      <c r="D17" s="20">
        <f>SUMIF(PL.data!$B$3:$B$25,PL!$A17,PL.data!Q$3:Q$25)</f>
        <v>0</v>
      </c>
      <c r="E17" s="20">
        <f>SUMIF(PL.data!$B$3:$B$25,PL!$A17,PL.data!R$3:R$25)</f>
        <v>0</v>
      </c>
      <c r="F17" s="20">
        <f>SUMIF(PL.data!$B$3:$B$25,PL!$A17,PL.data!S$3:S$25)</f>
        <v>0</v>
      </c>
      <c r="G17" s="20">
        <f>SUMIF(PL.data!$B$3:$B$25,PL!$A17,PL.data!T$3:T$25)</f>
        <v>0</v>
      </c>
      <c r="H17" s="20">
        <f>SUMIF(PL.data!$B$3:$B$25,PL!$A17,PL.data!U$3:U$25)</f>
        <v>0</v>
      </c>
      <c r="I17" s="20">
        <f>SUMIF(PL.data!$B$3:$B$25,PL!$A17,PL.data!V$3:V$25)</f>
        <v>0</v>
      </c>
      <c r="J17" s="20">
        <f>SUMIF(PL.data!$B$3:$B$25,PL!$A17,PL.data!W$3:W$25)</f>
        <v>0</v>
      </c>
      <c r="K17" s="20"/>
      <c r="L17" s="20"/>
      <c r="M17" s="20"/>
      <c r="N17" s="20"/>
      <c r="O17" s="36">
        <f t="shared" si="2"/>
        <v>2804.0602788000001</v>
      </c>
      <c r="P17" s="36">
        <f t="shared" si="2"/>
        <v>3084.4663066799999</v>
      </c>
      <c r="Q17" s="36">
        <f t="shared" si="2"/>
        <v>3392.9129373480009</v>
      </c>
    </row>
    <row r="18" spans="1:17">
      <c r="A18" s="42" t="s">
        <v>472</v>
      </c>
      <c r="B18" s="1" t="s">
        <v>473</v>
      </c>
      <c r="C18" s="20">
        <v>-2461</v>
      </c>
      <c r="D18" s="20">
        <f>SUMIF(PL.data!$B$3:$B$25,PL!$A18,PL.data!Q$3:Q$25)</f>
        <v>0</v>
      </c>
      <c r="E18" s="20">
        <f>SUMIF(PL.data!$B$3:$B$25,PL!$A18,PL.data!R$3:R$25)</f>
        <v>0</v>
      </c>
      <c r="F18" s="20">
        <f>SUMIF(PL.data!$B$3:$B$25,PL!$A18,PL.data!S$3:S$25)</f>
        <v>0</v>
      </c>
      <c r="G18" s="20">
        <f>SUMIF(PL.data!$B$3:$B$25,PL!$A18,PL.data!T$3:T$25)</f>
        <v>0</v>
      </c>
      <c r="H18" s="20">
        <f>SUMIF(PL.data!$B$3:$B$25,PL!$A18,PL.data!U$3:U$25)</f>
        <v>0</v>
      </c>
      <c r="I18" s="20">
        <f>SUMIF(PL.data!$B$3:$B$25,PL!$A18,PL.data!V$3:V$25)</f>
        <v>0</v>
      </c>
      <c r="J18" s="20">
        <f>SUMIF(PL.data!$B$3:$B$25,PL!$A18,PL.data!W$3:W$25)</f>
        <v>0</v>
      </c>
      <c r="K18" s="20"/>
      <c r="L18" s="20"/>
      <c r="M18" s="20"/>
      <c r="N18" s="20"/>
      <c r="O18" s="36">
        <f t="shared" si="2"/>
        <v>-9483.7812080000003</v>
      </c>
      <c r="P18" s="36">
        <f t="shared" si="2"/>
        <v>-10432.159328799999</v>
      </c>
      <c r="Q18" s="36">
        <f t="shared" si="2"/>
        <v>-11475.375261680001</v>
      </c>
    </row>
    <row r="19" spans="1:17" s="62" customFormat="1">
      <c r="A19" s="65" t="s">
        <v>474</v>
      </c>
      <c r="B19" s="66" t="s">
        <v>475</v>
      </c>
      <c r="C19" s="67">
        <v>8140</v>
      </c>
      <c r="D19" s="67">
        <f>SUMIF(PL.data!$B$3:$B$25,PL!$A19,PL.data!Q$3:Q$25)</f>
        <v>0</v>
      </c>
      <c r="E19" s="67">
        <f>SUMIF(PL.data!$B$3:$B$25,PL!$A19,PL.data!R$3:R$25)</f>
        <v>0</v>
      </c>
      <c r="F19" s="67">
        <f>SUMIF(PL.data!$B$3:$B$25,PL!$A19,PL.data!S$3:S$25)</f>
        <v>0</v>
      </c>
      <c r="G19" s="67">
        <f>SUMIF(PL.data!$B$3:$B$25,PL!$A19,PL.data!T$3:T$25)</f>
        <v>0</v>
      </c>
      <c r="H19" s="67">
        <f>SUMIF(PL.data!$B$3:$B$25,PL!$A19,PL.data!U$3:U$25)</f>
        <v>0</v>
      </c>
      <c r="I19" s="67">
        <f>SUMIF(PL.data!$B$3:$B$25,PL!$A19,PL.data!V$3:V$25)</f>
        <v>0</v>
      </c>
      <c r="J19" s="67">
        <f>SUMIF(PL.data!$B$3:$B$25,PL!$A19,PL.data!W$3:W$25)</f>
        <v>0</v>
      </c>
      <c r="K19" s="67"/>
      <c r="L19" s="67"/>
      <c r="M19" s="67"/>
      <c r="N19" s="67"/>
      <c r="O19" s="61">
        <f t="shared" si="2"/>
        <v>0</v>
      </c>
      <c r="P19" s="61">
        <f t="shared" si="2"/>
        <v>0</v>
      </c>
      <c r="Q19" s="61">
        <f t="shared" si="2"/>
        <v>0</v>
      </c>
    </row>
    <row r="20" spans="1:17" s="62" customFormat="1">
      <c r="A20" s="65" t="s">
        <v>476</v>
      </c>
      <c r="B20" s="66" t="s">
        <v>477</v>
      </c>
      <c r="C20" s="67">
        <v>208306</v>
      </c>
      <c r="D20" s="67">
        <v>310076</v>
      </c>
      <c r="E20" s="67">
        <f>SUMIF(PL.data!$B$3:$B$25,PL!$A20,PL.data!R$3:R$25)</f>
        <v>0</v>
      </c>
      <c r="F20" s="67">
        <f>SUMIF(PL.data!$B$3:$B$25,PL!$A20,PL.data!S$3:S$25)</f>
        <v>0</v>
      </c>
      <c r="G20" s="67">
        <f>SUMIF(PL.data!$B$3:$B$25,PL!$A20,PL.data!T$3:T$25)</f>
        <v>0</v>
      </c>
      <c r="H20" s="67">
        <f>SUMIF(PL.data!$B$3:$B$25,PL!$A20,PL.data!U$3:U$25)</f>
        <v>0</v>
      </c>
      <c r="I20" s="67">
        <f>SUMIF(PL.data!$B$3:$B$25,PL!$A20,PL.data!V$3:V$25)</f>
        <v>0</v>
      </c>
      <c r="J20" s="67">
        <f>SUMIF(PL.data!$B$3:$B$25,PL!$A20,PL.data!W$3:W$25)</f>
        <v>0</v>
      </c>
      <c r="K20" s="67"/>
      <c r="L20" s="67"/>
      <c r="M20" s="67"/>
      <c r="N20" s="67"/>
      <c r="O20" s="61">
        <f t="shared" si="2"/>
        <v>0</v>
      </c>
      <c r="P20" s="61">
        <f t="shared" si="2"/>
        <v>0</v>
      </c>
      <c r="Q20" s="61">
        <f t="shared" si="2"/>
        <v>0</v>
      </c>
    </row>
    <row r="21" spans="1:17">
      <c r="A21" s="42" t="s">
        <v>478</v>
      </c>
      <c r="B21" s="1" t="s">
        <v>479</v>
      </c>
      <c r="C21" s="20">
        <v>-18318</v>
      </c>
      <c r="D21" s="20">
        <f>SUMIF(PL.data!$B$3:$B$25,PL!$A21,PL.data!Q$3:Q$25)</f>
        <v>0</v>
      </c>
      <c r="E21" s="20">
        <f>SUMIF(PL.data!$B$3:$B$25,PL!$A21,PL.data!R$3:R$25)</f>
        <v>0</v>
      </c>
      <c r="F21" s="20">
        <f>SUMIF(PL.data!$B$3:$B$25,PL!$A21,PL.data!S$3:S$25)</f>
        <v>0</v>
      </c>
      <c r="G21" s="20">
        <f>SUMIF(PL.data!$B$3:$B$25,PL!$A21,PL.data!T$3:T$25)</f>
        <v>0</v>
      </c>
      <c r="H21" s="20">
        <f>SUMIF(PL.data!$B$3:$B$25,PL!$A21,PL.data!U$3:U$25)</f>
        <v>0</v>
      </c>
      <c r="I21" s="20">
        <f>SUMIF(PL.data!$B$3:$B$25,PL!$A21,PL.data!V$3:V$25)</f>
        <v>0</v>
      </c>
      <c r="J21" s="20">
        <f>SUMIF(PL.data!$B$3:$B$25,PL!$A21,PL.data!W$3:W$25)</f>
        <v>0</v>
      </c>
      <c r="K21" s="20"/>
      <c r="L21" s="20"/>
      <c r="M21" s="20"/>
      <c r="N21" s="20"/>
      <c r="O21" s="36">
        <f t="shared" si="2"/>
        <v>-4485.1477896022898</v>
      </c>
      <c r="P21" s="36">
        <f t="shared" si="2"/>
        <v>-30860.763845776699</v>
      </c>
      <c r="Q21" s="36">
        <f t="shared" si="2"/>
        <v>-52878.341355646007</v>
      </c>
    </row>
    <row r="22" spans="1:17">
      <c r="A22" s="42" t="s">
        <v>480</v>
      </c>
      <c r="B22" s="1" t="s">
        <v>481</v>
      </c>
      <c r="C22" s="20">
        <v>-1015</v>
      </c>
      <c r="D22" s="20">
        <f>SUMIF(PL.data!$B$3:$B$25,PL!$A22,PL.data!Q$3:Q$25)</f>
        <v>0</v>
      </c>
      <c r="E22" s="20">
        <f>SUMIF(PL.data!$B$3:$B$25,PL!$A22,PL.data!R$3:R$25)</f>
        <v>0</v>
      </c>
      <c r="F22" s="20">
        <f>SUMIF(PL.data!$B$3:$B$25,PL!$A22,PL.data!S$3:S$25)</f>
        <v>0</v>
      </c>
      <c r="G22" s="20">
        <f>SUMIF(PL.data!$B$3:$B$25,PL!$A22,PL.data!T$3:T$25)</f>
        <v>0</v>
      </c>
      <c r="H22" s="20">
        <f>SUMIF(PL.data!$B$3:$B$25,PL!$A22,PL.data!U$3:U$25)</f>
        <v>0</v>
      </c>
      <c r="I22" s="20">
        <f>SUMIF(PL.data!$B$3:$B$25,PL!$A22,PL.data!V$3:V$25)</f>
        <v>0</v>
      </c>
      <c r="J22" s="20">
        <f>SUMIF(PL.data!$B$3:$B$25,PL!$A22,PL.data!W$3:W$25)</f>
        <v>0</v>
      </c>
      <c r="K22" s="20"/>
      <c r="L22" s="20"/>
      <c r="M22" s="20"/>
      <c r="N22" s="20"/>
      <c r="O22" s="20">
        <f>SUM(O23:O24)</f>
        <v>128938488531.8065</v>
      </c>
      <c r="P22" s="20">
        <f>SUM(P23:P24)</f>
        <v>303410325003.41711</v>
      </c>
      <c r="Q22" s="20">
        <f>SUM(Q23:Q24)</f>
        <v>560343389471.09949</v>
      </c>
    </row>
    <row r="23" spans="1:17">
      <c r="B23" s="2" t="s">
        <v>482</v>
      </c>
      <c r="C23" s="20"/>
      <c r="D23" s="20">
        <f>SUMIF(PL.data!$B$3:$B$25,PL!$A23,PL.data!Q$3:Q$25)</f>
        <v>0</v>
      </c>
      <c r="E23" s="20">
        <f>SUMIF(PL.data!$B$3:$B$25,PL!$A23,PL.data!R$3:R$25)</f>
        <v>0</v>
      </c>
      <c r="F23" s="20">
        <f>SUMIF(PL.data!$B$3:$B$25,PL!$A23,PL.data!S$3:S$25)</f>
        <v>0</v>
      </c>
      <c r="G23" s="20">
        <f>SUMIF(PL.data!$B$3:$B$25,PL!$A23,PL.data!T$3:T$25)</f>
        <v>0</v>
      </c>
      <c r="H23" s="20">
        <f>SUMIF(PL.data!$B$3:$B$25,PL!$A23,PL.data!U$3:U$25)</f>
        <v>0</v>
      </c>
      <c r="I23" s="20">
        <f>SUMIF(PL.data!$B$3:$B$25,PL!$A23,PL.data!V$3:V$25)</f>
        <v>0</v>
      </c>
      <c r="J23" s="20">
        <f>SUMIF(PL.data!$B$3:$B$25,PL!$A23,PL.data!W$3:W$25)</f>
        <v>0</v>
      </c>
      <c r="K23" s="20"/>
      <c r="L23" s="20"/>
      <c r="M23" s="20"/>
      <c r="N23" s="20"/>
    </row>
    <row r="24" spans="1:17">
      <c r="B24" s="2" t="s">
        <v>483</v>
      </c>
      <c r="C24" s="20"/>
      <c r="D24" s="20">
        <f>SUMIF(PL.data!$B$3:$B$25,PL!$A24,PL.data!Q$3:Q$25)</f>
        <v>0</v>
      </c>
      <c r="E24" s="20">
        <f>SUMIF(PL.data!$B$3:$B$25,PL!$A24,PL.data!R$3:R$25)</f>
        <v>0</v>
      </c>
      <c r="F24" s="20">
        <f>SUMIF(PL.data!$B$3:$B$25,PL!$A24,PL.data!S$3:S$25)</f>
        <v>0</v>
      </c>
      <c r="G24" s="20">
        <f>SUMIF(PL.data!$B$3:$B$25,PL!$A24,PL.data!T$3:T$25)</f>
        <v>0</v>
      </c>
      <c r="H24" s="20">
        <f>SUMIF(PL.data!$B$3:$B$25,PL!$A24,PL.data!U$3:U$25)</f>
        <v>0</v>
      </c>
      <c r="I24" s="20">
        <f>SUMIF(PL.data!$B$3:$B$25,PL!$A24,PL.data!V$3:V$25)</f>
        <v>0</v>
      </c>
      <c r="J24" s="20">
        <f>SUMIF(PL.data!$B$3:$B$25,PL!$A24,PL.data!W$3:W$25)</f>
        <v>0</v>
      </c>
      <c r="K24" s="20"/>
      <c r="L24" s="20"/>
      <c r="M24" s="20"/>
      <c r="N24" s="20"/>
      <c r="O24" s="307">
        <v>128938488531.8065</v>
      </c>
      <c r="P24" s="307">
        <v>303410325003.41711</v>
      </c>
      <c r="Q24" s="307">
        <v>560343389471.09949</v>
      </c>
    </row>
    <row r="25" spans="1:17" s="62" customFormat="1">
      <c r="A25" s="65" t="s">
        <v>484</v>
      </c>
      <c r="B25" s="66" t="s">
        <v>485</v>
      </c>
      <c r="C25" s="20">
        <v>99048</v>
      </c>
      <c r="D25" s="67">
        <f>D21+D20</f>
        <v>310076</v>
      </c>
      <c r="E25" s="67">
        <f>SUMIF(PL.data!$B$3:$B$25,PL!$A25,PL.data!R$3:R$25)</f>
        <v>0</v>
      </c>
      <c r="F25" s="67">
        <f>SUMIF(PL.data!$B$3:$B$25,PL!$A25,PL.data!S$3:S$25)</f>
        <v>0</v>
      </c>
      <c r="G25" s="67">
        <f>SUMIF(PL.data!$B$3:$B$25,PL!$A25,PL.data!T$3:T$25)</f>
        <v>0</v>
      </c>
      <c r="H25" s="67">
        <f>SUMIF(PL.data!$B$3:$B$25,PL!$A25,PL.data!U$3:U$25)</f>
        <v>0</v>
      </c>
      <c r="I25" s="67">
        <f>SUMIF(PL.data!$B$3:$B$25,PL!$A25,PL.data!V$3:V$25)</f>
        <v>0</v>
      </c>
      <c r="J25" s="67">
        <f>SUMIF(PL.data!$B$3:$B$25,PL!$A25,PL.data!W$3:W$25)</f>
        <v>0</v>
      </c>
      <c r="K25" s="67"/>
      <c r="L25" s="67"/>
      <c r="M25" s="67"/>
      <c r="N25" s="67"/>
    </row>
    <row r="26" spans="1:17">
      <c r="A26" s="42"/>
      <c r="B26" s="1" t="s">
        <v>486</v>
      </c>
      <c r="C26" s="20">
        <f>SUMIF(PL.data!$B$3:$B$25,PL!$A26,PL.data!P$3:P$25)</f>
        <v>0</v>
      </c>
      <c r="D26" s="20">
        <f>SUMIF(PL.data!$B$3:$B$25,PL!$A26,PL.data!Q$3:Q$25)</f>
        <v>0</v>
      </c>
      <c r="E26" s="20">
        <f>SUMIF(PL.data!$B$3:$B$25,PL!$A26,PL.data!R$3:R$25)</f>
        <v>0</v>
      </c>
      <c r="F26" s="20">
        <f>SUMIF(PL.data!$B$3:$B$25,PL!$A26,PL.data!S$3:S$25)</f>
        <v>0</v>
      </c>
      <c r="G26" s="20">
        <f>SUMIF(PL.data!$B$3:$B$25,PL!$A26,PL.data!T$3:T$25)</f>
        <v>0</v>
      </c>
      <c r="H26" s="20">
        <f>SUMIF(PL.data!$B$3:$B$25,PL!$A26,PL.data!U$3:U$25)</f>
        <v>0</v>
      </c>
      <c r="I26" s="20">
        <f>SUMIF(PL.data!$B$3:$B$25,PL!$A26,PL.data!V$3:V$25)</f>
        <v>0</v>
      </c>
      <c r="J26" s="20">
        <f>SUMIF(PL.data!$B$3:$B$25,PL!$A26,PL.data!W$3:W$25)</f>
        <v>0</v>
      </c>
      <c r="K26" s="20"/>
      <c r="L26" s="20"/>
      <c r="M26" s="20"/>
      <c r="N26" s="20"/>
    </row>
    <row r="27" spans="1:17">
      <c r="A27" s="42"/>
      <c r="B27" s="1" t="s">
        <v>487</v>
      </c>
      <c r="C27" s="20">
        <f>SUMIF(PL.data!$B$3:$B$25,PL!$A27,PL.data!P$3:P$25)</f>
        <v>0</v>
      </c>
      <c r="D27" s="20">
        <f>SUMIF(PL.data!$B$3:$B$25,PL!$A27,PL.data!Q$3:Q$25)</f>
        <v>0</v>
      </c>
      <c r="E27" s="20">
        <f>SUMIF(PL.data!$B$3:$B$25,PL!$A27,PL.data!R$3:R$25)</f>
        <v>0</v>
      </c>
      <c r="F27" s="20">
        <f>SUMIF(PL.data!$B$3:$B$25,PL!$A27,PL.data!S$3:S$25)</f>
        <v>0</v>
      </c>
      <c r="G27" s="20">
        <f>SUMIF(PL.data!$B$3:$B$25,PL!$A27,PL.data!T$3:T$25)</f>
        <v>0</v>
      </c>
      <c r="H27" s="20">
        <f>SUMIF(PL.data!$B$3:$B$25,PL!$A27,PL.data!U$3:U$25)</f>
        <v>0</v>
      </c>
      <c r="I27" s="20">
        <f>SUMIF(PL.data!$B$3:$B$25,PL!$A27,PL.data!V$3:V$25)</f>
        <v>0</v>
      </c>
      <c r="J27" s="20">
        <f>SUMIF(PL.data!$B$3:$B$25,PL!$A27,PL.data!W$3:W$25)</f>
        <v>0</v>
      </c>
      <c r="K27" s="20"/>
      <c r="L27" s="20"/>
      <c r="M27" s="20"/>
      <c r="N27" s="20"/>
      <c r="O27" s="308">
        <v>106357029117.6367</v>
      </c>
      <c r="P27" s="308">
        <v>208607010864.22849</v>
      </c>
      <c r="Q27" s="308">
        <v>329364260831.13202</v>
      </c>
    </row>
    <row r="28" spans="1:17">
      <c r="A28" s="42"/>
      <c r="G28" s="20"/>
      <c r="H28" s="20"/>
      <c r="I28" s="20"/>
      <c r="J28" s="20"/>
      <c r="K28" s="20"/>
      <c r="O28" s="16"/>
      <c r="P28" s="16"/>
      <c r="Q28" s="16"/>
    </row>
    <row r="29" spans="1:17">
      <c r="A29" s="42"/>
      <c r="G29" s="20"/>
      <c r="H29" s="20"/>
      <c r="I29" s="20"/>
      <c r="J29" s="20"/>
      <c r="K29" s="20"/>
      <c r="O29" s="280">
        <v>520838164982.39398</v>
      </c>
      <c r="P29" s="280">
        <v>540714338978.09802</v>
      </c>
      <c r="Q29" s="280">
        <v>521747057074.64697</v>
      </c>
    </row>
    <row r="30" spans="1:17">
      <c r="G30" s="20"/>
      <c r="H30" s="20"/>
      <c r="I30" s="20"/>
      <c r="J30" s="20"/>
      <c r="K30" s="20"/>
      <c r="O30" s="280">
        <v>-271426920261.90601</v>
      </c>
      <c r="P30" s="280">
        <v>-254475455344.63199</v>
      </c>
      <c r="Q30" s="280">
        <v>-263381269885.55301</v>
      </c>
    </row>
    <row r="31" spans="1:17">
      <c r="G31" s="20"/>
      <c r="H31" s="20"/>
      <c r="I31" s="20"/>
      <c r="J31" s="20"/>
      <c r="K31" s="20"/>
      <c r="O31" s="264">
        <v>-221426920261.90601</v>
      </c>
      <c r="P31" s="264">
        <v>-204475455344.63199</v>
      </c>
      <c r="Q31" s="264">
        <v>-213381269885.55301</v>
      </c>
    </row>
    <row r="33" spans="15:17">
      <c r="O33" s="264">
        <v>-932021983.20000005</v>
      </c>
      <c r="P33" s="264">
        <v>-1043864621.184</v>
      </c>
      <c r="Q33" s="264">
        <v>-1200444314.3615999</v>
      </c>
    </row>
    <row r="34" spans="15:17">
      <c r="O34" s="264">
        <v>-251093594410.02802</v>
      </c>
      <c r="P34" s="264">
        <v>-281224825739.23102</v>
      </c>
      <c r="Q34" s="264">
        <v>-323408549600.11603</v>
      </c>
    </row>
    <row r="35" spans="15:17">
      <c r="O35" s="16"/>
      <c r="P35" s="16"/>
      <c r="Q35" s="16"/>
    </row>
    <row r="36" spans="15:17">
      <c r="O36" s="264">
        <v>2804060278.8000002</v>
      </c>
      <c r="P36" s="264">
        <v>3084466306.6799998</v>
      </c>
      <c r="Q36" s="264">
        <v>3392912937.348001</v>
      </c>
    </row>
    <row r="37" spans="15:17">
      <c r="O37" s="264">
        <v>-9483781208</v>
      </c>
      <c r="P37" s="264">
        <v>-10432159328.799999</v>
      </c>
      <c r="Q37" s="264">
        <v>-11475375261.68</v>
      </c>
    </row>
    <row r="39" spans="15:17">
      <c r="O39" s="16"/>
      <c r="P39" s="16"/>
      <c r="Q39" s="16"/>
    </row>
    <row r="40" spans="15:17">
      <c r="O40" s="280">
        <v>-4485147789.6022902</v>
      </c>
      <c r="P40" s="280">
        <v>-30860763845.776699</v>
      </c>
      <c r="Q40" s="280">
        <v>-52878341355.646004</v>
      </c>
    </row>
    <row r="41" spans="15:17">
      <c r="O41" s="280">
        <v>-10282029292</v>
      </c>
      <c r="P41" s="280">
        <v>-7234589210</v>
      </c>
      <c r="Q41" s="280">
        <v>-5634582221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B1:W25"/>
  <sheetViews>
    <sheetView workbookViewId="0">
      <selection activeCell="D18" sqref="D18"/>
    </sheetView>
  </sheetViews>
  <sheetFormatPr defaultColWidth="8.88671875" defaultRowHeight="14.4"/>
  <cols>
    <col min="3" max="3" width="64" style="162" bestFit="1" customWidth="1"/>
    <col min="4" max="4" width="31.33203125" style="162" customWidth="1"/>
    <col min="5" max="5" width="13.6640625" style="162" customWidth="1"/>
    <col min="6" max="15" width="9.109375" style="162" customWidth="1"/>
    <col min="16" max="18" width="10.6640625" style="162" customWidth="1"/>
    <col min="19" max="19" width="11.109375" style="162" bestFit="1" customWidth="1"/>
    <col min="20" max="20" width="11.44140625" style="162" bestFit="1" customWidth="1"/>
    <col min="21" max="23" width="11.6640625" style="162" bestFit="1" customWidth="1"/>
  </cols>
  <sheetData>
    <row r="1" spans="2:23" ht="15.75" customHeight="1" thickBot="1"/>
    <row r="2" spans="2:23" ht="27" customHeight="1" thickBot="1">
      <c r="B2" s="46" t="s">
        <v>488</v>
      </c>
      <c r="C2" s="163"/>
      <c r="D2" s="164"/>
      <c r="E2" s="47" t="s">
        <v>323</v>
      </c>
      <c r="F2" s="47" t="s">
        <v>324</v>
      </c>
      <c r="G2" s="47" t="s">
        <v>325</v>
      </c>
      <c r="H2" s="47" t="s">
        <v>326</v>
      </c>
      <c r="I2" s="47" t="s">
        <v>327</v>
      </c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</row>
    <row r="3" spans="2:23" ht="15.75" customHeight="1" thickTop="1">
      <c r="B3" s="42" t="s">
        <v>447</v>
      </c>
      <c r="C3" s="51" t="s">
        <v>489</v>
      </c>
      <c r="D3" s="165"/>
      <c r="E3" s="264">
        <v>121971751</v>
      </c>
      <c r="F3" s="264">
        <v>130161398</v>
      </c>
      <c r="G3" s="264">
        <v>110755497</v>
      </c>
      <c r="H3" s="264">
        <v>125780761</v>
      </c>
      <c r="I3" s="264">
        <v>101809529</v>
      </c>
      <c r="J3" s="264"/>
      <c r="K3" s="264"/>
      <c r="L3" s="264"/>
      <c r="M3" s="264"/>
      <c r="N3" s="264"/>
      <c r="O3" s="264"/>
      <c r="P3" s="264"/>
      <c r="Q3" s="264"/>
      <c r="R3" s="264"/>
      <c r="S3" s="264"/>
      <c r="T3" s="264"/>
      <c r="U3" s="264"/>
      <c r="V3" s="264"/>
      <c r="W3" s="264"/>
    </row>
    <row r="4" spans="2:23">
      <c r="B4" s="42" t="s">
        <v>449</v>
      </c>
      <c r="C4" s="51" t="s">
        <v>490</v>
      </c>
      <c r="D4" s="165"/>
      <c r="E4" s="264">
        <v>77350</v>
      </c>
      <c r="F4" s="264">
        <v>125384</v>
      </c>
      <c r="G4" s="264">
        <v>265464</v>
      </c>
      <c r="H4" s="264">
        <v>92891</v>
      </c>
      <c r="I4" s="264">
        <v>15947</v>
      </c>
      <c r="J4" s="264"/>
      <c r="K4" s="264"/>
      <c r="L4" s="264"/>
      <c r="M4" s="264"/>
      <c r="N4" s="264"/>
      <c r="O4" s="264"/>
      <c r="P4" s="264"/>
      <c r="Q4" s="264"/>
      <c r="R4" s="264"/>
      <c r="S4" s="264"/>
      <c r="T4" s="264"/>
      <c r="U4" s="264"/>
      <c r="V4" s="264"/>
      <c r="W4" s="264"/>
    </row>
    <row r="5" spans="2:23" s="169" customFormat="1">
      <c r="B5" s="43" t="s">
        <v>451</v>
      </c>
      <c r="C5" s="50" t="s">
        <v>491</v>
      </c>
      <c r="D5" s="300" t="s">
        <v>9</v>
      </c>
      <c r="E5" s="301">
        <v>121894400</v>
      </c>
      <c r="F5" s="301">
        <v>130036014</v>
      </c>
      <c r="G5" s="301">
        <v>110490033</v>
      </c>
      <c r="H5" s="301">
        <v>125687870</v>
      </c>
      <c r="I5" s="301">
        <v>101793582</v>
      </c>
      <c r="J5" s="301"/>
      <c r="K5" s="301"/>
      <c r="L5" s="301"/>
      <c r="M5" s="301"/>
      <c r="N5" s="301"/>
      <c r="O5" s="301"/>
      <c r="P5" s="301"/>
      <c r="Q5" s="301"/>
      <c r="R5" s="301"/>
      <c r="S5" s="301"/>
      <c r="T5" s="301"/>
      <c r="U5" s="301"/>
      <c r="V5" s="301"/>
      <c r="W5" s="301"/>
    </row>
    <row r="6" spans="2:23">
      <c r="B6" s="42" t="s">
        <v>453</v>
      </c>
      <c r="C6" s="51" t="s">
        <v>492</v>
      </c>
      <c r="D6" s="302" t="s">
        <v>11</v>
      </c>
      <c r="E6" s="264">
        <v>92971051</v>
      </c>
      <c r="F6" s="264">
        <v>92484797</v>
      </c>
      <c r="G6" s="264">
        <v>93177227</v>
      </c>
      <c r="H6" s="264">
        <v>91623165</v>
      </c>
      <c r="I6" s="264">
        <v>87099750</v>
      </c>
      <c r="J6" s="264"/>
      <c r="K6" s="264"/>
      <c r="L6" s="264"/>
      <c r="M6" s="264"/>
      <c r="N6" s="264"/>
      <c r="O6" s="264"/>
      <c r="P6" s="264"/>
      <c r="Q6" s="264"/>
      <c r="R6" s="264"/>
      <c r="S6" s="264"/>
      <c r="T6" s="264"/>
      <c r="U6" s="264"/>
      <c r="V6" s="264"/>
      <c r="W6" s="264"/>
    </row>
    <row r="7" spans="2:23" s="169" customFormat="1">
      <c r="B7" s="43" t="s">
        <v>455</v>
      </c>
      <c r="C7" s="169" t="s">
        <v>493</v>
      </c>
      <c r="D7" s="300" t="s">
        <v>494</v>
      </c>
      <c r="E7" s="301">
        <v>28923350</v>
      </c>
      <c r="F7" s="301">
        <v>37551217</v>
      </c>
      <c r="G7" s="301">
        <v>17312806</v>
      </c>
      <c r="H7" s="301">
        <v>34064705</v>
      </c>
      <c r="I7" s="301">
        <v>14693832</v>
      </c>
      <c r="J7" s="301"/>
      <c r="K7" s="301"/>
      <c r="L7" s="301"/>
      <c r="M7" s="301"/>
      <c r="N7" s="301"/>
      <c r="O7" s="301"/>
      <c r="P7" s="301"/>
      <c r="Q7" s="301"/>
      <c r="R7" s="301"/>
      <c r="S7" s="301"/>
      <c r="T7" s="301"/>
      <c r="U7" s="301"/>
      <c r="V7" s="301"/>
      <c r="W7" s="301"/>
    </row>
    <row r="8" spans="2:23">
      <c r="B8" s="42" t="s">
        <v>457</v>
      </c>
      <c r="C8" s="51" t="s">
        <v>495</v>
      </c>
      <c r="D8" s="302" t="s">
        <v>25</v>
      </c>
      <c r="E8" s="264">
        <v>7478550</v>
      </c>
      <c r="F8" s="264">
        <v>14000889</v>
      </c>
      <c r="G8" s="264">
        <v>31068411</v>
      </c>
      <c r="H8" s="264">
        <v>16045903</v>
      </c>
      <c r="I8" s="264">
        <v>33048100</v>
      </c>
      <c r="J8" s="264"/>
      <c r="K8" s="264"/>
      <c r="L8" s="264"/>
      <c r="M8" s="264"/>
      <c r="N8" s="264"/>
      <c r="O8" s="264"/>
      <c r="P8" s="264"/>
      <c r="Q8" s="264"/>
      <c r="R8" s="264"/>
      <c r="S8" s="264"/>
      <c r="T8" s="264"/>
      <c r="U8" s="264"/>
      <c r="V8" s="264"/>
      <c r="W8" s="264"/>
    </row>
    <row r="9" spans="2:23">
      <c r="B9" s="42" t="s">
        <v>459</v>
      </c>
      <c r="C9" s="51" t="s">
        <v>496</v>
      </c>
      <c r="D9" s="302" t="s">
        <v>25</v>
      </c>
      <c r="E9" s="264">
        <v>4908950</v>
      </c>
      <c r="F9" s="264">
        <v>8181370</v>
      </c>
      <c r="G9" s="264">
        <v>12804561</v>
      </c>
      <c r="H9" s="264">
        <v>11363667</v>
      </c>
      <c r="I9" s="264">
        <v>14326299</v>
      </c>
      <c r="J9" s="264"/>
      <c r="K9" s="264"/>
      <c r="L9" s="264"/>
      <c r="M9" s="264"/>
      <c r="N9" s="264"/>
      <c r="O9" s="264"/>
      <c r="P9" s="264"/>
      <c r="Q9" s="264"/>
      <c r="R9" s="264"/>
      <c r="S9" s="264"/>
      <c r="T9" s="264"/>
      <c r="U9" s="264"/>
      <c r="V9" s="264"/>
      <c r="W9" s="264"/>
    </row>
    <row r="10" spans="2:23">
      <c r="B10" s="42" t="s">
        <v>461</v>
      </c>
      <c r="C10" t="s">
        <v>497</v>
      </c>
      <c r="D10" s="302" t="s">
        <v>23</v>
      </c>
      <c r="E10" s="264">
        <v>3939282</v>
      </c>
      <c r="F10" s="264">
        <v>7147357</v>
      </c>
      <c r="G10" s="264">
        <v>11402385</v>
      </c>
      <c r="H10" s="264">
        <v>10288893</v>
      </c>
      <c r="I10" s="264">
        <v>10944221</v>
      </c>
      <c r="J10" s="264"/>
      <c r="K10" s="264"/>
      <c r="L10" s="264"/>
      <c r="M10" s="264"/>
      <c r="N10" s="264"/>
      <c r="O10" s="264"/>
      <c r="P10" s="264"/>
      <c r="Q10" s="264"/>
      <c r="R10" s="264"/>
      <c r="S10" s="264"/>
      <c r="T10" s="264"/>
      <c r="U10" s="264"/>
      <c r="V10" s="264"/>
      <c r="W10" s="264"/>
    </row>
    <row r="11" spans="2:23">
      <c r="B11" s="118">
        <v>24</v>
      </c>
      <c r="C11" s="45" t="s">
        <v>498</v>
      </c>
      <c r="D11" s="300" t="s">
        <v>21</v>
      </c>
      <c r="E11" s="264">
        <v>-424919</v>
      </c>
      <c r="F11" s="264">
        <v>-688443</v>
      </c>
      <c r="G11" s="264">
        <v>-265278</v>
      </c>
      <c r="H11" s="264">
        <v>-41668</v>
      </c>
      <c r="I11" s="264">
        <v>-86524</v>
      </c>
      <c r="J11" s="264"/>
      <c r="K11" s="264"/>
      <c r="L11" s="264"/>
      <c r="M11" s="264"/>
      <c r="N11" s="264"/>
      <c r="O11" s="264"/>
      <c r="P11" s="264"/>
      <c r="Q11" s="264"/>
      <c r="R11" s="264"/>
      <c r="S11" s="264"/>
      <c r="T11" s="264"/>
      <c r="U11" s="264"/>
      <c r="V11" s="264"/>
      <c r="W11" s="264"/>
    </row>
    <row r="12" spans="2:23">
      <c r="B12" s="118" t="s">
        <v>464</v>
      </c>
      <c r="C12" s="51" t="s">
        <v>499</v>
      </c>
      <c r="D12" s="302" t="s">
        <v>15</v>
      </c>
      <c r="E12" s="264">
        <v>10112289</v>
      </c>
      <c r="F12" s="264">
        <v>14248448</v>
      </c>
      <c r="G12" s="264">
        <v>7253585</v>
      </c>
      <c r="H12" s="264">
        <v>6909908</v>
      </c>
      <c r="I12" s="264">
        <v>9371097</v>
      </c>
      <c r="J12" s="264"/>
      <c r="K12" s="264"/>
      <c r="L12" s="264"/>
      <c r="M12" s="264"/>
      <c r="N12" s="264"/>
      <c r="O12" s="264"/>
      <c r="P12" s="264"/>
      <c r="Q12" s="264"/>
      <c r="R12" s="264"/>
      <c r="S12" s="264"/>
      <c r="T12" s="264"/>
      <c r="U12" s="264"/>
      <c r="V12" s="264"/>
      <c r="W12" s="264"/>
    </row>
    <row r="13" spans="2:23">
      <c r="B13" s="118" t="s">
        <v>466</v>
      </c>
      <c r="C13" s="51" t="s">
        <v>500</v>
      </c>
      <c r="D13" s="302" t="s">
        <v>15</v>
      </c>
      <c r="E13" s="264">
        <v>7367839</v>
      </c>
      <c r="F13" s="264">
        <v>12677440</v>
      </c>
      <c r="G13" s="264">
        <v>13403089</v>
      </c>
      <c r="H13" s="264">
        <v>24034459</v>
      </c>
      <c r="I13" s="264">
        <v>15953649</v>
      </c>
      <c r="J13" s="264"/>
      <c r="K13" s="264"/>
      <c r="L13" s="264"/>
      <c r="M13" s="264"/>
      <c r="N13" s="264"/>
      <c r="O13" s="264"/>
      <c r="P13" s="264"/>
      <c r="Q13" s="264"/>
      <c r="R13" s="264"/>
      <c r="S13" s="264"/>
      <c r="T13" s="264"/>
      <c r="U13" s="264"/>
      <c r="V13" s="264"/>
      <c r="W13" s="264"/>
    </row>
    <row r="14" spans="2:23" s="169" customFormat="1">
      <c r="B14" s="119" t="s">
        <v>468</v>
      </c>
      <c r="C14" s="169" t="s">
        <v>501</v>
      </c>
      <c r="D14" s="168"/>
      <c r="E14" s="301">
        <v>13587903</v>
      </c>
      <c r="F14" s="301">
        <v>15756406</v>
      </c>
      <c r="G14" s="301">
        <v>14654704</v>
      </c>
      <c r="H14" s="301">
        <v>7760906</v>
      </c>
      <c r="I14" s="301">
        <v>8004363</v>
      </c>
      <c r="J14" s="301"/>
      <c r="K14" s="301"/>
      <c r="L14" s="301"/>
      <c r="M14" s="301"/>
      <c r="N14" s="301"/>
      <c r="O14" s="301"/>
      <c r="P14" s="301"/>
      <c r="Q14" s="301"/>
      <c r="R14" s="301"/>
      <c r="S14" s="301"/>
      <c r="T14" s="301"/>
      <c r="U14" s="301"/>
      <c r="V14" s="301"/>
      <c r="W14" s="301"/>
    </row>
    <row r="15" spans="2:23">
      <c r="B15" s="118" t="s">
        <v>470</v>
      </c>
      <c r="C15" s="51" t="s">
        <v>502</v>
      </c>
      <c r="D15" s="165"/>
      <c r="E15" s="264">
        <v>759284</v>
      </c>
      <c r="F15" s="264">
        <v>832187</v>
      </c>
      <c r="G15" s="264">
        <v>982699</v>
      </c>
      <c r="H15" s="264">
        <v>1164220</v>
      </c>
      <c r="I15" s="264">
        <v>5809849</v>
      </c>
      <c r="J15" s="264"/>
      <c r="K15" s="264"/>
      <c r="L15" s="264"/>
      <c r="M15" s="264"/>
      <c r="N15" s="264"/>
      <c r="O15" s="264"/>
      <c r="P15" s="264"/>
      <c r="Q15" s="264"/>
      <c r="R15" s="264"/>
      <c r="S15" s="264"/>
      <c r="T15" s="264"/>
      <c r="U15" s="264"/>
      <c r="V15" s="264"/>
      <c r="W15" s="264"/>
    </row>
    <row r="16" spans="2:23">
      <c r="B16" s="118" t="s">
        <v>472</v>
      </c>
      <c r="C16" s="51" t="s">
        <v>503</v>
      </c>
      <c r="D16" s="165"/>
      <c r="E16" s="264">
        <v>493550</v>
      </c>
      <c r="F16" s="264">
        <v>951169</v>
      </c>
      <c r="G16" s="264">
        <v>1694848</v>
      </c>
      <c r="H16" s="264">
        <v>5778675</v>
      </c>
      <c r="I16" s="264">
        <v>1058694</v>
      </c>
      <c r="J16" s="264"/>
      <c r="K16" s="264"/>
      <c r="L16" s="264"/>
      <c r="M16" s="264"/>
      <c r="N16" s="264"/>
      <c r="O16" s="264"/>
      <c r="P16" s="264"/>
      <c r="Q16" s="264"/>
      <c r="R16" s="264"/>
      <c r="S16" s="264"/>
      <c r="T16" s="264"/>
      <c r="U16" s="264"/>
      <c r="V16" s="264"/>
      <c r="W16" s="264"/>
    </row>
    <row r="17" spans="2:23" s="169" customFormat="1">
      <c r="B17" s="119" t="s">
        <v>474</v>
      </c>
      <c r="C17" s="50" t="s">
        <v>504</v>
      </c>
      <c r="D17" s="300" t="s">
        <v>21</v>
      </c>
      <c r="E17" s="301">
        <v>265734</v>
      </c>
      <c r="F17" s="301">
        <v>-118982</v>
      </c>
      <c r="G17" s="301">
        <v>-712149</v>
      </c>
      <c r="H17" s="301">
        <v>-4614455</v>
      </c>
      <c r="I17" s="301">
        <v>4751155</v>
      </c>
      <c r="J17" s="301"/>
      <c r="K17" s="301"/>
      <c r="L17" s="301"/>
      <c r="M17" s="301"/>
      <c r="N17" s="301"/>
      <c r="O17" s="301"/>
      <c r="P17" s="301"/>
      <c r="Q17" s="301"/>
      <c r="R17" s="301"/>
      <c r="S17" s="301"/>
      <c r="T17" s="301"/>
      <c r="U17" s="301"/>
      <c r="V17" s="301"/>
      <c r="W17" s="301"/>
    </row>
    <row r="18" spans="2:23" s="169" customFormat="1">
      <c r="B18" s="119" t="s">
        <v>476</v>
      </c>
      <c r="C18" s="50" t="s">
        <v>505</v>
      </c>
      <c r="D18" s="176" t="s">
        <v>27</v>
      </c>
      <c r="E18" s="301">
        <v>13853638</v>
      </c>
      <c r="F18" s="301">
        <v>15637423</v>
      </c>
      <c r="G18" s="301">
        <v>13942555</v>
      </c>
      <c r="H18" s="301">
        <v>3146451</v>
      </c>
      <c r="I18" s="301">
        <v>12755518</v>
      </c>
      <c r="J18" s="301"/>
      <c r="K18" s="301"/>
      <c r="L18" s="301"/>
      <c r="M18" s="301"/>
      <c r="N18" s="301"/>
      <c r="O18" s="301"/>
      <c r="P18" s="301"/>
      <c r="Q18" s="301"/>
      <c r="R18" s="301"/>
      <c r="S18" s="301"/>
      <c r="T18" s="301"/>
      <c r="U18" s="301"/>
      <c r="V18" s="301"/>
      <c r="W18" s="301"/>
    </row>
    <row r="19" spans="2:23">
      <c r="B19" s="118" t="s">
        <v>478</v>
      </c>
      <c r="C19" s="51" t="s">
        <v>506</v>
      </c>
      <c r="D19" s="303" t="s">
        <v>29</v>
      </c>
      <c r="E19" s="264">
        <v>7273130</v>
      </c>
      <c r="F19" s="264">
        <v>8286824</v>
      </c>
      <c r="G19" s="264">
        <v>10282745</v>
      </c>
      <c r="H19" s="264">
        <v>9905355</v>
      </c>
      <c r="I19" s="264">
        <v>11230925</v>
      </c>
      <c r="J19" s="264"/>
      <c r="K19" s="264"/>
      <c r="L19" s="264"/>
      <c r="M19" s="264"/>
      <c r="N19" s="264"/>
      <c r="O19" s="264"/>
      <c r="P19" s="264"/>
      <c r="Q19" s="264"/>
      <c r="R19" s="264"/>
      <c r="S19" s="264"/>
      <c r="T19" s="264"/>
      <c r="U19" s="264"/>
      <c r="V19" s="264"/>
      <c r="W19" s="264"/>
    </row>
    <row r="20" spans="2:23">
      <c r="B20" s="118" t="s">
        <v>480</v>
      </c>
      <c r="C20" s="51" t="s">
        <v>507</v>
      </c>
      <c r="D20" s="303" t="s">
        <v>29</v>
      </c>
      <c r="E20" s="264">
        <v>389626</v>
      </c>
      <c r="F20" s="264">
        <v>-366014</v>
      </c>
      <c r="G20" s="264">
        <v>-885763</v>
      </c>
      <c r="H20" s="264">
        <v>799260</v>
      </c>
      <c r="I20" s="264">
        <v>-519751</v>
      </c>
      <c r="J20" s="264"/>
      <c r="K20" s="264"/>
      <c r="L20" s="264"/>
      <c r="M20" s="264"/>
      <c r="N20" s="264"/>
      <c r="O20" s="264"/>
      <c r="P20" s="264"/>
      <c r="Q20" s="264"/>
      <c r="R20" s="264"/>
      <c r="S20" s="264"/>
      <c r="T20" s="264"/>
      <c r="U20" s="264"/>
      <c r="V20" s="264"/>
      <c r="W20" s="264"/>
    </row>
    <row r="21" spans="2:23" s="169" customFormat="1">
      <c r="B21" s="119" t="s">
        <v>484</v>
      </c>
      <c r="C21" s="50" t="s">
        <v>508</v>
      </c>
      <c r="D21" s="168"/>
      <c r="E21" s="301">
        <v>6190881</v>
      </c>
      <c r="F21" s="301">
        <v>7716613</v>
      </c>
      <c r="G21" s="301">
        <v>4545573</v>
      </c>
      <c r="H21" s="301">
        <v>-7558164</v>
      </c>
      <c r="I21" s="301">
        <v>2044344</v>
      </c>
      <c r="J21" s="301"/>
      <c r="K21" s="301"/>
      <c r="L21" s="301"/>
      <c r="M21" s="301"/>
      <c r="N21" s="301"/>
      <c r="O21" s="301"/>
      <c r="P21" s="301"/>
      <c r="Q21" s="301"/>
      <c r="R21" s="301"/>
      <c r="S21" s="301"/>
      <c r="T21" s="301"/>
      <c r="U21" s="301"/>
      <c r="V21" s="301"/>
      <c r="W21" s="301"/>
    </row>
    <row r="22" spans="2:23">
      <c r="B22" s="118">
        <v>61</v>
      </c>
      <c r="C22" s="51" t="s">
        <v>509</v>
      </c>
      <c r="D22" s="165"/>
      <c r="E22" s="264">
        <v>3776728</v>
      </c>
      <c r="F22" s="264">
        <v>7545915</v>
      </c>
      <c r="G22" s="264">
        <v>5464627</v>
      </c>
      <c r="H22" s="264">
        <v>-2513883</v>
      </c>
      <c r="I22" s="264">
        <v>8781861</v>
      </c>
      <c r="J22" s="264"/>
      <c r="K22" s="264"/>
      <c r="L22" s="264"/>
      <c r="M22" s="264"/>
      <c r="N22" s="264"/>
      <c r="O22" s="264"/>
      <c r="P22" s="264"/>
      <c r="Q22" s="264"/>
      <c r="R22" s="264"/>
      <c r="S22" s="264"/>
      <c r="T22" s="264"/>
      <c r="U22" s="264"/>
      <c r="V22" s="264"/>
      <c r="W22" s="264"/>
    </row>
    <row r="23" spans="2:23">
      <c r="B23" s="118">
        <v>62</v>
      </c>
      <c r="C23" s="51" t="s">
        <v>510</v>
      </c>
      <c r="D23" s="165"/>
      <c r="E23" s="264">
        <v>2414154</v>
      </c>
      <c r="F23" s="264">
        <v>170697</v>
      </c>
      <c r="G23" s="264">
        <v>-919054</v>
      </c>
      <c r="H23" s="264">
        <v>-5044281</v>
      </c>
      <c r="I23" s="264">
        <v>-6737517</v>
      </c>
      <c r="J23" s="264"/>
      <c r="K23" s="264"/>
      <c r="L23" s="264"/>
      <c r="M23" s="264"/>
      <c r="N23" s="264"/>
      <c r="O23" s="264"/>
      <c r="P23" s="264"/>
      <c r="Q23" s="264"/>
      <c r="R23" s="264"/>
      <c r="S23" s="264"/>
      <c r="T23" s="264"/>
      <c r="U23" s="264"/>
      <c r="V23" s="264"/>
      <c r="W23" s="264"/>
    </row>
    <row r="24" spans="2:23">
      <c r="B24" s="42" t="s">
        <v>511</v>
      </c>
      <c r="C24" s="51" t="s">
        <v>512</v>
      </c>
      <c r="D24" s="165"/>
      <c r="E24" s="264">
        <v>1270</v>
      </c>
      <c r="F24" s="264">
        <v>2433</v>
      </c>
      <c r="G24" s="264">
        <v>1691</v>
      </c>
      <c r="H24" s="264">
        <v>-685</v>
      </c>
      <c r="I24" s="264">
        <v>2367</v>
      </c>
      <c r="J24" s="264"/>
      <c r="K24" s="264"/>
      <c r="L24" s="264"/>
      <c r="M24" s="264"/>
      <c r="N24" s="264"/>
      <c r="O24" s="264"/>
      <c r="P24" s="264"/>
      <c r="Q24" s="264"/>
      <c r="R24" s="264"/>
      <c r="S24" s="264"/>
      <c r="T24" s="264"/>
      <c r="U24" s="264"/>
      <c r="V24" s="264"/>
      <c r="W24" s="264"/>
    </row>
    <row r="25" spans="2:23">
      <c r="B25" s="42" t="s">
        <v>513</v>
      </c>
      <c r="C25" s="51" t="s">
        <v>514</v>
      </c>
      <c r="D25" s="165"/>
      <c r="E25" s="264">
        <v>1257</v>
      </c>
      <c r="F25" s="264">
        <v>2383</v>
      </c>
      <c r="G25" s="264">
        <v>1658</v>
      </c>
      <c r="H25" s="264">
        <v>-685</v>
      </c>
      <c r="I25" s="264">
        <v>2214</v>
      </c>
      <c r="J25" s="264"/>
      <c r="K25" s="264"/>
      <c r="L25" s="264"/>
      <c r="M25" s="264"/>
      <c r="N25" s="264"/>
      <c r="O25" s="264"/>
      <c r="P25" s="264"/>
      <c r="Q25" s="264"/>
      <c r="R25" s="264"/>
      <c r="S25" s="264"/>
      <c r="T25" s="264"/>
      <c r="U25" s="264"/>
      <c r="V25" s="264"/>
      <c r="W25" s="26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2</vt:i4>
      </vt:variant>
    </vt:vector>
  </HeadingPairs>
  <TitlesOfParts>
    <vt:vector size="13" baseType="lpstr">
      <vt:lpstr>FSA</vt:lpstr>
      <vt:lpstr>Stress test</vt:lpstr>
      <vt:lpstr>%</vt:lpstr>
      <vt:lpstr>Sheet2</vt:lpstr>
      <vt:lpstr>Sheet5</vt:lpstr>
      <vt:lpstr>BS</vt:lpstr>
      <vt:lpstr>BS.data</vt:lpstr>
      <vt:lpstr>PL</vt:lpstr>
      <vt:lpstr>PL.data</vt:lpstr>
      <vt:lpstr>CF</vt:lpstr>
      <vt:lpstr>CF.data</vt:lpstr>
      <vt:lpstr>capital</vt:lpstr>
      <vt:lpstr>test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Duc Vo Tan</dc:creator>
  <cp:lastModifiedBy>HOANG DIGAN</cp:lastModifiedBy>
  <dcterms:created xsi:type="dcterms:W3CDTF">2022-06-20T09:31:01Z</dcterms:created>
  <dcterms:modified xsi:type="dcterms:W3CDTF">2023-06-01T08:55:23Z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0x010100C817845553B40E4EAE96971B94F2188B</vt:lpwstr>
  </property>
</Properties>
</file>