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6"/>
  </bookViews>
  <sheets>
    <sheet name="Dữ liệu" sheetId="1" r:id="rId1"/>
    <sheet name="Doanh thu" sheetId="2" r:id="rId2"/>
    <sheet name="Chi phí" sheetId="3" r:id="rId3"/>
    <sheet name="Khấu hao" sheetId="4" r:id="rId4"/>
    <sheet name="Trả góp" sheetId="7" r:id="rId5"/>
    <sheet name="Lợi nhuận" sheetId="5" r:id="rId6"/>
    <sheet name="Dòng tiền" sheetId="6" r:id="rId7"/>
  </sheets>
  <calcPr calcId="152511"/>
</workbook>
</file>

<file path=xl/calcChain.xml><?xml version="1.0" encoding="utf-8"?>
<calcChain xmlns="http://schemas.openxmlformats.org/spreadsheetml/2006/main">
  <c r="C5" i="6" l="1"/>
  <c r="D5" i="6"/>
  <c r="D10" i="6"/>
  <c r="C10" i="6"/>
  <c r="B10" i="6"/>
  <c r="B15" i="6" s="1"/>
  <c r="C9" i="7"/>
  <c r="H6" i="6"/>
  <c r="G6" i="6"/>
  <c r="F6" i="6"/>
  <c r="E6" i="6"/>
  <c r="D6" i="6"/>
  <c r="C6" i="6"/>
  <c r="H11" i="6"/>
  <c r="G11" i="6"/>
  <c r="F11" i="6"/>
  <c r="E11" i="6"/>
  <c r="D11" i="6"/>
  <c r="C11" i="6"/>
  <c r="B5" i="6" l="1"/>
  <c r="B8" i="6" s="1"/>
  <c r="B17" i="6" s="1"/>
  <c r="H12" i="6"/>
  <c r="G12" i="6"/>
  <c r="F12" i="6"/>
  <c r="E12" i="6"/>
  <c r="D12" i="6"/>
  <c r="C12" i="6"/>
  <c r="H8" i="6"/>
  <c r="G8" i="6"/>
  <c r="F8" i="6"/>
  <c r="E8" i="6"/>
  <c r="D8" i="6"/>
  <c r="H13" i="6"/>
  <c r="D10" i="5"/>
  <c r="C10" i="5"/>
  <c r="C9" i="5"/>
  <c r="D9" i="5"/>
  <c r="B9" i="5"/>
  <c r="D8" i="5"/>
  <c r="C8" i="5"/>
  <c r="B8" i="5"/>
  <c r="D7" i="5"/>
  <c r="C7" i="5"/>
  <c r="B7" i="5"/>
  <c r="G7" i="4"/>
  <c r="F7" i="4"/>
  <c r="E7" i="4"/>
  <c r="D7" i="4"/>
  <c r="D8" i="4" s="1"/>
  <c r="G6" i="4"/>
  <c r="F6" i="4"/>
  <c r="E6" i="4"/>
  <c r="D6" i="4"/>
  <c r="C6" i="4"/>
  <c r="F5" i="4"/>
  <c r="E5" i="4"/>
  <c r="D5" i="4"/>
  <c r="C5" i="4"/>
  <c r="B5" i="4"/>
  <c r="C10" i="1"/>
  <c r="E9" i="1"/>
  <c r="D9" i="1"/>
  <c r="C9" i="1"/>
  <c r="F10" i="7"/>
  <c r="F7" i="5" s="1"/>
  <c r="F8" i="5" s="1"/>
  <c r="D10" i="7"/>
  <c r="C10" i="7"/>
  <c r="B10" i="7"/>
  <c r="G9" i="7"/>
  <c r="F9" i="7"/>
  <c r="E9" i="7"/>
  <c r="D9" i="7"/>
  <c r="B9" i="7"/>
  <c r="G28" i="7"/>
  <c r="G10" i="7" s="1"/>
  <c r="G25" i="7"/>
  <c r="F25" i="7"/>
  <c r="F27" i="7" s="1"/>
  <c r="F28" i="7" s="1"/>
  <c r="E28" i="7"/>
  <c r="D28" i="7"/>
  <c r="E27" i="7"/>
  <c r="G26" i="7"/>
  <c r="F26" i="7"/>
  <c r="E26" i="7"/>
  <c r="D26" i="7"/>
  <c r="D22" i="7"/>
  <c r="E22" i="7"/>
  <c r="F22" i="7"/>
  <c r="C22" i="7"/>
  <c r="F19" i="7"/>
  <c r="E21" i="7"/>
  <c r="F20" i="7"/>
  <c r="E20" i="7"/>
  <c r="D20" i="7"/>
  <c r="C20" i="7"/>
  <c r="D25" i="7"/>
  <c r="C19" i="7"/>
  <c r="B13" i="7"/>
  <c r="E16" i="7"/>
  <c r="E10" i="7" s="1"/>
  <c r="E13" i="7"/>
  <c r="D14" i="7"/>
  <c r="C14" i="7"/>
  <c r="C15" i="7" s="1"/>
  <c r="C13" i="7"/>
  <c r="B16" i="7"/>
  <c r="B15" i="7"/>
  <c r="B6" i="7"/>
  <c r="D6" i="7"/>
  <c r="D7" i="7" s="1"/>
  <c r="D8" i="7" s="1"/>
  <c r="C6" i="7"/>
  <c r="C8" i="6" l="1"/>
  <c r="D15" i="6"/>
  <c r="D17" i="6" s="1"/>
  <c r="F15" i="6"/>
  <c r="F17" i="6" s="1"/>
  <c r="C15" i="6"/>
  <c r="G15" i="6"/>
  <c r="G17" i="6" s="1"/>
  <c r="E15" i="6"/>
  <c r="E17" i="6" s="1"/>
  <c r="H15" i="6"/>
  <c r="H17" i="6" s="1"/>
  <c r="G7" i="5"/>
  <c r="G8" i="5" s="1"/>
  <c r="F9" i="5"/>
  <c r="F10" i="5" s="1"/>
  <c r="E7" i="5"/>
  <c r="E8" i="5" s="1"/>
  <c r="D13" i="7"/>
  <c r="D15" i="7" s="1"/>
  <c r="D16" i="7" s="1"/>
  <c r="C16" i="7"/>
  <c r="B7" i="7"/>
  <c r="B8" i="7" s="1"/>
  <c r="C7" i="7"/>
  <c r="C8" i="7" s="1"/>
  <c r="B5" i="3"/>
  <c r="C17" i="6" l="1"/>
  <c r="G10" i="5"/>
  <c r="G9" i="5"/>
  <c r="E9" i="5"/>
  <c r="E10" i="5" s="1"/>
  <c r="E14" i="7"/>
  <c r="B14" i="7"/>
  <c r="G13" i="3"/>
  <c r="F13" i="3"/>
  <c r="E13" i="3"/>
  <c r="D13" i="3"/>
  <c r="C13" i="3"/>
  <c r="B13" i="3"/>
  <c r="G14" i="3"/>
  <c r="F14" i="3"/>
  <c r="E14" i="3"/>
  <c r="D14" i="3"/>
  <c r="C14" i="3"/>
  <c r="B14" i="3"/>
  <c r="G12" i="3"/>
  <c r="F12" i="3"/>
  <c r="E12" i="3"/>
  <c r="D12" i="3"/>
  <c r="C12" i="3"/>
  <c r="B12" i="3"/>
  <c r="G11" i="3"/>
  <c r="F11" i="3"/>
  <c r="E11" i="3"/>
  <c r="D11" i="3"/>
  <c r="C11" i="3"/>
  <c r="B11" i="3"/>
  <c r="G10" i="3"/>
  <c r="F10" i="3"/>
  <c r="E10" i="3"/>
  <c r="D10" i="3"/>
  <c r="C10" i="3"/>
  <c r="B10" i="3"/>
  <c r="B6" i="3"/>
  <c r="G6" i="3"/>
  <c r="F6" i="3"/>
  <c r="E6" i="3"/>
  <c r="D6" i="3"/>
  <c r="C6" i="3"/>
  <c r="G5" i="3"/>
  <c r="F5" i="3"/>
  <c r="E5" i="3"/>
  <c r="D5" i="3"/>
  <c r="C5" i="3"/>
  <c r="G9" i="4"/>
  <c r="F9" i="4"/>
  <c r="E9" i="4"/>
  <c r="D9" i="4"/>
  <c r="C9" i="4"/>
  <c r="B9" i="4"/>
  <c r="H9" i="2"/>
  <c r="H5" i="2"/>
  <c r="B20" i="6" l="1"/>
  <c r="B19" i="6"/>
  <c r="D27" i="7"/>
  <c r="E25" i="7" s="1"/>
  <c r="C21" i="7"/>
  <c r="D19" i="7" s="1"/>
  <c r="D10" i="4"/>
  <c r="E8" i="4"/>
  <c r="E7" i="3" s="1"/>
  <c r="F15" i="3"/>
  <c r="F8" i="4"/>
  <c r="F7" i="3" s="1"/>
  <c r="F8" i="3" s="1"/>
  <c r="F16" i="3" s="1"/>
  <c r="G15" i="3"/>
  <c r="E15" i="3"/>
  <c r="B15" i="3"/>
  <c r="C15" i="3"/>
  <c r="C8" i="4"/>
  <c r="C10" i="4" s="1"/>
  <c r="G8" i="4"/>
  <c r="G7" i="3" s="1"/>
  <c r="G8" i="3" s="1"/>
  <c r="D15" i="3"/>
  <c r="E10" i="4"/>
  <c r="B8" i="4"/>
  <c r="E8" i="3"/>
  <c r="F10" i="4" l="1"/>
  <c r="D21" i="7"/>
  <c r="E19" i="7" s="1"/>
  <c r="D7" i="3"/>
  <c r="D8" i="3" s="1"/>
  <c r="D16" i="3" s="1"/>
  <c r="G16" i="3"/>
  <c r="E16" i="3"/>
  <c r="C7" i="3"/>
  <c r="C8" i="3" s="1"/>
  <c r="C16" i="3" s="1"/>
  <c r="G10" i="4"/>
  <c r="B10" i="4"/>
  <c r="B7" i="3"/>
  <c r="B8" i="3" s="1"/>
  <c r="B16" i="3" s="1"/>
  <c r="G11" i="4"/>
  <c r="C23" i="1"/>
  <c r="H10" i="2"/>
  <c r="G10" i="2"/>
  <c r="F10" i="2"/>
  <c r="E10" i="2"/>
  <c r="G11" i="2" s="1"/>
  <c r="G12" i="2" s="1"/>
  <c r="D10" i="2"/>
  <c r="D11" i="2" s="1"/>
  <c r="D12" i="2" s="1"/>
  <c r="C10" i="2"/>
  <c r="C11" i="2" s="1"/>
  <c r="C12" i="2" s="1"/>
  <c r="C6" i="2"/>
  <c r="C7" i="2" s="1"/>
  <c r="C8" i="2" s="1"/>
  <c r="H6" i="2"/>
  <c r="H7" i="2" s="1"/>
  <c r="H8" i="2" s="1"/>
  <c r="G6" i="2"/>
  <c r="G7" i="2" s="1"/>
  <c r="G8" i="2" s="1"/>
  <c r="F6" i="2"/>
  <c r="F7" i="2" s="1"/>
  <c r="F8" i="2" s="1"/>
  <c r="E6" i="2"/>
  <c r="E7" i="2" s="1"/>
  <c r="E8" i="2" s="1"/>
  <c r="D6" i="2"/>
  <c r="D7" i="2" s="1"/>
  <c r="D8" i="2" s="1"/>
  <c r="G6" i="5" l="1"/>
  <c r="C24" i="1"/>
  <c r="C13" i="2"/>
  <c r="D13" i="2"/>
  <c r="G13" i="2"/>
  <c r="H11" i="2"/>
  <c r="E11" i="2"/>
  <c r="F11" i="2"/>
  <c r="F12" i="2" l="1"/>
  <c r="F13" i="2" s="1"/>
  <c r="E5" i="5" s="1"/>
  <c r="H12" i="2"/>
  <c r="H13" i="2" s="1"/>
  <c r="E12" i="2"/>
  <c r="E13" i="2" s="1"/>
  <c r="F5" i="5"/>
  <c r="C5" i="5"/>
  <c r="B5" i="5"/>
  <c r="C6" i="5"/>
  <c r="B6" i="5"/>
  <c r="E6" i="5"/>
  <c r="D6" i="5"/>
  <c r="F6" i="5"/>
  <c r="D5" i="5" l="1"/>
  <c r="G5" i="5"/>
  <c r="B10" i="5"/>
</calcChain>
</file>

<file path=xl/sharedStrings.xml><?xml version="1.0" encoding="utf-8"?>
<sst xmlns="http://schemas.openxmlformats.org/spreadsheetml/2006/main" count="179" uniqueCount="125">
  <si>
    <t>STT</t>
  </si>
  <si>
    <t>Tổng vốn đầu tư</t>
  </si>
  <si>
    <t>BẢNG 1: Thông số dự án</t>
  </si>
  <si>
    <t>Hệ thống tổng đài</t>
  </si>
  <si>
    <t>Hệ thống mạng và phần mềm</t>
  </si>
  <si>
    <t>Hệ thống thiết bị VP</t>
  </si>
  <si>
    <t>Quyền sử dụng mặt bằng (6 năm)</t>
  </si>
  <si>
    <t>Chi phí quảng cáo ban đầu</t>
  </si>
  <si>
    <t>Vốn tiền mặt hoạt động</t>
  </si>
  <si>
    <t>Chi phí chuẩn bị đầu tư</t>
  </si>
  <si>
    <t xml:space="preserve"> Chi phí hoạt động</t>
  </si>
  <si>
    <t>Ghi chú</t>
  </si>
  <si>
    <t>Khoản mục đầu tư</t>
  </si>
  <si>
    <t>Khoản mục</t>
  </si>
  <si>
    <t>Chi bảo dưỡng/xe/tháng</t>
  </si>
  <si>
    <t>Bảo hiểm xe/năm</t>
  </si>
  <si>
    <t>Tiền điện + điện thoại + Internet /tháng</t>
  </si>
  <si>
    <t>Chi phí điều hành/tháng</t>
  </si>
  <si>
    <t>Chi quảng cáo/năm</t>
  </si>
  <si>
    <t>Chi huấn luyện + kiểm soát /tháng</t>
  </si>
  <si>
    <t>Lương Bộ phận quản lý/tháng</t>
  </si>
  <si>
    <t>Chỉ tính các xe công ty</t>
  </si>
  <si>
    <t>Thành tiền (VNĐ)</t>
  </si>
  <si>
    <t>Chi phí (VNĐ)</t>
  </si>
  <si>
    <t>Kế hoạch kinh doanh</t>
  </si>
  <si>
    <t>Xe công ty</t>
  </si>
  <si>
    <t>Xe cá nhân tự đầu tư</t>
  </si>
  <si>
    <t>Thu/ngày (VNĐ)</t>
  </si>
  <si>
    <t>Chi đầu tư các khoản mục khác</t>
  </si>
  <si>
    <t>Đầu tư xe</t>
  </si>
  <si>
    <t>Số xe đầu tư hàng năm</t>
  </si>
  <si>
    <t>Xe công ty mua</t>
  </si>
  <si>
    <t>Xe do cá nhân mua đưa vào hoạt động</t>
  </si>
  <si>
    <t>Năm 1</t>
  </si>
  <si>
    <t>Năm 2</t>
  </si>
  <si>
    <t>Năm 3</t>
  </si>
  <si>
    <t>Giá (VNĐ/xe)</t>
  </si>
  <si>
    <t>Năm dự án</t>
  </si>
  <si>
    <t>Năm 4</t>
  </si>
  <si>
    <t>Năm 5</t>
  </si>
  <si>
    <t>Trả SAGACO trước</t>
  </si>
  <si>
    <t>NH TMCP Sài Gòn thương tín (Sacombank) cho vay trả góp</t>
  </si>
  <si>
    <t>Năm 6</t>
  </si>
  <si>
    <t>ĐVT: VND</t>
  </si>
  <si>
    <t>Tổng chi phí</t>
  </si>
  <si>
    <t xml:space="preserve"> Năm 1 </t>
  </si>
  <si>
    <t xml:space="preserve"> Năm 2 </t>
  </si>
  <si>
    <t xml:space="preserve"> Năm 3 </t>
  </si>
  <si>
    <t xml:space="preserve"> Năm 4 </t>
  </si>
  <si>
    <t xml:space="preserve"> Năm 5 </t>
  </si>
  <si>
    <t>Tổng khấu hao</t>
  </si>
  <si>
    <t>ĐVT: VNĐ</t>
  </si>
  <si>
    <t>Tổng vốn đầu tư các khoản khác</t>
  </si>
  <si>
    <t>Tổng vốn đầu tư xe</t>
  </si>
  <si>
    <t>28 ngày/tháng, 11.5 tháng/năm. Giảm 50% 4 tháng đầu năm thứ nhất</t>
  </si>
  <si>
    <t>28 ngày/tháng, 12 tháng/năm. Giảm 50% 4 tháng đầu năm thứ nhất</t>
  </si>
  <si>
    <t>Thu/tháng/xe</t>
  </si>
  <si>
    <t>Thu/năm/xe</t>
  </si>
  <si>
    <t>Doanh thu/năm</t>
  </si>
  <si>
    <t>Tổng doanh thu/năm</t>
  </si>
  <si>
    <t>Thời gian khấu hao các TSCĐ khác</t>
  </si>
  <si>
    <t>Thời gian khấu hao xe</t>
  </si>
  <si>
    <t>6 năm</t>
  </si>
  <si>
    <t>5 năm</t>
  </si>
  <si>
    <t>Năm 0</t>
  </si>
  <si>
    <t>NPV(12%,5)</t>
  </si>
  <si>
    <t>IRR</t>
  </si>
  <si>
    <t>Thuế TNDN (20%)</t>
  </si>
  <si>
    <t>Số xe</t>
  </si>
  <si>
    <t>Khấu hao xe mua năm 1</t>
  </si>
  <si>
    <t>Khấu hao xe mua năm 2</t>
  </si>
  <si>
    <t>Khấu hao xe mua năm 3</t>
  </si>
  <si>
    <t>Tổng khấu hao xe</t>
  </si>
  <si>
    <t>Giá trị xe chưa khấu hao</t>
  </si>
  <si>
    <t>Khấu hao các chi phí ĐT khác</t>
  </si>
  <si>
    <t>Chi phí bảo dưỡng xe</t>
  </si>
  <si>
    <t>Chi phí bảo hiểm xe</t>
  </si>
  <si>
    <t>Chi phí khấu hao xe</t>
  </si>
  <si>
    <t>Tổng chi phí về xe</t>
  </si>
  <si>
    <t>Tổng chi phí quản lý</t>
  </si>
  <si>
    <t>Tiền điện + điện thoại + Internet</t>
  </si>
  <si>
    <t>Chi phí điều hành</t>
  </si>
  <si>
    <t>Chi quảng cáo</t>
  </si>
  <si>
    <t>Chi huấn luyện + kiểm soát</t>
  </si>
  <si>
    <t>Lương Bộ phận quản lý</t>
  </si>
  <si>
    <t>Lãi vay mua xe</t>
  </si>
  <si>
    <t xml:space="preserve">Chi phí  </t>
  </si>
  <si>
    <t xml:space="preserve">Doanh thu  </t>
  </si>
  <si>
    <t xml:space="preserve">Lợi nhuận trước thuế   </t>
  </si>
  <si>
    <t xml:space="preserve">Lợi nhuận sau thuế  </t>
  </si>
  <si>
    <t>Bảng 2: Tính trả góp</t>
  </si>
  <si>
    <t>Bảng 3: Doanh thu kinh doanh</t>
  </si>
  <si>
    <t>Bảng 4: Tính khấu hao</t>
  </si>
  <si>
    <t>Bảng 5: Chi phí hoạt động</t>
  </si>
  <si>
    <t>Bảng 6: Báo cáo kết quả kinh doanh</t>
  </si>
  <si>
    <t>Bảng 7.  Dòng tiền sau thuế</t>
  </si>
  <si>
    <t>Xe công ty đầu tư</t>
  </si>
  <si>
    <t>Trị giá xe</t>
  </si>
  <si>
    <t>Trị giá vay</t>
  </si>
  <si>
    <t>Trị giá trả trước</t>
  </si>
  <si>
    <t>Tổng trả vốn hàng năm</t>
  </si>
  <si>
    <t>Tổng trả lãi hàng năm</t>
  </si>
  <si>
    <t>Trả góp xe năm 1</t>
  </si>
  <si>
    <t>Nợ đầu kỳ</t>
  </si>
  <si>
    <t>Trả vốn</t>
  </si>
  <si>
    <t>Nợ cuối kỳ</t>
  </si>
  <si>
    <t>Trả lãi</t>
  </si>
  <si>
    <t>Năm</t>
  </si>
  <si>
    <t>Lãi suất</t>
  </si>
  <si>
    <t>Tổng vốn đầu tư xe từng năm</t>
  </si>
  <si>
    <t>Trả góp xe năm 2</t>
  </si>
  <si>
    <t>Trả góp xe năm 3</t>
  </si>
  <si>
    <t>Thuế thu nhập doanh nghiệp</t>
  </si>
  <si>
    <t xml:space="preserve">Thu thanh lý và phần chưa KH </t>
  </si>
  <si>
    <t>Tỷ suất chiết khấu</t>
  </si>
  <si>
    <t>Tổng thu</t>
  </si>
  <si>
    <t>Thu vay vốn (mua xe)</t>
  </si>
  <si>
    <t>Thu khác</t>
  </si>
  <si>
    <t>Cân đối dòng tiền</t>
  </si>
  <si>
    <t>Tổng chi</t>
  </si>
  <si>
    <t>Chi trả vốn NH</t>
  </si>
  <si>
    <t>Chi khác</t>
  </si>
  <si>
    <t>Chi đầu tư</t>
  </si>
  <si>
    <t>Thu hoạt động kinh doanh (lợi nhuận)</t>
  </si>
  <si>
    <t>Khấu hao TSCĐ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</si>
</sst>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_);_(* \(#,##0\);_(* &quot;-&quot;?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i/>
      <sz val="12"/>
      <name val="Times New Roman"/>
      <family val="1"/>
    </font>
    <font>
      <b/>
      <sz val="12"/>
      <color theme="1"/>
      <name val="Times New Roman"/>
      <family val="1"/>
    </font>
    <font>
      <b/>
      <sz val="14"/>
      <name val="Times New Roman"/>
      <family val="1"/>
    </font>
    <font>
      <b/>
      <i/>
      <sz val="12"/>
      <name val="Times New Roman"/>
      <family val="1"/>
    </font>
    <font>
      <b/>
      <sz val="14"/>
      <color indexed="18"/>
      <name val="Times New Roman"/>
      <family val="1"/>
    </font>
    <font>
      <sz val="12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2" fillId="3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64" fontId="3" fillId="0" borderId="0" xfId="1" applyNumberFormat="1" applyFont="1" applyAlignment="1">
      <alignment vertical="center"/>
    </xf>
    <xf numFmtId="3" fontId="3" fillId="0" borderId="0" xfId="0" applyNumberFormat="1" applyFont="1" applyAlignment="1">
      <alignment vertical="center"/>
    </xf>
    <xf numFmtId="0" fontId="4" fillId="0" borderId="0" xfId="0" applyFont="1"/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2" fillId="3" borderId="0" xfId="0" applyFont="1" applyFill="1" applyAlignment="1">
      <alignment horizontal="left" vertical="center"/>
    </xf>
    <xf numFmtId="9" fontId="5" fillId="0" borderId="0" xfId="2" applyFont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164" fontId="3" fillId="0" borderId="0" xfId="1" applyNumberFormat="1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164" fontId="4" fillId="0" borderId="0" xfId="0" applyNumberFormat="1" applyFont="1"/>
    <xf numFmtId="41" fontId="3" fillId="0" borderId="1" xfId="0" applyNumberFormat="1" applyFont="1" applyBorder="1" applyAlignment="1">
      <alignment vertical="center"/>
    </xf>
    <xf numFmtId="0" fontId="4" fillId="0" borderId="0" xfId="0" applyFont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3" fontId="5" fillId="0" borderId="0" xfId="0" applyNumberFormat="1" applyFont="1" applyAlignment="1">
      <alignment vertical="center"/>
    </xf>
    <xf numFmtId="41" fontId="5" fillId="0" borderId="0" xfId="0" applyNumberFormat="1" applyFont="1"/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/>
    <xf numFmtId="164" fontId="5" fillId="0" borderId="0" xfId="0" applyNumberFormat="1" applyFont="1"/>
    <xf numFmtId="0" fontId="3" fillId="0" borderId="0" xfId="0" applyFont="1" applyAlignment="1">
      <alignment horizontal="left" vertical="center"/>
    </xf>
    <xf numFmtId="164" fontId="2" fillId="0" borderId="0" xfId="1" applyNumberFormat="1" applyFont="1" applyFill="1" applyAlignment="1">
      <alignment vertical="center"/>
    </xf>
    <xf numFmtId="164" fontId="3" fillId="0" borderId="0" xfId="1" applyNumberFormat="1" applyFont="1" applyFill="1" applyAlignment="1">
      <alignment horizontal="right" vertical="center"/>
    </xf>
    <xf numFmtId="164" fontId="3" fillId="0" borderId="0" xfId="1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164" fontId="3" fillId="0" borderId="0" xfId="1" applyNumberFormat="1" applyFont="1" applyAlignment="1">
      <alignment horizontal="right" vertical="center"/>
    </xf>
    <xf numFmtId="164" fontId="3" fillId="0" borderId="0" xfId="1" applyNumberFormat="1" applyFont="1" applyAlignment="1">
      <alignment horizontal="center" vertical="center"/>
    </xf>
    <xf numFmtId="164" fontId="3" fillId="0" borderId="1" xfId="1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41" fontId="2" fillId="0" borderId="1" xfId="0" applyNumberFormat="1" applyFont="1" applyBorder="1" applyAlignment="1">
      <alignment vertical="center"/>
    </xf>
    <xf numFmtId="41" fontId="3" fillId="0" borderId="0" xfId="0" applyNumberFormat="1" applyFont="1" applyAlignment="1">
      <alignment vertical="center"/>
    </xf>
    <xf numFmtId="41" fontId="3" fillId="0" borderId="1" xfId="0" applyNumberFormat="1" applyFont="1" applyBorder="1" applyAlignment="1">
      <alignment horizontal="left" vertical="center"/>
    </xf>
    <xf numFmtId="41" fontId="2" fillId="0" borderId="1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4" fillId="0" borderId="1" xfId="0" applyFont="1" applyBorder="1"/>
    <xf numFmtId="0" fontId="3" fillId="7" borderId="1" xfId="0" applyFont="1" applyFill="1" applyBorder="1" applyAlignment="1">
      <alignment horizontal="left" vertical="center"/>
    </xf>
    <xf numFmtId="41" fontId="4" fillId="0" borderId="1" xfId="0" applyNumberFormat="1" applyFont="1" applyBorder="1"/>
    <xf numFmtId="0" fontId="2" fillId="7" borderId="1" xfId="0" applyFont="1" applyFill="1" applyBorder="1" applyAlignment="1">
      <alignment horizontal="left" vertical="center"/>
    </xf>
    <xf numFmtId="41" fontId="3" fillId="7" borderId="1" xfId="0" applyNumberFormat="1" applyFont="1" applyFill="1" applyBorder="1" applyAlignment="1">
      <alignment horizontal="center" vertical="center"/>
    </xf>
    <xf numFmtId="41" fontId="2" fillId="7" borderId="1" xfId="0" applyNumberFormat="1" applyFont="1" applyFill="1" applyBorder="1" applyAlignment="1">
      <alignment horizontal="center" vertical="center"/>
    </xf>
    <xf numFmtId="41" fontId="3" fillId="7" borderId="1" xfId="0" applyNumberFormat="1" applyFont="1" applyFill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41" fontId="2" fillId="0" borderId="1" xfId="1" applyNumberFormat="1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9" fontId="5" fillId="0" borderId="0" xfId="0" applyNumberFormat="1" applyFont="1" applyAlignment="1">
      <alignment horizontal="right" vertical="center"/>
    </xf>
    <xf numFmtId="164" fontId="3" fillId="0" borderId="1" xfId="1" applyNumberFormat="1" applyFont="1" applyBorder="1" applyAlignment="1">
      <alignment horizontal="left" vertical="center"/>
    </xf>
    <xf numFmtId="164" fontId="3" fillId="0" borderId="1" xfId="1" applyNumberFormat="1" applyFont="1" applyFill="1" applyBorder="1" applyAlignment="1">
      <alignment horizontal="left" vertical="center"/>
    </xf>
    <xf numFmtId="0" fontId="5" fillId="0" borderId="1" xfId="0" applyFont="1" applyBorder="1"/>
    <xf numFmtId="0" fontId="5" fillId="0" borderId="1" xfId="0" applyFont="1" applyFill="1" applyBorder="1" applyAlignment="1">
      <alignment vertical="center"/>
    </xf>
    <xf numFmtId="9" fontId="5" fillId="0" borderId="0" xfId="2" applyFont="1" applyAlignment="1">
      <alignment horizontal="center" vertical="center"/>
    </xf>
    <xf numFmtId="0" fontId="5" fillId="0" borderId="0" xfId="0" applyFont="1" applyAlignment="1">
      <alignment horizontal="center"/>
    </xf>
    <xf numFmtId="1" fontId="5" fillId="0" borderId="0" xfId="2" applyNumberFormat="1" applyFont="1" applyAlignment="1">
      <alignment horizontal="right" vertical="center"/>
    </xf>
    <xf numFmtId="0" fontId="2" fillId="0" borderId="1" xfId="0" applyFont="1" applyBorder="1"/>
    <xf numFmtId="41" fontId="7" fillId="0" borderId="1" xfId="0" applyNumberFormat="1" applyFont="1" applyBorder="1"/>
    <xf numFmtId="1" fontId="4" fillId="0" borderId="1" xfId="0" applyNumberFormat="1" applyFont="1" applyBorder="1"/>
    <xf numFmtId="0" fontId="5" fillId="8" borderId="1" xfId="0" applyFont="1" applyFill="1" applyBorder="1"/>
    <xf numFmtId="0" fontId="4" fillId="8" borderId="1" xfId="0" applyFont="1" applyFill="1" applyBorder="1" applyAlignment="1">
      <alignment horizontal="center"/>
    </xf>
    <xf numFmtId="41" fontId="4" fillId="0" borderId="1" xfId="0" applyNumberFormat="1" applyFont="1" applyBorder="1" applyAlignment="1"/>
    <xf numFmtId="0" fontId="4" fillId="0" borderId="1" xfId="0" applyFont="1" applyBorder="1" applyAlignment="1"/>
    <xf numFmtId="0" fontId="4" fillId="8" borderId="1" xfId="0" applyNumberFormat="1" applyFont="1" applyFill="1" applyBorder="1" applyAlignment="1">
      <alignment horizontal="center"/>
    </xf>
    <xf numFmtId="41" fontId="7" fillId="0" borderId="1" xfId="0" applyNumberFormat="1" applyFont="1" applyBorder="1" applyAlignment="1"/>
    <xf numFmtId="0" fontId="4" fillId="0" borderId="0" xfId="0" applyFont="1" applyBorder="1" applyAlignment="1"/>
    <xf numFmtId="41" fontId="5" fillId="0" borderId="1" xfId="0" applyNumberFormat="1" applyFont="1" applyBorder="1" applyAlignment="1">
      <alignment vertical="center"/>
    </xf>
    <xf numFmtId="165" fontId="5" fillId="0" borderId="1" xfId="0" applyNumberFormat="1" applyFont="1" applyBorder="1" applyAlignment="1">
      <alignment vertical="center"/>
    </xf>
    <xf numFmtId="10" fontId="5" fillId="0" borderId="0" xfId="0" applyNumberFormat="1" applyFont="1" applyAlignment="1">
      <alignment vertical="center"/>
    </xf>
    <xf numFmtId="9" fontId="5" fillId="0" borderId="0" xfId="0" applyNumberFormat="1" applyFont="1" applyAlignment="1">
      <alignment vertical="center"/>
    </xf>
    <xf numFmtId="41" fontId="3" fillId="0" borderId="1" xfId="1" applyNumberFormat="1" applyFont="1" applyBorder="1" applyAlignment="1">
      <alignment horizontal="right" vertical="center"/>
    </xf>
    <xf numFmtId="41" fontId="3" fillId="0" borderId="1" xfId="1" applyNumberFormat="1" applyFont="1" applyFill="1" applyBorder="1" applyAlignment="1">
      <alignment horizontal="right" vertical="center"/>
    </xf>
    <xf numFmtId="164" fontId="5" fillId="0" borderId="1" xfId="1" applyNumberFormat="1" applyFont="1" applyFill="1" applyBorder="1" applyAlignment="1">
      <alignment horizontal="left" vertical="center"/>
    </xf>
    <xf numFmtId="41" fontId="5" fillId="0" borderId="1" xfId="1" applyNumberFormat="1" applyFont="1" applyFill="1" applyBorder="1" applyAlignment="1">
      <alignment horizontal="right" vertical="center"/>
    </xf>
    <xf numFmtId="0" fontId="11" fillId="0" borderId="1" xfId="0" applyFont="1" applyBorder="1"/>
    <xf numFmtId="41" fontId="5" fillId="0" borderId="1" xfId="0" applyNumberFormat="1" applyFont="1" applyBorder="1"/>
    <xf numFmtId="0" fontId="5" fillId="0" borderId="1" xfId="0" applyFont="1" applyFill="1" applyBorder="1" applyAlignment="1">
      <alignment horizontal="left" vertical="center"/>
    </xf>
    <xf numFmtId="41" fontId="3" fillId="0" borderId="0" xfId="0" applyNumberFormat="1" applyFont="1" applyBorder="1" applyAlignment="1">
      <alignment horizontal="center" vertical="center"/>
    </xf>
    <xf numFmtId="41" fontId="5" fillId="0" borderId="0" xfId="0" applyNumberFormat="1" applyFont="1" applyAlignment="1">
      <alignment vertical="center"/>
    </xf>
    <xf numFmtId="41" fontId="5" fillId="0" borderId="1" xfId="0" applyNumberFormat="1" applyFont="1" applyBorder="1" applyAlignment="1">
      <alignment horizontal="left" vertical="center"/>
    </xf>
    <xf numFmtId="43" fontId="5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6" fillId="0" borderId="0" xfId="0" applyFont="1" applyBorder="1" applyAlignment="1">
      <alignment horizontal="right" vertical="center"/>
    </xf>
    <xf numFmtId="0" fontId="8" fillId="5" borderId="0" xfId="0" applyFont="1" applyFill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right" vertical="center"/>
    </xf>
    <xf numFmtId="164" fontId="8" fillId="5" borderId="0" xfId="1" applyNumberFormat="1" applyFont="1" applyFill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0" fillId="5" borderId="0" xfId="0" applyFont="1" applyFill="1" applyAlignment="1">
      <alignment horizontal="center" vertical="center"/>
    </xf>
    <xf numFmtId="41" fontId="3" fillId="0" borderId="0" xfId="0" applyNumberFormat="1" applyFont="1" applyBorder="1" applyAlignment="1">
      <alignment horizontal="center" vertical="center"/>
    </xf>
    <xf numFmtId="41" fontId="3" fillId="0" borderId="6" xfId="0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B42" sqref="B42"/>
    </sheetView>
  </sheetViews>
  <sheetFormatPr defaultRowHeight="15.6" x14ac:dyDescent="0.3"/>
  <cols>
    <col min="1" max="1" width="10.5546875" style="7" customWidth="1"/>
    <col min="2" max="2" width="58.33203125" style="7" customWidth="1"/>
    <col min="3" max="3" width="30.77734375" style="7" customWidth="1"/>
    <col min="4" max="4" width="30.33203125" style="7" customWidth="1"/>
    <col min="5" max="5" width="30.6640625" style="7" customWidth="1"/>
    <col min="6" max="6" width="15.77734375" style="7" customWidth="1"/>
    <col min="7" max="7" width="19.5546875" style="7" customWidth="1"/>
    <col min="8" max="8" width="19" style="7" customWidth="1"/>
    <col min="9" max="16384" width="8.88671875" style="7"/>
  </cols>
  <sheetData>
    <row r="1" spans="1:5" x14ac:dyDescent="0.3">
      <c r="A1" s="92" t="s">
        <v>2</v>
      </c>
      <c r="B1" s="92"/>
      <c r="C1" s="92"/>
    </row>
    <row r="2" spans="1:5" x14ac:dyDescent="0.3">
      <c r="A2" s="8"/>
      <c r="B2" s="9"/>
      <c r="C2" s="9"/>
    </row>
    <row r="3" spans="1:5" x14ac:dyDescent="0.3">
      <c r="A3" s="93" t="s">
        <v>29</v>
      </c>
      <c r="B3" s="93"/>
      <c r="C3" s="1"/>
      <c r="D3" s="1"/>
      <c r="E3" s="1"/>
    </row>
    <row r="4" spans="1:5" x14ac:dyDescent="0.3">
      <c r="A4" s="2" t="s">
        <v>0</v>
      </c>
      <c r="B4" s="2"/>
      <c r="C4" s="2" t="s">
        <v>33</v>
      </c>
      <c r="D4" s="2" t="s">
        <v>34</v>
      </c>
      <c r="E4" s="2" t="s">
        <v>35</v>
      </c>
    </row>
    <row r="5" spans="1:5" x14ac:dyDescent="0.3">
      <c r="A5" s="3">
        <v>1</v>
      </c>
      <c r="B5" s="4" t="s">
        <v>30</v>
      </c>
      <c r="C5" s="5">
        <v>200</v>
      </c>
      <c r="D5" s="7">
        <v>200</v>
      </c>
      <c r="E5" s="7">
        <v>100</v>
      </c>
    </row>
    <row r="6" spans="1:5" x14ac:dyDescent="0.3">
      <c r="A6" s="3">
        <v>2</v>
      </c>
      <c r="B6" s="4" t="s">
        <v>31</v>
      </c>
      <c r="C6" s="5">
        <v>150</v>
      </c>
      <c r="D6" s="7">
        <v>120</v>
      </c>
      <c r="E6" s="7">
        <v>60</v>
      </c>
    </row>
    <row r="7" spans="1:5" x14ac:dyDescent="0.3">
      <c r="A7" s="3">
        <v>3</v>
      </c>
      <c r="B7" s="4" t="s">
        <v>32</v>
      </c>
      <c r="C7" s="5">
        <v>50</v>
      </c>
      <c r="D7" s="7">
        <v>80</v>
      </c>
      <c r="E7" s="7">
        <v>40</v>
      </c>
    </row>
    <row r="8" spans="1:5" x14ac:dyDescent="0.3">
      <c r="A8" s="4"/>
      <c r="B8" s="10" t="s">
        <v>36</v>
      </c>
      <c r="C8" s="11">
        <v>150000000</v>
      </c>
      <c r="D8" s="20"/>
    </row>
    <row r="9" spans="1:5" x14ac:dyDescent="0.3">
      <c r="A9" s="4"/>
      <c r="B9" s="10" t="s">
        <v>109</v>
      </c>
      <c r="C9" s="11">
        <f>C6*C8</f>
        <v>22500000000</v>
      </c>
      <c r="D9" s="11">
        <f>D6*C8</f>
        <v>18000000000</v>
      </c>
      <c r="E9" s="11">
        <f>E6*C8</f>
        <v>9000000000</v>
      </c>
    </row>
    <row r="10" spans="1:5" x14ac:dyDescent="0.3">
      <c r="A10" s="4"/>
      <c r="B10" s="10" t="s">
        <v>53</v>
      </c>
      <c r="C10" s="26">
        <f>SUM(C9+D9+E9)</f>
        <v>49500000000</v>
      </c>
    </row>
    <row r="11" spans="1:5" x14ac:dyDescent="0.3">
      <c r="A11" s="4"/>
      <c r="B11" s="10" t="s">
        <v>40</v>
      </c>
      <c r="C11" s="13">
        <v>0.3</v>
      </c>
      <c r="D11" s="30"/>
    </row>
    <row r="12" spans="1:5" x14ac:dyDescent="0.3">
      <c r="A12" s="4"/>
      <c r="B12" s="10"/>
      <c r="C12" s="61" t="s">
        <v>107</v>
      </c>
      <c r="D12" s="62" t="s">
        <v>108</v>
      </c>
    </row>
    <row r="13" spans="1:5" x14ac:dyDescent="0.3">
      <c r="A13" s="4"/>
      <c r="B13" s="10" t="s">
        <v>41</v>
      </c>
      <c r="C13" s="63">
        <v>4</v>
      </c>
      <c r="D13" s="56">
        <v>7.0000000000000007E-2</v>
      </c>
    </row>
    <row r="14" spans="1:5" ht="17.399999999999999" customHeight="1" x14ac:dyDescent="0.3">
      <c r="A14" s="93" t="s">
        <v>28</v>
      </c>
      <c r="B14" s="93"/>
      <c r="C14" s="1"/>
      <c r="D14" s="1"/>
      <c r="E14" s="1"/>
    </row>
    <row r="15" spans="1:5" x14ac:dyDescent="0.3">
      <c r="A15" s="2" t="s">
        <v>0</v>
      </c>
      <c r="B15" s="2" t="s">
        <v>12</v>
      </c>
      <c r="C15" s="2" t="s">
        <v>22</v>
      </c>
    </row>
    <row r="16" spans="1:5" x14ac:dyDescent="0.3">
      <c r="A16" s="3">
        <v>1</v>
      </c>
      <c r="B16" s="4" t="s">
        <v>3</v>
      </c>
      <c r="C16" s="5">
        <v>700000000</v>
      </c>
    </row>
    <row r="17" spans="1:5" x14ac:dyDescent="0.3">
      <c r="A17" s="3">
        <v>2</v>
      </c>
      <c r="B17" s="4" t="s">
        <v>4</v>
      </c>
      <c r="C17" s="5">
        <v>340000000</v>
      </c>
    </row>
    <row r="18" spans="1:5" x14ac:dyDescent="0.3">
      <c r="A18" s="3">
        <v>3</v>
      </c>
      <c r="B18" s="4" t="s">
        <v>5</v>
      </c>
      <c r="C18" s="5">
        <v>350000000</v>
      </c>
    </row>
    <row r="19" spans="1:5" x14ac:dyDescent="0.3">
      <c r="A19" s="3">
        <v>4</v>
      </c>
      <c r="B19" s="4" t="s">
        <v>6</v>
      </c>
      <c r="C19" s="5">
        <v>3080000000</v>
      </c>
    </row>
    <row r="20" spans="1:5" x14ac:dyDescent="0.3">
      <c r="A20" s="3">
        <v>5</v>
      </c>
      <c r="B20" s="4" t="s">
        <v>7</v>
      </c>
      <c r="C20" s="6">
        <v>400000000</v>
      </c>
    </row>
    <row r="21" spans="1:5" x14ac:dyDescent="0.3">
      <c r="A21" s="3">
        <v>6</v>
      </c>
      <c r="B21" s="4" t="s">
        <v>9</v>
      </c>
      <c r="C21" s="6">
        <v>500000000</v>
      </c>
    </row>
    <row r="22" spans="1:5" x14ac:dyDescent="0.3">
      <c r="A22" s="3">
        <v>7</v>
      </c>
      <c r="B22" s="4" t="s">
        <v>8</v>
      </c>
      <c r="C22" s="6">
        <v>450000000</v>
      </c>
    </row>
    <row r="23" spans="1:5" x14ac:dyDescent="0.3">
      <c r="A23" s="3"/>
      <c r="B23" s="10" t="s">
        <v>52</v>
      </c>
      <c r="C23" s="25">
        <f>SUM(C16+C17+C18+C19+C20+C21+C22)</f>
        <v>5820000000</v>
      </c>
    </row>
    <row r="24" spans="1:5" x14ac:dyDescent="0.3">
      <c r="A24" s="4"/>
      <c r="B24" s="10" t="s">
        <v>1</v>
      </c>
      <c r="C24" s="11">
        <f>SUM(C10+C16+C17+C18+C19+C20+C21+C22)</f>
        <v>55320000000</v>
      </c>
    </row>
    <row r="25" spans="1:5" x14ac:dyDescent="0.3">
      <c r="A25" s="93" t="s">
        <v>24</v>
      </c>
      <c r="B25" s="93"/>
      <c r="C25" s="1"/>
      <c r="D25" s="1"/>
      <c r="E25" s="1"/>
    </row>
    <row r="26" spans="1:5" x14ac:dyDescent="0.3">
      <c r="A26" s="2" t="s">
        <v>0</v>
      </c>
      <c r="B26" s="2"/>
      <c r="C26" s="2" t="s">
        <v>27</v>
      </c>
    </row>
    <row r="27" spans="1:5" x14ac:dyDescent="0.3">
      <c r="A27" s="3">
        <v>1</v>
      </c>
      <c r="B27" s="4" t="s">
        <v>25</v>
      </c>
      <c r="C27" s="5">
        <v>250000</v>
      </c>
      <c r="D27" s="90" t="s">
        <v>54</v>
      </c>
      <c r="E27" s="90"/>
    </row>
    <row r="28" spans="1:5" x14ac:dyDescent="0.3">
      <c r="A28" s="3">
        <v>2</v>
      </c>
      <c r="B28" s="4" t="s">
        <v>26</v>
      </c>
      <c r="C28" s="5">
        <v>80000</v>
      </c>
      <c r="D28" s="91" t="s">
        <v>55</v>
      </c>
      <c r="E28" s="91"/>
    </row>
    <row r="29" spans="1:5" x14ac:dyDescent="0.3">
      <c r="A29" s="93" t="s">
        <v>10</v>
      </c>
      <c r="B29" s="93"/>
      <c r="C29" s="12"/>
      <c r="D29" s="12"/>
      <c r="E29" s="1"/>
    </row>
    <row r="30" spans="1:5" x14ac:dyDescent="0.3">
      <c r="A30" s="2" t="s">
        <v>0</v>
      </c>
      <c r="B30" s="2" t="s">
        <v>13</v>
      </c>
      <c r="C30" s="2" t="s">
        <v>23</v>
      </c>
      <c r="D30" s="2" t="s">
        <v>11</v>
      </c>
    </row>
    <row r="31" spans="1:5" x14ac:dyDescent="0.3">
      <c r="A31" s="3">
        <v>1</v>
      </c>
      <c r="B31" s="27" t="s">
        <v>14</v>
      </c>
      <c r="C31" s="5">
        <v>700000</v>
      </c>
      <c r="D31" s="89" t="s">
        <v>21</v>
      </c>
    </row>
    <row r="32" spans="1:5" x14ac:dyDescent="0.3">
      <c r="A32" s="3">
        <v>2</v>
      </c>
      <c r="B32" s="27" t="s">
        <v>15</v>
      </c>
      <c r="C32" s="5">
        <v>3000000</v>
      </c>
      <c r="D32" s="89"/>
    </row>
    <row r="33" spans="1:4" x14ac:dyDescent="0.3">
      <c r="A33" s="3">
        <v>3</v>
      </c>
      <c r="B33" s="27" t="s">
        <v>16</v>
      </c>
      <c r="C33" s="5">
        <v>20000000</v>
      </c>
    </row>
    <row r="34" spans="1:4" x14ac:dyDescent="0.3">
      <c r="A34" s="3">
        <v>4</v>
      </c>
      <c r="B34" s="27" t="s">
        <v>17</v>
      </c>
      <c r="C34" s="5">
        <v>10000000</v>
      </c>
    </row>
    <row r="35" spans="1:4" x14ac:dyDescent="0.3">
      <c r="A35" s="3">
        <v>5</v>
      </c>
      <c r="B35" s="27" t="s">
        <v>18</v>
      </c>
      <c r="C35" s="6">
        <v>100000000</v>
      </c>
    </row>
    <row r="36" spans="1:4" x14ac:dyDescent="0.3">
      <c r="A36" s="3">
        <v>6</v>
      </c>
      <c r="B36" s="27" t="s">
        <v>19</v>
      </c>
      <c r="C36" s="6">
        <v>10000000</v>
      </c>
    </row>
    <row r="37" spans="1:4" x14ac:dyDescent="0.3">
      <c r="A37" s="3">
        <v>7</v>
      </c>
      <c r="B37" s="27" t="s">
        <v>20</v>
      </c>
      <c r="C37" s="6">
        <v>120000000</v>
      </c>
    </row>
    <row r="38" spans="1:4" x14ac:dyDescent="0.3">
      <c r="A38" s="3">
        <v>8</v>
      </c>
      <c r="B38" s="55" t="s">
        <v>60</v>
      </c>
      <c r="C38" s="11"/>
      <c r="D38" s="29" t="s">
        <v>62</v>
      </c>
    </row>
    <row r="39" spans="1:4" x14ac:dyDescent="0.3">
      <c r="A39" s="3">
        <v>9</v>
      </c>
      <c r="B39" s="55" t="s">
        <v>61</v>
      </c>
      <c r="C39" s="11"/>
      <c r="D39" s="29" t="s">
        <v>63</v>
      </c>
    </row>
    <row r="40" spans="1:4" x14ac:dyDescent="0.3">
      <c r="A40" s="4"/>
      <c r="B40" s="28" t="s">
        <v>112</v>
      </c>
      <c r="C40" s="77">
        <v>0.2</v>
      </c>
    </row>
    <row r="41" spans="1:4" x14ac:dyDescent="0.3">
      <c r="B41" s="28" t="s">
        <v>114</v>
      </c>
      <c r="C41" s="77">
        <v>0.12</v>
      </c>
    </row>
  </sheetData>
  <mergeCells count="8">
    <mergeCell ref="D31:D32"/>
    <mergeCell ref="D27:E27"/>
    <mergeCell ref="D28:E28"/>
    <mergeCell ref="A1:C1"/>
    <mergeCell ref="A14:B14"/>
    <mergeCell ref="A29:B29"/>
    <mergeCell ref="A25:B25"/>
    <mergeCell ref="A3:B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13" sqref="C13"/>
    </sheetView>
  </sheetViews>
  <sheetFormatPr defaultRowHeight="15.6" x14ac:dyDescent="0.3"/>
  <cols>
    <col min="1" max="1" width="29.21875" style="7" customWidth="1"/>
    <col min="2" max="2" width="30.6640625" style="7" customWidth="1"/>
    <col min="3" max="3" width="19.21875" style="7" customWidth="1"/>
    <col min="4" max="4" width="22.109375" style="7" customWidth="1"/>
    <col min="5" max="5" width="20.88671875" style="7" customWidth="1"/>
    <col min="6" max="6" width="21.33203125" style="7" customWidth="1"/>
    <col min="7" max="7" width="21.77734375" style="7" customWidth="1"/>
    <col min="8" max="8" width="22.6640625" style="7" customWidth="1"/>
    <col min="9" max="16384" width="8.88671875" style="7"/>
  </cols>
  <sheetData>
    <row r="1" spans="1:8" ht="17.399999999999999" x14ac:dyDescent="0.3">
      <c r="A1" s="95" t="s">
        <v>91</v>
      </c>
      <c r="B1" s="95"/>
      <c r="C1" s="95"/>
      <c r="D1" s="95"/>
      <c r="E1" s="95"/>
      <c r="F1" s="95"/>
      <c r="G1" s="95"/>
      <c r="H1" s="95"/>
    </row>
    <row r="2" spans="1:8" x14ac:dyDescent="0.3">
      <c r="B2" s="14"/>
      <c r="C2" s="9"/>
      <c r="D2" s="9"/>
      <c r="E2" s="9"/>
      <c r="F2" s="9"/>
      <c r="G2" s="9"/>
    </row>
    <row r="3" spans="1:8" x14ac:dyDescent="0.3">
      <c r="B3" s="15"/>
      <c r="C3" s="16"/>
      <c r="D3" s="15"/>
      <c r="E3" s="15"/>
      <c r="G3" s="94" t="s">
        <v>43</v>
      </c>
      <c r="H3" s="94"/>
    </row>
    <row r="4" spans="1:8" x14ac:dyDescent="0.3">
      <c r="A4" s="22"/>
      <c r="B4" s="17" t="s">
        <v>37</v>
      </c>
      <c r="C4" s="17" t="s">
        <v>33</v>
      </c>
      <c r="D4" s="17" t="s">
        <v>34</v>
      </c>
      <c r="E4" s="17" t="s">
        <v>35</v>
      </c>
      <c r="F4" s="17" t="s">
        <v>38</v>
      </c>
      <c r="G4" s="17" t="s">
        <v>39</v>
      </c>
      <c r="H4" s="17" t="s">
        <v>42</v>
      </c>
    </row>
    <row r="5" spans="1:8" x14ac:dyDescent="0.3">
      <c r="A5" s="96" t="s">
        <v>25</v>
      </c>
      <c r="B5" s="47" t="s">
        <v>68</v>
      </c>
      <c r="C5" s="38">
        <v>150</v>
      </c>
      <c r="D5" s="46">
        <v>270</v>
      </c>
      <c r="E5" s="46">
        <v>330</v>
      </c>
      <c r="F5" s="46">
        <v>330</v>
      </c>
      <c r="G5" s="46">
        <v>330</v>
      </c>
      <c r="H5" s="46">
        <f>330-150</f>
        <v>180</v>
      </c>
    </row>
    <row r="6" spans="1:8" x14ac:dyDescent="0.3">
      <c r="A6" s="96"/>
      <c r="B6" s="18" t="s">
        <v>56</v>
      </c>
      <c r="C6" s="21">
        <f>'Dữ liệu'!C27*28</f>
        <v>7000000</v>
      </c>
      <c r="D6" s="21">
        <f>'Dữ liệu'!C27*28</f>
        <v>7000000</v>
      </c>
      <c r="E6" s="21">
        <f>'Dữ liệu'!C27*28</f>
        <v>7000000</v>
      </c>
      <c r="F6" s="21">
        <f>'Dữ liệu'!C27*28</f>
        <v>7000000</v>
      </c>
      <c r="G6" s="21">
        <f>'Dữ liệu'!C27*28</f>
        <v>7000000</v>
      </c>
      <c r="H6" s="21">
        <f>'Dữ liệu'!C27*28</f>
        <v>7000000</v>
      </c>
    </row>
    <row r="7" spans="1:8" x14ac:dyDescent="0.3">
      <c r="A7" s="96"/>
      <c r="B7" s="18" t="s">
        <v>57</v>
      </c>
      <c r="C7" s="21">
        <f>C6/2*4+C6*7.5</f>
        <v>66500000</v>
      </c>
      <c r="D7" s="21">
        <f>D6*11.5</f>
        <v>80500000</v>
      </c>
      <c r="E7" s="21">
        <f>E6*11.5</f>
        <v>80500000</v>
      </c>
      <c r="F7" s="21">
        <f>F6*11.5</f>
        <v>80500000</v>
      </c>
      <c r="G7" s="21">
        <f>G6*11.5</f>
        <v>80500000</v>
      </c>
      <c r="H7" s="21">
        <f>H6*11.5</f>
        <v>80500000</v>
      </c>
    </row>
    <row r="8" spans="1:8" x14ac:dyDescent="0.3">
      <c r="A8" s="97"/>
      <c r="B8" s="19" t="s">
        <v>58</v>
      </c>
      <c r="C8" s="40">
        <f t="shared" ref="C8:H8" si="0">C7*C5</f>
        <v>9975000000</v>
      </c>
      <c r="D8" s="40">
        <f t="shared" si="0"/>
        <v>21735000000</v>
      </c>
      <c r="E8" s="40">
        <f t="shared" si="0"/>
        <v>26565000000</v>
      </c>
      <c r="F8" s="40">
        <f t="shared" si="0"/>
        <v>26565000000</v>
      </c>
      <c r="G8" s="40">
        <f t="shared" si="0"/>
        <v>26565000000</v>
      </c>
      <c r="H8" s="40">
        <f t="shared" si="0"/>
        <v>14490000000</v>
      </c>
    </row>
    <row r="9" spans="1:8" x14ac:dyDescent="0.3">
      <c r="A9" s="98" t="s">
        <v>26</v>
      </c>
      <c r="B9" s="24" t="s">
        <v>68</v>
      </c>
      <c r="C9" s="38">
        <v>50</v>
      </c>
      <c r="D9" s="46">
        <v>130</v>
      </c>
      <c r="E9" s="46">
        <v>170</v>
      </c>
      <c r="F9" s="46">
        <v>170</v>
      </c>
      <c r="G9" s="46">
        <v>170</v>
      </c>
      <c r="H9" s="46">
        <f>170-50</f>
        <v>120</v>
      </c>
    </row>
    <row r="10" spans="1:8" x14ac:dyDescent="0.3">
      <c r="A10" s="96"/>
      <c r="B10" s="18" t="s">
        <v>56</v>
      </c>
      <c r="C10" s="21">
        <f>'Dữ liệu'!C28*28</f>
        <v>2240000</v>
      </c>
      <c r="D10" s="21">
        <f>'Dữ liệu'!C28*28</f>
        <v>2240000</v>
      </c>
      <c r="E10" s="21">
        <f>'Dữ liệu'!C28*28</f>
        <v>2240000</v>
      </c>
      <c r="F10" s="21">
        <f>'Dữ liệu'!C28*28</f>
        <v>2240000</v>
      </c>
      <c r="G10" s="21">
        <f>'Dữ liệu'!C28*28</f>
        <v>2240000</v>
      </c>
      <c r="H10" s="21">
        <f>'Dữ liệu'!C28*28</f>
        <v>2240000</v>
      </c>
    </row>
    <row r="11" spans="1:8" x14ac:dyDescent="0.3">
      <c r="A11" s="96"/>
      <c r="B11" s="18" t="s">
        <v>57</v>
      </c>
      <c r="C11" s="21">
        <f>C10/2*4+C10*8</f>
        <v>22400000</v>
      </c>
      <c r="D11" s="21">
        <f>D10*12</f>
        <v>26880000</v>
      </c>
      <c r="E11" s="21">
        <f>E10*12</f>
        <v>26880000</v>
      </c>
      <c r="F11" s="21">
        <f>E10*12</f>
        <v>26880000</v>
      </c>
      <c r="G11" s="21">
        <f>E10*12</f>
        <v>26880000</v>
      </c>
      <c r="H11" s="21">
        <f>E10*12</f>
        <v>26880000</v>
      </c>
    </row>
    <row r="12" spans="1:8" x14ac:dyDescent="0.3">
      <c r="A12" s="96"/>
      <c r="B12" s="19" t="s">
        <v>58</v>
      </c>
      <c r="C12" s="40">
        <f t="shared" ref="C12:H12" si="1">C11*C9</f>
        <v>1120000000</v>
      </c>
      <c r="D12" s="40">
        <f t="shared" si="1"/>
        <v>3494400000</v>
      </c>
      <c r="E12" s="40">
        <f t="shared" si="1"/>
        <v>4569600000</v>
      </c>
      <c r="F12" s="40">
        <f t="shared" si="1"/>
        <v>4569600000</v>
      </c>
      <c r="G12" s="40">
        <f t="shared" si="1"/>
        <v>4569600000</v>
      </c>
      <c r="H12" s="40">
        <f t="shared" si="1"/>
        <v>3225600000</v>
      </c>
    </row>
    <row r="13" spans="1:8" x14ac:dyDescent="0.3">
      <c r="B13" s="60" t="s">
        <v>59</v>
      </c>
      <c r="C13" s="75">
        <f t="shared" ref="C13:H13" si="2">SUM(C8+C12)</f>
        <v>11095000000</v>
      </c>
      <c r="D13" s="75">
        <f t="shared" si="2"/>
        <v>25229400000</v>
      </c>
      <c r="E13" s="75">
        <f t="shared" si="2"/>
        <v>31134600000</v>
      </c>
      <c r="F13" s="75">
        <f t="shared" si="2"/>
        <v>31134600000</v>
      </c>
      <c r="G13" s="75">
        <f t="shared" si="2"/>
        <v>31134600000</v>
      </c>
      <c r="H13" s="75">
        <f t="shared" si="2"/>
        <v>17715600000</v>
      </c>
    </row>
  </sheetData>
  <mergeCells count="4">
    <mergeCell ref="G3:H3"/>
    <mergeCell ref="A1:H1"/>
    <mergeCell ref="A5:A8"/>
    <mergeCell ref="A9:A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16" sqref="B16"/>
    </sheetView>
  </sheetViews>
  <sheetFormatPr defaultRowHeight="15.6" x14ac:dyDescent="0.3"/>
  <cols>
    <col min="1" max="1" width="38.77734375" style="7" customWidth="1"/>
    <col min="2" max="2" width="27.33203125" style="7" customWidth="1"/>
    <col min="3" max="3" width="29.33203125" style="7" customWidth="1"/>
    <col min="4" max="4" width="24.21875" style="7" customWidth="1"/>
    <col min="5" max="5" width="23.21875" style="7" customWidth="1"/>
    <col min="6" max="7" width="24" style="7" customWidth="1"/>
    <col min="8" max="16384" width="8.88671875" style="7"/>
  </cols>
  <sheetData>
    <row r="1" spans="1:7" ht="17.399999999999999" x14ac:dyDescent="0.3">
      <c r="A1" s="95" t="s">
        <v>93</v>
      </c>
      <c r="B1" s="95"/>
      <c r="C1" s="95"/>
      <c r="D1" s="95"/>
      <c r="E1" s="95"/>
      <c r="F1" s="95"/>
      <c r="G1" s="95"/>
    </row>
    <row r="2" spans="1:7" x14ac:dyDescent="0.3">
      <c r="A2" s="23"/>
      <c r="B2" s="23"/>
      <c r="C2" s="23"/>
      <c r="D2" s="23"/>
      <c r="E2" s="23"/>
      <c r="F2" s="23"/>
      <c r="G2" s="23"/>
    </row>
    <row r="3" spans="1:7" x14ac:dyDescent="0.3">
      <c r="A3" s="15"/>
      <c r="B3" s="16"/>
      <c r="C3" s="15"/>
      <c r="D3" s="15"/>
      <c r="F3" s="94" t="s">
        <v>51</v>
      </c>
      <c r="G3" s="94"/>
    </row>
    <row r="4" spans="1:7" x14ac:dyDescent="0.3">
      <c r="A4" s="17" t="s">
        <v>37</v>
      </c>
      <c r="B4" s="17" t="s">
        <v>45</v>
      </c>
      <c r="C4" s="17" t="s">
        <v>46</v>
      </c>
      <c r="D4" s="17" t="s">
        <v>47</v>
      </c>
      <c r="E4" s="17" t="s">
        <v>48</v>
      </c>
      <c r="F4" s="17" t="s">
        <v>49</v>
      </c>
      <c r="G4" s="17" t="s">
        <v>42</v>
      </c>
    </row>
    <row r="5" spans="1:7" x14ac:dyDescent="0.3">
      <c r="A5" s="47" t="s">
        <v>75</v>
      </c>
      <c r="B5" s="52">
        <f>'Dữ liệu'!C31*'Doanh thu'!C5*12</f>
        <v>1260000000</v>
      </c>
      <c r="C5" s="52">
        <f>'Dữ liệu'!C31*'Doanh thu'!D5*12</f>
        <v>2268000000</v>
      </c>
      <c r="D5" s="52">
        <f>'Dữ liệu'!C31*'Doanh thu'!E5*12</f>
        <v>2772000000</v>
      </c>
      <c r="E5" s="52">
        <f>'Dữ liệu'!C31*'Doanh thu'!F5*12</f>
        <v>2772000000</v>
      </c>
      <c r="F5" s="52">
        <f>'Dữ liệu'!C31*'Doanh thu'!G5*12</f>
        <v>2772000000</v>
      </c>
      <c r="G5" s="52">
        <f>'Dữ liệu'!C31*'Doanh thu'!H5*12</f>
        <v>1512000000</v>
      </c>
    </row>
    <row r="6" spans="1:7" x14ac:dyDescent="0.3">
      <c r="A6" s="47" t="s">
        <v>76</v>
      </c>
      <c r="B6" s="52">
        <f>'Dữ liệu'!C32*'Doanh thu'!C5</f>
        <v>450000000</v>
      </c>
      <c r="C6" s="52">
        <f>'Dữ liệu'!C32*'Doanh thu'!D5</f>
        <v>810000000</v>
      </c>
      <c r="D6" s="52">
        <f>'Dữ liệu'!C32*'Doanh thu'!E5</f>
        <v>990000000</v>
      </c>
      <c r="E6" s="52">
        <f>'Dữ liệu'!C32*'Doanh thu'!F5</f>
        <v>990000000</v>
      </c>
      <c r="F6" s="52">
        <f>'Dữ liệu'!C32*'Doanh thu'!G5</f>
        <v>990000000</v>
      </c>
      <c r="G6" s="52">
        <f>'Dữ liệu'!C32*'Doanh thu'!H5</f>
        <v>540000000</v>
      </c>
    </row>
    <row r="7" spans="1:7" x14ac:dyDescent="0.3">
      <c r="A7" s="47" t="s">
        <v>77</v>
      </c>
      <c r="B7" s="52">
        <f>'Khấu hao'!B8</f>
        <v>4500000000</v>
      </c>
      <c r="C7" s="52">
        <f>'Khấu hao'!C8</f>
        <v>8100000000</v>
      </c>
      <c r="D7" s="52">
        <f>'Khấu hao'!D8</f>
        <v>9900000000</v>
      </c>
      <c r="E7" s="52">
        <f>'Khấu hao'!E8</f>
        <v>9900000000</v>
      </c>
      <c r="F7" s="52">
        <f>'Khấu hao'!F8</f>
        <v>9900000000</v>
      </c>
      <c r="G7" s="52">
        <f>'Khấu hao'!G8</f>
        <v>5400000000</v>
      </c>
    </row>
    <row r="8" spans="1:7" x14ac:dyDescent="0.3">
      <c r="A8" s="49" t="s">
        <v>78</v>
      </c>
      <c r="B8" s="51">
        <f t="shared" ref="B8:G8" si="0">SUM(B5:B7)</f>
        <v>6210000000</v>
      </c>
      <c r="C8" s="51">
        <f t="shared" si="0"/>
        <v>11178000000</v>
      </c>
      <c r="D8" s="51">
        <f t="shared" si="0"/>
        <v>13662000000</v>
      </c>
      <c r="E8" s="51">
        <f t="shared" si="0"/>
        <v>13662000000</v>
      </c>
      <c r="F8" s="51">
        <f t="shared" si="0"/>
        <v>13662000000</v>
      </c>
      <c r="G8" s="51">
        <f t="shared" si="0"/>
        <v>7452000000</v>
      </c>
    </row>
    <row r="9" spans="1:7" x14ac:dyDescent="0.3">
      <c r="A9" s="99"/>
      <c r="B9" s="99"/>
      <c r="C9" s="99"/>
      <c r="D9" s="99"/>
      <c r="E9" s="99"/>
      <c r="F9" s="99"/>
      <c r="G9" s="99"/>
    </row>
    <row r="10" spans="1:7" x14ac:dyDescent="0.3">
      <c r="A10" s="53" t="s">
        <v>80</v>
      </c>
      <c r="B10" s="50">
        <f>'Dữ liệu'!C33*12</f>
        <v>240000000</v>
      </c>
      <c r="C10" s="50">
        <f>'Dữ liệu'!C33*12</f>
        <v>240000000</v>
      </c>
      <c r="D10" s="50">
        <f>'Dữ liệu'!C33*12</f>
        <v>240000000</v>
      </c>
      <c r="E10" s="50">
        <f>'Dữ liệu'!C33*12</f>
        <v>240000000</v>
      </c>
      <c r="F10" s="50">
        <f>'Dữ liệu'!C33*12</f>
        <v>240000000</v>
      </c>
      <c r="G10" s="50">
        <f>'Dữ liệu'!C33*12</f>
        <v>240000000</v>
      </c>
    </row>
    <row r="11" spans="1:7" x14ac:dyDescent="0.3">
      <c r="A11" s="53" t="s">
        <v>81</v>
      </c>
      <c r="B11" s="50">
        <f>'Dữ liệu'!C34*12</f>
        <v>120000000</v>
      </c>
      <c r="C11" s="50">
        <f>'Dữ liệu'!C34*12</f>
        <v>120000000</v>
      </c>
      <c r="D11" s="50">
        <f>'Dữ liệu'!C34*12</f>
        <v>120000000</v>
      </c>
      <c r="E11" s="50">
        <f>'Dữ liệu'!C34*12</f>
        <v>120000000</v>
      </c>
      <c r="F11" s="50">
        <f>'Dữ liệu'!C34*12</f>
        <v>120000000</v>
      </c>
      <c r="G11" s="50">
        <f>'Dữ liệu'!C34*12</f>
        <v>120000000</v>
      </c>
    </row>
    <row r="12" spans="1:7" x14ac:dyDescent="0.3">
      <c r="A12" s="53" t="s">
        <v>82</v>
      </c>
      <c r="B12" s="50">
        <f>'Dữ liệu'!C35</f>
        <v>100000000</v>
      </c>
      <c r="C12" s="50">
        <f>'Dữ liệu'!C35</f>
        <v>100000000</v>
      </c>
      <c r="D12" s="50">
        <f>'Dữ liệu'!C35</f>
        <v>100000000</v>
      </c>
      <c r="E12" s="50">
        <f>'Dữ liệu'!C35</f>
        <v>100000000</v>
      </c>
      <c r="F12" s="50">
        <f>'Dữ liệu'!C35</f>
        <v>100000000</v>
      </c>
      <c r="G12" s="50">
        <f>'Dữ liệu'!C35</f>
        <v>100000000</v>
      </c>
    </row>
    <row r="13" spans="1:7" x14ac:dyDescent="0.3">
      <c r="A13" s="31" t="s">
        <v>83</v>
      </c>
      <c r="B13" s="50">
        <f>'Dữ liệu'!C36*12</f>
        <v>120000000</v>
      </c>
      <c r="C13" s="50">
        <f>'Dữ liệu'!C36*12</f>
        <v>120000000</v>
      </c>
      <c r="D13" s="50">
        <f>'Dữ liệu'!C36*12</f>
        <v>120000000</v>
      </c>
      <c r="E13" s="50">
        <f>'Dữ liệu'!C36*12</f>
        <v>120000000</v>
      </c>
      <c r="F13" s="50">
        <f>'Dữ liệu'!C36*12</f>
        <v>120000000</v>
      </c>
      <c r="G13" s="50">
        <f>'Dữ liệu'!C36*12</f>
        <v>120000000</v>
      </c>
    </row>
    <row r="14" spans="1:7" x14ac:dyDescent="0.3">
      <c r="A14" s="53" t="s">
        <v>84</v>
      </c>
      <c r="B14" s="50">
        <f>'Dữ liệu'!C37*12</f>
        <v>1440000000</v>
      </c>
      <c r="C14" s="50">
        <f>'Dữ liệu'!C37*12</f>
        <v>1440000000</v>
      </c>
      <c r="D14" s="50">
        <f>'Dữ liệu'!C37*12</f>
        <v>1440000000</v>
      </c>
      <c r="E14" s="50">
        <f>'Dữ liệu'!C37*12</f>
        <v>1440000000</v>
      </c>
      <c r="F14" s="50">
        <f>'Dữ liệu'!C37*12</f>
        <v>1440000000</v>
      </c>
      <c r="G14" s="50">
        <f>'Dữ liệu'!C37*12</f>
        <v>1440000000</v>
      </c>
    </row>
    <row r="15" spans="1:7" x14ac:dyDescent="0.3">
      <c r="A15" s="19" t="s">
        <v>79</v>
      </c>
      <c r="B15" s="54">
        <f>SUM(B10:B14)+'Khấu hao'!B9</f>
        <v>2335000000</v>
      </c>
      <c r="C15" s="54">
        <f>SUM(C10:C14)+'Khấu hao'!C9</f>
        <v>2335000000</v>
      </c>
      <c r="D15" s="54">
        <f>SUM(D10:D14)+'Khấu hao'!D9</f>
        <v>2335000000</v>
      </c>
      <c r="E15" s="54">
        <f>SUM(E10:E14)+'Khấu hao'!E9</f>
        <v>2335000000</v>
      </c>
      <c r="F15" s="54">
        <f>SUM(F10:F14)+'Khấu hao'!F9</f>
        <v>2335000000</v>
      </c>
      <c r="G15" s="54">
        <f>SUM(G10:G14)+'Khấu hao'!G9</f>
        <v>2335000000</v>
      </c>
    </row>
    <row r="16" spans="1:7" x14ac:dyDescent="0.3">
      <c r="A16" s="84" t="s">
        <v>44</v>
      </c>
      <c r="B16" s="75">
        <f t="shared" ref="B16:G16" si="1">SUM(B8+B15)</f>
        <v>8545000000</v>
      </c>
      <c r="C16" s="75">
        <f t="shared" si="1"/>
        <v>13513000000</v>
      </c>
      <c r="D16" s="75">
        <f t="shared" si="1"/>
        <v>15997000000</v>
      </c>
      <c r="E16" s="75">
        <f t="shared" si="1"/>
        <v>15997000000</v>
      </c>
      <c r="F16" s="75">
        <f t="shared" si="1"/>
        <v>15997000000</v>
      </c>
      <c r="G16" s="75">
        <f t="shared" si="1"/>
        <v>9787000000</v>
      </c>
    </row>
  </sheetData>
  <mergeCells count="3">
    <mergeCell ref="F3:G3"/>
    <mergeCell ref="A1:G1"/>
    <mergeCell ref="A9:G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28" sqref="C28"/>
    </sheetView>
  </sheetViews>
  <sheetFormatPr defaultRowHeight="15.6" x14ac:dyDescent="0.3"/>
  <cols>
    <col min="1" max="1" width="32.109375" style="7" customWidth="1"/>
    <col min="2" max="2" width="21.88671875" style="7" customWidth="1"/>
    <col min="3" max="3" width="21.77734375" style="7" customWidth="1"/>
    <col min="4" max="4" width="21.21875" style="7" customWidth="1"/>
    <col min="5" max="5" width="20.44140625" style="7" customWidth="1"/>
    <col min="6" max="6" width="21.109375" style="7" customWidth="1"/>
    <col min="7" max="7" width="25.6640625" style="7" customWidth="1"/>
    <col min="8" max="16384" width="8.88671875" style="7"/>
  </cols>
  <sheetData>
    <row r="1" spans="1:7" ht="17.399999999999999" x14ac:dyDescent="0.3">
      <c r="A1" s="95" t="s">
        <v>92</v>
      </c>
      <c r="B1" s="95"/>
      <c r="C1" s="95"/>
      <c r="D1" s="95"/>
      <c r="E1" s="95"/>
      <c r="F1" s="95"/>
      <c r="G1" s="95"/>
    </row>
    <row r="2" spans="1:7" x14ac:dyDescent="0.3">
      <c r="A2" s="23"/>
      <c r="B2" s="23"/>
      <c r="C2" s="23"/>
      <c r="D2" s="23"/>
      <c r="E2" s="23"/>
      <c r="F2" s="23"/>
    </row>
    <row r="3" spans="1:7" x14ac:dyDescent="0.3">
      <c r="A3" s="15"/>
      <c r="B3" s="16"/>
      <c r="C3" s="15"/>
      <c r="D3" s="15"/>
      <c r="F3" s="94" t="s">
        <v>51</v>
      </c>
      <c r="G3" s="94"/>
    </row>
    <row r="4" spans="1:7" x14ac:dyDescent="0.3">
      <c r="A4" s="17" t="s">
        <v>37</v>
      </c>
      <c r="B4" s="17" t="s">
        <v>33</v>
      </c>
      <c r="C4" s="17" t="s">
        <v>34</v>
      </c>
      <c r="D4" s="17" t="s">
        <v>35</v>
      </c>
      <c r="E4" s="17" t="s">
        <v>38</v>
      </c>
      <c r="F4" s="17" t="s">
        <v>39</v>
      </c>
      <c r="G4" s="17" t="s">
        <v>42</v>
      </c>
    </row>
    <row r="5" spans="1:7" x14ac:dyDescent="0.3">
      <c r="A5" s="24" t="s">
        <v>69</v>
      </c>
      <c r="B5" s="21">
        <f>SLN('Dữ liệu'!C9,0,5)</f>
        <v>4500000000</v>
      </c>
      <c r="C5" s="21">
        <f>SLN('Dữ liệu'!C9,0,5)</f>
        <v>4500000000</v>
      </c>
      <c r="D5" s="21">
        <f>SLN('Dữ liệu'!C9,0,5)</f>
        <v>4500000000</v>
      </c>
      <c r="E5" s="21">
        <f>SLN('Dữ liệu'!C9,0,5)</f>
        <v>4500000000</v>
      </c>
      <c r="F5" s="21">
        <f>SLN('Dữ liệu'!C9,0,5)</f>
        <v>4500000000</v>
      </c>
      <c r="G5" s="21"/>
    </row>
    <row r="6" spans="1:7" x14ac:dyDescent="0.3">
      <c r="A6" s="24" t="s">
        <v>70</v>
      </c>
      <c r="B6" s="21"/>
      <c r="C6" s="21">
        <f>SLN('Dữ liệu'!D9,0,5)</f>
        <v>3600000000</v>
      </c>
      <c r="D6" s="21">
        <f>SLN('Dữ liệu'!D9,0,5)</f>
        <v>3600000000</v>
      </c>
      <c r="E6" s="21">
        <f>SLN('Dữ liệu'!D9,0,5)</f>
        <v>3600000000</v>
      </c>
      <c r="F6" s="21">
        <f>SLN('Dữ liệu'!D9,0,5)</f>
        <v>3600000000</v>
      </c>
      <c r="G6" s="21">
        <f>SLN('Dữ liệu'!D9,0,5)</f>
        <v>3600000000</v>
      </c>
    </row>
    <row r="7" spans="1:7" x14ac:dyDescent="0.3">
      <c r="A7" s="24" t="s">
        <v>71</v>
      </c>
      <c r="B7" s="21"/>
      <c r="C7" s="21"/>
      <c r="D7" s="21">
        <f>SLN('Dữ liệu'!E9,0,5)</f>
        <v>1800000000</v>
      </c>
      <c r="E7" s="21">
        <f>SLN('Dữ liệu'!E9,0,5)</f>
        <v>1800000000</v>
      </c>
      <c r="F7" s="21">
        <f>SLN('Dữ liệu'!E9,0,5)</f>
        <v>1800000000</v>
      </c>
      <c r="G7" s="21">
        <f>SLN('Dữ liệu'!E9,0,5)</f>
        <v>1800000000</v>
      </c>
    </row>
    <row r="8" spans="1:7" x14ac:dyDescent="0.3">
      <c r="A8" s="19" t="s">
        <v>72</v>
      </c>
      <c r="B8" s="40">
        <f>SUM(B5)</f>
        <v>4500000000</v>
      </c>
      <c r="C8" s="40">
        <f>SUM(C5:C6)</f>
        <v>8100000000</v>
      </c>
      <c r="D8" s="40">
        <f>SUM(D5:D7)</f>
        <v>9900000000</v>
      </c>
      <c r="E8" s="40">
        <f>SUM(E5:E7)</f>
        <v>9900000000</v>
      </c>
      <c r="F8" s="40">
        <f>SUM(F5:F7)</f>
        <v>9900000000</v>
      </c>
      <c r="G8" s="40">
        <f>SUM(G5:G7)</f>
        <v>5400000000</v>
      </c>
    </row>
    <row r="9" spans="1:7" x14ac:dyDescent="0.3">
      <c r="A9" s="19" t="s">
        <v>74</v>
      </c>
      <c r="B9" s="40">
        <f>SLN('Dữ liệu'!C16+'Dữ liệu'!C17+'Dữ liệu'!C18+'Dữ liệu'!C21,0,6)</f>
        <v>315000000</v>
      </c>
      <c r="C9" s="40">
        <f>SLN('Dữ liệu'!C16+'Dữ liệu'!C17+'Dữ liệu'!C18+'Dữ liệu'!C21,0,6)</f>
        <v>315000000</v>
      </c>
      <c r="D9" s="40">
        <f>SLN('Dữ liệu'!C16+'Dữ liệu'!C17+'Dữ liệu'!C18+'Dữ liệu'!C21,0,6)</f>
        <v>315000000</v>
      </c>
      <c r="E9" s="40">
        <f>SLN('Dữ liệu'!C16+'Dữ liệu'!C17+'Dữ liệu'!C18+'Dữ liệu'!C21,0,6)</f>
        <v>315000000</v>
      </c>
      <c r="F9" s="40">
        <f>SLN('Dữ liệu'!C16+'Dữ liệu'!C17+'Dữ liệu'!C18+'Dữ liệu'!C21,0,6)</f>
        <v>315000000</v>
      </c>
      <c r="G9" s="40">
        <f>SLN('Dữ liệu'!C16+'Dữ liệu'!C17+'Dữ liệu'!C18+'Dữ liệu'!C21,0,6)</f>
        <v>315000000</v>
      </c>
    </row>
    <row r="10" spans="1:7" x14ac:dyDescent="0.3">
      <c r="A10" s="60" t="s">
        <v>50</v>
      </c>
      <c r="B10" s="75">
        <f t="shared" ref="B10:G10" si="0">SUM(B8+B9)</f>
        <v>4815000000</v>
      </c>
      <c r="C10" s="75">
        <f t="shared" si="0"/>
        <v>8415000000</v>
      </c>
      <c r="D10" s="75">
        <f t="shared" si="0"/>
        <v>10215000000</v>
      </c>
      <c r="E10" s="75">
        <f t="shared" si="0"/>
        <v>10215000000</v>
      </c>
      <c r="F10" s="75">
        <f t="shared" si="0"/>
        <v>10215000000</v>
      </c>
      <c r="G10" s="75">
        <f t="shared" si="0"/>
        <v>5715000000</v>
      </c>
    </row>
    <row r="11" spans="1:7" x14ac:dyDescent="0.3">
      <c r="A11" s="59" t="s">
        <v>73</v>
      </c>
      <c r="B11" s="82"/>
      <c r="C11" s="82"/>
      <c r="D11" s="82"/>
      <c r="E11" s="82"/>
      <c r="F11" s="82"/>
      <c r="G11" s="83">
        <f>'Dữ liệu'!C10-SUM(B5:G7)</f>
        <v>1800000000</v>
      </c>
    </row>
  </sheetData>
  <mergeCells count="2">
    <mergeCell ref="F3:G3"/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28" sqref="D28"/>
    </sheetView>
  </sheetViews>
  <sheetFormatPr defaultRowHeight="15.6" x14ac:dyDescent="0.3"/>
  <cols>
    <col min="1" max="1" width="26.77734375" style="7" customWidth="1"/>
    <col min="2" max="2" width="18.5546875" style="7" customWidth="1"/>
    <col min="3" max="4" width="18.33203125" style="7" customWidth="1"/>
    <col min="5" max="5" width="17.77734375" style="7" customWidth="1"/>
    <col min="6" max="6" width="18.44140625" style="7" customWidth="1"/>
    <col min="7" max="7" width="19.109375" style="7" customWidth="1"/>
    <col min="8" max="16384" width="8.88671875" style="7"/>
  </cols>
  <sheetData>
    <row r="1" spans="1:7" ht="17.399999999999999" x14ac:dyDescent="0.3">
      <c r="A1" s="95" t="s">
        <v>90</v>
      </c>
      <c r="B1" s="95"/>
      <c r="C1" s="95"/>
      <c r="D1" s="95"/>
      <c r="E1" s="95"/>
      <c r="F1" s="95"/>
      <c r="G1" s="95"/>
    </row>
    <row r="2" spans="1:7" x14ac:dyDescent="0.3">
      <c r="A2" s="23"/>
      <c r="B2" s="23"/>
      <c r="C2" s="23"/>
      <c r="D2" s="23"/>
      <c r="E2" s="23"/>
      <c r="F2" s="23"/>
    </row>
    <row r="3" spans="1:7" x14ac:dyDescent="0.3">
      <c r="A3" s="15"/>
      <c r="B3" s="16"/>
      <c r="C3" s="15"/>
      <c r="D3" s="15"/>
      <c r="F3" s="94" t="s">
        <v>51</v>
      </c>
      <c r="G3" s="94"/>
    </row>
    <row r="4" spans="1:7" x14ac:dyDescent="0.3">
      <c r="A4" s="17" t="s">
        <v>37</v>
      </c>
      <c r="B4" s="17" t="s">
        <v>33</v>
      </c>
      <c r="C4" s="17" t="s">
        <v>34</v>
      </c>
      <c r="D4" s="17" t="s">
        <v>35</v>
      </c>
      <c r="E4" s="17" t="s">
        <v>38</v>
      </c>
      <c r="F4" s="17" t="s">
        <v>39</v>
      </c>
      <c r="G4" s="17" t="s">
        <v>42</v>
      </c>
    </row>
    <row r="5" spans="1:7" x14ac:dyDescent="0.3">
      <c r="A5" s="24" t="s">
        <v>96</v>
      </c>
      <c r="B5" s="21">
        <v>150</v>
      </c>
      <c r="C5" s="21">
        <v>120</v>
      </c>
      <c r="D5" s="21">
        <v>60</v>
      </c>
      <c r="E5" s="21"/>
      <c r="F5" s="21"/>
      <c r="G5" s="21"/>
    </row>
    <row r="6" spans="1:7" x14ac:dyDescent="0.3">
      <c r="A6" s="24" t="s">
        <v>97</v>
      </c>
      <c r="B6" s="21">
        <f>B5*'Dữ liệu'!C8</f>
        <v>22500000000</v>
      </c>
      <c r="C6" s="21">
        <f>C5*'Dữ liệu'!C8</f>
        <v>18000000000</v>
      </c>
      <c r="D6" s="21">
        <f>D5*'Dữ liệu'!C8</f>
        <v>9000000000</v>
      </c>
      <c r="E6" s="21"/>
      <c r="F6" s="21"/>
      <c r="G6" s="21"/>
    </row>
    <row r="7" spans="1:7" x14ac:dyDescent="0.3">
      <c r="A7" s="24" t="s">
        <v>99</v>
      </c>
      <c r="B7" s="21">
        <f>B6*30%</f>
        <v>6750000000</v>
      </c>
      <c r="C7" s="21">
        <f>C6*30%</f>
        <v>5400000000</v>
      </c>
      <c r="D7" s="21">
        <f>D6*30%</f>
        <v>2700000000</v>
      </c>
      <c r="E7" s="21"/>
      <c r="F7" s="21"/>
      <c r="G7" s="21"/>
    </row>
    <row r="8" spans="1:7" x14ac:dyDescent="0.3">
      <c r="A8" s="24" t="s">
        <v>98</v>
      </c>
      <c r="B8" s="21">
        <f>B6-B7</f>
        <v>15750000000</v>
      </c>
      <c r="C8" s="21">
        <f>C6-C7</f>
        <v>12600000000</v>
      </c>
      <c r="D8" s="21">
        <f>D6-D7</f>
        <v>6300000000</v>
      </c>
      <c r="E8" s="21"/>
      <c r="F8" s="21"/>
      <c r="G8" s="21"/>
    </row>
    <row r="9" spans="1:7" x14ac:dyDescent="0.3">
      <c r="A9" s="60" t="s">
        <v>100</v>
      </c>
      <c r="B9" s="74">
        <f t="shared" ref="B9:G9" si="0">SUM(B14+B20+B26)</f>
        <v>3937500000</v>
      </c>
      <c r="C9" s="74">
        <f t="shared" si="0"/>
        <v>7087500000</v>
      </c>
      <c r="D9" s="74">
        <f t="shared" si="0"/>
        <v>8662500000</v>
      </c>
      <c r="E9" s="74">
        <f t="shared" si="0"/>
        <v>8662500000</v>
      </c>
      <c r="F9" s="74">
        <f t="shared" si="0"/>
        <v>4725000000</v>
      </c>
      <c r="G9" s="74">
        <f t="shared" si="0"/>
        <v>1575000000</v>
      </c>
    </row>
    <row r="10" spans="1:7" x14ac:dyDescent="0.3">
      <c r="A10" s="60" t="s">
        <v>101</v>
      </c>
      <c r="B10" s="75">
        <f t="shared" ref="B10:G10" si="1">SUM(B16+B22+B28)</f>
        <v>1929375000.0000002</v>
      </c>
      <c r="C10" s="75">
        <f t="shared" si="1"/>
        <v>2921625000.0000005</v>
      </c>
      <c r="D10" s="75">
        <f t="shared" si="1"/>
        <v>2701125000</v>
      </c>
      <c r="E10" s="75">
        <f t="shared" si="1"/>
        <v>1488375000</v>
      </c>
      <c r="F10" s="75">
        <f t="shared" si="1"/>
        <v>551250000.00000012</v>
      </c>
      <c r="G10" s="75">
        <f t="shared" si="1"/>
        <v>110250000.00000001</v>
      </c>
    </row>
    <row r="11" spans="1:7" x14ac:dyDescent="0.3">
      <c r="A11" s="102"/>
      <c r="B11" s="102"/>
      <c r="C11" s="102"/>
      <c r="D11" s="102"/>
      <c r="E11" s="102"/>
      <c r="F11" s="102"/>
      <c r="G11" s="102"/>
    </row>
    <row r="12" spans="1:7" x14ac:dyDescent="0.3">
      <c r="A12" s="67" t="s">
        <v>102</v>
      </c>
      <c r="B12" s="68">
        <v>1</v>
      </c>
      <c r="C12" s="68">
        <v>2</v>
      </c>
      <c r="D12" s="68">
        <v>3</v>
      </c>
      <c r="E12" s="68">
        <v>4</v>
      </c>
      <c r="F12" s="68"/>
      <c r="G12" s="71"/>
    </row>
    <row r="13" spans="1:7" x14ac:dyDescent="0.3">
      <c r="A13" s="46" t="s">
        <v>103</v>
      </c>
      <c r="B13" s="48">
        <f>B8</f>
        <v>15750000000</v>
      </c>
      <c r="C13" s="48">
        <f>B15</f>
        <v>11812500000</v>
      </c>
      <c r="D13" s="48">
        <f>C15</f>
        <v>7875000000</v>
      </c>
      <c r="E13" s="48">
        <f>D15</f>
        <v>3937500000</v>
      </c>
      <c r="F13" s="46"/>
      <c r="G13" s="69"/>
    </row>
    <row r="14" spans="1:7" x14ac:dyDescent="0.3">
      <c r="A14" s="64" t="s">
        <v>104</v>
      </c>
      <c r="B14" s="65">
        <f>IF(B12&lt;='Dữ liệu'!C13,'Trả góp'!B13/'Dữ liệu'!C13,0)</f>
        <v>3937500000</v>
      </c>
      <c r="C14" s="65">
        <f>IF(B12&lt;='Dữ liệu'!C13,'Trả góp'!B13/'Dữ liệu'!C13,0)</f>
        <v>3937500000</v>
      </c>
      <c r="D14" s="65">
        <f>IF(B12&lt;='Dữ liệu'!C13,'Trả góp'!B13/'Dữ liệu'!C13,0)</f>
        <v>3937500000</v>
      </c>
      <c r="E14" s="65">
        <f>IF(B12&lt;='Dữ liệu'!C13,'Trả góp'!B13/'Dữ liệu'!C13,0)</f>
        <v>3937500000</v>
      </c>
      <c r="F14" s="46"/>
      <c r="G14" s="69"/>
    </row>
    <row r="15" spans="1:7" x14ac:dyDescent="0.3">
      <c r="A15" s="46" t="s">
        <v>105</v>
      </c>
      <c r="B15" s="48">
        <f>B13-B14</f>
        <v>11812500000</v>
      </c>
      <c r="C15" s="48">
        <f>C13-C14</f>
        <v>7875000000</v>
      </c>
      <c r="D15" s="48">
        <f>D13-D14</f>
        <v>3937500000</v>
      </c>
      <c r="E15" s="66"/>
      <c r="F15" s="46"/>
      <c r="G15" s="69"/>
    </row>
    <row r="16" spans="1:7" x14ac:dyDescent="0.3">
      <c r="A16" s="64" t="s">
        <v>106</v>
      </c>
      <c r="B16" s="48">
        <f>(B13+B15)*'Dữ liệu'!D13</f>
        <v>1929375000.0000002</v>
      </c>
      <c r="C16" s="48">
        <f>(C13+C15)*'Dữ liệu'!D13</f>
        <v>1378125000.0000002</v>
      </c>
      <c r="D16" s="48">
        <f>(D13+D15)*'Dữ liệu'!D13</f>
        <v>826875000.00000012</v>
      </c>
      <c r="E16" s="48">
        <f>(E13+E15)*'Dữ liệu'!D13</f>
        <v>275625000</v>
      </c>
      <c r="F16" s="46"/>
      <c r="G16" s="70"/>
    </row>
    <row r="17" spans="1:7" x14ac:dyDescent="0.3">
      <c r="A17" s="103"/>
      <c r="B17" s="103"/>
      <c r="C17" s="103"/>
      <c r="D17" s="103"/>
      <c r="E17" s="103"/>
      <c r="F17" s="103"/>
      <c r="G17" s="103"/>
    </row>
    <row r="18" spans="1:7" x14ac:dyDescent="0.3">
      <c r="A18" s="67" t="s">
        <v>110</v>
      </c>
      <c r="B18" s="68"/>
      <c r="C18" s="68">
        <v>1</v>
      </c>
      <c r="D18" s="68">
        <v>2</v>
      </c>
      <c r="E18" s="68">
        <v>3</v>
      </c>
      <c r="F18" s="68">
        <v>4</v>
      </c>
      <c r="G18" s="71"/>
    </row>
    <row r="19" spans="1:7" x14ac:dyDescent="0.3">
      <c r="A19" s="46" t="s">
        <v>103</v>
      </c>
      <c r="B19" s="48"/>
      <c r="C19" s="48">
        <f>C8</f>
        <v>12600000000</v>
      </c>
      <c r="D19" s="48">
        <f>C21</f>
        <v>9450000000</v>
      </c>
      <c r="E19" s="48">
        <f>D21</f>
        <v>6300000000</v>
      </c>
      <c r="F19" s="48">
        <f>E21</f>
        <v>3150000000</v>
      </c>
      <c r="G19" s="48"/>
    </row>
    <row r="20" spans="1:7" x14ac:dyDescent="0.3">
      <c r="A20" s="64" t="s">
        <v>104</v>
      </c>
      <c r="B20" s="65"/>
      <c r="C20" s="72">
        <f>IF(C18&lt;'Trả góp'!C13,C19/'Dữ liệu'!C13,0)</f>
        <v>3150000000</v>
      </c>
      <c r="D20" s="72">
        <f>IF(C18&lt;'Trả góp'!C13,C19/'Dữ liệu'!C13,0)</f>
        <v>3150000000</v>
      </c>
      <c r="E20" s="72">
        <f>IF(C18&lt;'Trả góp'!C13,C19/'Dữ liệu'!C13,0)</f>
        <v>3150000000</v>
      </c>
      <c r="F20" s="72">
        <f>IF(C18&lt;'Trả góp'!C13,C19/'Dữ liệu'!C13,0)</f>
        <v>3150000000</v>
      </c>
      <c r="G20" s="48"/>
    </row>
    <row r="21" spans="1:7" x14ac:dyDescent="0.3">
      <c r="A21" s="46" t="s">
        <v>105</v>
      </c>
      <c r="B21" s="48"/>
      <c r="C21" s="48">
        <f>C19-C20</f>
        <v>9450000000</v>
      </c>
      <c r="D21" s="48">
        <f>D19-D20</f>
        <v>6300000000</v>
      </c>
      <c r="E21" s="48">
        <f>E19-E20</f>
        <v>3150000000</v>
      </c>
      <c r="F21" s="66"/>
      <c r="G21" s="48"/>
    </row>
    <row r="22" spans="1:7" x14ac:dyDescent="0.3">
      <c r="A22" s="64" t="s">
        <v>106</v>
      </c>
      <c r="B22" s="48"/>
      <c r="C22" s="65">
        <f>(C19+C21)*'Dữ liệu'!D13</f>
        <v>1543500000.0000002</v>
      </c>
      <c r="D22" s="65">
        <f>(D19+D21)*'Dữ liệu'!D13</f>
        <v>1102500000</v>
      </c>
      <c r="E22" s="65">
        <f>(E19+E21)*'Dữ liệu'!D13</f>
        <v>661500000.00000012</v>
      </c>
      <c r="F22" s="65">
        <f>(F19+F21)*'Dữ liệu'!D13</f>
        <v>220500000.00000003</v>
      </c>
      <c r="G22" s="46"/>
    </row>
    <row r="23" spans="1:7" x14ac:dyDescent="0.3">
      <c r="A23" s="103"/>
      <c r="B23" s="103"/>
      <c r="C23" s="103"/>
      <c r="D23" s="103"/>
      <c r="E23" s="103"/>
      <c r="F23" s="103"/>
      <c r="G23" s="103"/>
    </row>
    <row r="24" spans="1:7" x14ac:dyDescent="0.3">
      <c r="A24" s="67" t="s">
        <v>111</v>
      </c>
      <c r="B24" s="68"/>
      <c r="C24" s="68"/>
      <c r="D24" s="68">
        <v>1</v>
      </c>
      <c r="E24" s="68">
        <v>2</v>
      </c>
      <c r="F24" s="68">
        <v>3</v>
      </c>
      <c r="G24" s="71">
        <v>4</v>
      </c>
    </row>
    <row r="25" spans="1:7" x14ac:dyDescent="0.3">
      <c r="A25" s="46" t="s">
        <v>103</v>
      </c>
      <c r="B25" s="48"/>
      <c r="C25" s="48"/>
      <c r="D25" s="48">
        <f>D8</f>
        <v>6300000000</v>
      </c>
      <c r="E25" s="48">
        <f>D27</f>
        <v>4725000000</v>
      </c>
      <c r="F25" s="48">
        <f>E27</f>
        <v>3150000000</v>
      </c>
      <c r="G25" s="48">
        <f>F27</f>
        <v>1575000000</v>
      </c>
    </row>
    <row r="26" spans="1:7" x14ac:dyDescent="0.3">
      <c r="A26" s="64" t="s">
        <v>104</v>
      </c>
      <c r="B26" s="65"/>
      <c r="C26" s="65"/>
      <c r="D26" s="65">
        <f>IF(D24&lt;='Trả góp'!C13,'Trả góp'!D25/'Dữ liệu'!C13,0)</f>
        <v>1575000000</v>
      </c>
      <c r="E26" s="65">
        <f>IF(D24&lt;='Trả góp'!C13,'Trả góp'!D25/'Dữ liệu'!C13,0)</f>
        <v>1575000000</v>
      </c>
      <c r="F26" s="65">
        <f>IF(D24&lt;='Trả góp'!C13,'Trả góp'!D25/'Dữ liệu'!C13,0)</f>
        <v>1575000000</v>
      </c>
      <c r="G26" s="65">
        <f>IF(D24&lt;='Trả góp'!C13,'Trả góp'!D25/'Dữ liệu'!C13,0)</f>
        <v>1575000000</v>
      </c>
    </row>
    <row r="27" spans="1:7" x14ac:dyDescent="0.3">
      <c r="A27" s="46" t="s">
        <v>105</v>
      </c>
      <c r="B27" s="48"/>
      <c r="C27" s="48"/>
      <c r="D27" s="48">
        <f>D25-D26</f>
        <v>4725000000</v>
      </c>
      <c r="E27" s="48">
        <f>E25-E26</f>
        <v>3150000000</v>
      </c>
      <c r="F27" s="48">
        <f>F25-F26</f>
        <v>1575000000</v>
      </c>
      <c r="G27" s="66"/>
    </row>
    <row r="28" spans="1:7" x14ac:dyDescent="0.3">
      <c r="A28" s="64" t="s">
        <v>106</v>
      </c>
      <c r="B28" s="48"/>
      <c r="C28" s="48"/>
      <c r="D28" s="65">
        <f>(D25+D27)*'Dữ liệu'!D13</f>
        <v>771750000.00000012</v>
      </c>
      <c r="E28" s="65">
        <f>(E25+E27)*'Dữ liệu'!D13</f>
        <v>551250000</v>
      </c>
      <c r="F28" s="65">
        <f>(F25+F27)*'Dữ liệu'!D13</f>
        <v>330750000.00000006</v>
      </c>
      <c r="G28" s="65">
        <f>(G25+G27)*'Dữ liệu'!D13</f>
        <v>110250000.00000001</v>
      </c>
    </row>
    <row r="29" spans="1:7" x14ac:dyDescent="0.3">
      <c r="A29" s="73"/>
      <c r="B29" s="73"/>
      <c r="C29" s="73"/>
      <c r="D29" s="73"/>
      <c r="E29" s="73"/>
      <c r="F29" s="73"/>
      <c r="G29" s="73"/>
    </row>
  </sheetData>
  <mergeCells count="5">
    <mergeCell ref="A1:G1"/>
    <mergeCell ref="F3:G3"/>
    <mergeCell ref="A11:G11"/>
    <mergeCell ref="A17:G17"/>
    <mergeCell ref="A23:G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28" sqref="C28"/>
    </sheetView>
  </sheetViews>
  <sheetFormatPr defaultRowHeight="15.6" x14ac:dyDescent="0.3"/>
  <cols>
    <col min="1" max="1" width="27" style="7" customWidth="1"/>
    <col min="2" max="2" width="21" style="7" customWidth="1"/>
    <col min="3" max="3" width="20.33203125" style="7" customWidth="1"/>
    <col min="4" max="4" width="19.21875" style="7" customWidth="1"/>
    <col min="5" max="5" width="18.77734375" style="7" customWidth="1"/>
    <col min="6" max="6" width="20.44140625" style="7" customWidth="1"/>
    <col min="7" max="7" width="20.5546875" style="7" customWidth="1"/>
    <col min="8" max="16384" width="8.88671875" style="7"/>
  </cols>
  <sheetData>
    <row r="1" spans="1:7" ht="17.399999999999999" x14ac:dyDescent="0.3">
      <c r="A1" s="101" t="s">
        <v>94</v>
      </c>
      <c r="B1" s="101"/>
      <c r="C1" s="101"/>
      <c r="D1" s="101"/>
      <c r="E1" s="101"/>
      <c r="F1" s="101"/>
      <c r="G1" s="101"/>
    </row>
    <row r="2" spans="1:7" x14ac:dyDescent="0.3">
      <c r="A2" s="32"/>
      <c r="B2" s="33"/>
      <c r="C2" s="34"/>
      <c r="D2" s="33"/>
      <c r="E2" s="33"/>
      <c r="F2" s="33"/>
      <c r="G2" s="33"/>
    </row>
    <row r="3" spans="1:7" ht="16.2" x14ac:dyDescent="0.3">
      <c r="A3" s="35"/>
      <c r="B3" s="36"/>
      <c r="C3" s="37"/>
      <c r="F3" s="100" t="s">
        <v>51</v>
      </c>
      <c r="G3" s="100"/>
    </row>
    <row r="4" spans="1:7" x14ac:dyDescent="0.3">
      <c r="A4" s="17" t="s">
        <v>37</v>
      </c>
      <c r="B4" s="17" t="s">
        <v>33</v>
      </c>
      <c r="C4" s="17" t="s">
        <v>34</v>
      </c>
      <c r="D4" s="17" t="s">
        <v>35</v>
      </c>
      <c r="E4" s="17" t="s">
        <v>38</v>
      </c>
      <c r="F4" s="17" t="s">
        <v>39</v>
      </c>
      <c r="G4" s="17" t="s">
        <v>42</v>
      </c>
    </row>
    <row r="5" spans="1:7" x14ac:dyDescent="0.3">
      <c r="A5" s="57" t="s">
        <v>87</v>
      </c>
      <c r="B5" s="78">
        <f>'Doanh thu'!C13</f>
        <v>11095000000</v>
      </c>
      <c r="C5" s="78">
        <f>'Doanh thu'!D13</f>
        <v>25229400000</v>
      </c>
      <c r="D5" s="78">
        <f>'Doanh thu'!E13</f>
        <v>31134600000</v>
      </c>
      <c r="E5" s="78">
        <f>'Doanh thu'!F13</f>
        <v>31134600000</v>
      </c>
      <c r="F5" s="78">
        <f>'Doanh thu'!G13</f>
        <v>31134600000</v>
      </c>
      <c r="G5" s="78">
        <f>'Doanh thu'!H13</f>
        <v>17715600000</v>
      </c>
    </row>
    <row r="6" spans="1:7" x14ac:dyDescent="0.3">
      <c r="A6" s="58" t="s">
        <v>86</v>
      </c>
      <c r="B6" s="79">
        <f>'Chi phí'!B16</f>
        <v>8545000000</v>
      </c>
      <c r="C6" s="79">
        <f>'Chi phí'!C16</f>
        <v>13513000000</v>
      </c>
      <c r="D6" s="79">
        <f>'Chi phí'!D16</f>
        <v>15997000000</v>
      </c>
      <c r="E6" s="79">
        <f>'Chi phí'!E16</f>
        <v>15997000000</v>
      </c>
      <c r="F6" s="79">
        <f>'Chi phí'!F16</f>
        <v>15997000000</v>
      </c>
      <c r="G6" s="79">
        <f>'Chi phí'!G16</f>
        <v>9787000000</v>
      </c>
    </row>
    <row r="7" spans="1:7" x14ac:dyDescent="0.3">
      <c r="A7" s="58" t="s">
        <v>85</v>
      </c>
      <c r="B7" s="79">
        <f>'Trả góp'!B10</f>
        <v>1929375000.0000002</v>
      </c>
      <c r="C7" s="79">
        <f>'Trả góp'!C10</f>
        <v>2921625000.0000005</v>
      </c>
      <c r="D7" s="79">
        <f>'Trả góp'!D10</f>
        <v>2701125000</v>
      </c>
      <c r="E7" s="79">
        <f>'Trả góp'!E10</f>
        <v>1488375000</v>
      </c>
      <c r="F7" s="79">
        <f>'Trả góp'!F10</f>
        <v>551250000.00000012</v>
      </c>
      <c r="G7" s="79">
        <f>'Trả góp'!G10</f>
        <v>110250000.00000001</v>
      </c>
    </row>
    <row r="8" spans="1:7" x14ac:dyDescent="0.3">
      <c r="A8" s="80" t="s">
        <v>88</v>
      </c>
      <c r="B8" s="81">
        <f t="shared" ref="B8:G8" si="0">B5-B6-B7</f>
        <v>620624999.99999976</v>
      </c>
      <c r="C8" s="81">
        <f t="shared" si="0"/>
        <v>8794775000</v>
      </c>
      <c r="D8" s="81">
        <f t="shared" si="0"/>
        <v>12436475000</v>
      </c>
      <c r="E8" s="81">
        <f t="shared" si="0"/>
        <v>13649225000</v>
      </c>
      <c r="F8" s="81">
        <f t="shared" si="0"/>
        <v>14586350000</v>
      </c>
      <c r="G8" s="81">
        <f t="shared" si="0"/>
        <v>7818350000</v>
      </c>
    </row>
    <row r="9" spans="1:7" x14ac:dyDescent="0.3">
      <c r="A9" s="57" t="s">
        <v>67</v>
      </c>
      <c r="B9" s="78">
        <f>IF(B8&gt;0,B8*'Dữ liệu'!C40,0)</f>
        <v>124124999.99999996</v>
      </c>
      <c r="C9" s="78">
        <f>IF(C8&gt;0,C8*'Dữ liệu'!C40,0)</f>
        <v>1758955000</v>
      </c>
      <c r="D9" s="78">
        <f>IF(D8&gt;0,D8*'Dữ liệu'!C40,0)</f>
        <v>2487295000</v>
      </c>
      <c r="E9" s="78">
        <f>IF(E8&gt;0,E8*'Dữ liệu'!C40,0)</f>
        <v>2729845000</v>
      </c>
      <c r="F9" s="78">
        <f>IF(F8&gt;0,F8*'Dữ liệu'!C40,0)</f>
        <v>2917270000</v>
      </c>
      <c r="G9" s="78">
        <f>IF(G8&gt;0,G8*'Dữ liệu'!C40,0)</f>
        <v>1563670000</v>
      </c>
    </row>
    <row r="10" spans="1:7" x14ac:dyDescent="0.3">
      <c r="A10" s="80" t="s">
        <v>89</v>
      </c>
      <c r="B10" s="74">
        <f t="shared" ref="B10:G10" si="1">B8-B9</f>
        <v>496499999.99999982</v>
      </c>
      <c r="C10" s="74">
        <f t="shared" si="1"/>
        <v>7035820000</v>
      </c>
      <c r="D10" s="74">
        <f t="shared" si="1"/>
        <v>9949180000</v>
      </c>
      <c r="E10" s="74">
        <f t="shared" si="1"/>
        <v>10919380000</v>
      </c>
      <c r="F10" s="74">
        <f t="shared" si="1"/>
        <v>11669080000</v>
      </c>
      <c r="G10" s="74">
        <f t="shared" si="1"/>
        <v>6254680000</v>
      </c>
    </row>
  </sheetData>
  <mergeCells count="2">
    <mergeCell ref="F3:G3"/>
    <mergeCell ref="A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C19" sqref="C19"/>
    </sheetView>
  </sheetViews>
  <sheetFormatPr defaultRowHeight="15.6" x14ac:dyDescent="0.3"/>
  <cols>
    <col min="1" max="1" width="39.88671875" style="7" customWidth="1"/>
    <col min="2" max="2" width="19.88671875" style="7" customWidth="1"/>
    <col min="3" max="3" width="18.6640625" style="7" customWidth="1"/>
    <col min="4" max="4" width="19.21875" style="7" customWidth="1"/>
    <col min="5" max="5" width="17.6640625" style="7" customWidth="1"/>
    <col min="6" max="6" width="18.6640625" style="7" customWidth="1"/>
    <col min="7" max="7" width="18.21875" style="7" customWidth="1"/>
    <col min="8" max="8" width="18.77734375" style="7" customWidth="1"/>
    <col min="9" max="16384" width="8.88671875" style="7"/>
  </cols>
  <sheetData>
    <row r="1" spans="1:8" ht="17.399999999999999" x14ac:dyDescent="0.3">
      <c r="A1" s="104" t="s">
        <v>95</v>
      </c>
      <c r="B1" s="104"/>
      <c r="C1" s="104"/>
      <c r="D1" s="104"/>
      <c r="E1" s="104"/>
      <c r="F1" s="104"/>
      <c r="G1" s="104"/>
      <c r="H1" s="104"/>
    </row>
    <row r="2" spans="1:8" x14ac:dyDescent="0.3">
      <c r="A2" s="45"/>
      <c r="B2" s="4"/>
      <c r="C2" s="4"/>
      <c r="D2" s="4"/>
      <c r="E2" s="4"/>
      <c r="F2" s="4"/>
      <c r="G2" s="4"/>
    </row>
    <row r="3" spans="1:8" ht="16.2" x14ac:dyDescent="0.3">
      <c r="A3" s="35"/>
      <c r="B3" s="36"/>
      <c r="C3" s="37"/>
      <c r="E3" s="39"/>
      <c r="F3" s="39"/>
      <c r="G3" s="100" t="s">
        <v>51</v>
      </c>
      <c r="H3" s="100"/>
    </row>
    <row r="4" spans="1:8" x14ac:dyDescent="0.3">
      <c r="A4" s="17" t="s">
        <v>37</v>
      </c>
      <c r="B4" s="17" t="s">
        <v>64</v>
      </c>
      <c r="C4" s="17" t="s">
        <v>33</v>
      </c>
      <c r="D4" s="17" t="s">
        <v>34</v>
      </c>
      <c r="E4" s="17" t="s">
        <v>35</v>
      </c>
      <c r="F4" s="17" t="s">
        <v>38</v>
      </c>
      <c r="G4" s="17" t="s">
        <v>39</v>
      </c>
      <c r="H4" s="17" t="s">
        <v>42</v>
      </c>
    </row>
    <row r="5" spans="1:8" x14ac:dyDescent="0.3">
      <c r="A5" s="42" t="s">
        <v>122</v>
      </c>
      <c r="B5" s="21">
        <f>'Dữ liệu'!C9+'Dữ liệu'!C23</f>
        <v>28320000000</v>
      </c>
      <c r="C5" s="21">
        <f>'Dữ liệu'!D9</f>
        <v>18000000000</v>
      </c>
      <c r="D5" s="21">
        <f>'Dữ liệu'!E9</f>
        <v>9000000000</v>
      </c>
      <c r="E5" s="21"/>
      <c r="F5" s="21"/>
      <c r="G5" s="21"/>
      <c r="H5" s="46"/>
    </row>
    <row r="6" spans="1:8" x14ac:dyDescent="0.3">
      <c r="A6" s="42" t="s">
        <v>120</v>
      </c>
      <c r="B6" s="21"/>
      <c r="C6" s="21">
        <f>'Trả góp'!B9</f>
        <v>3937500000</v>
      </c>
      <c r="D6" s="21">
        <f>'Trả góp'!C9</f>
        <v>7087500000</v>
      </c>
      <c r="E6" s="21">
        <f>'Trả góp'!D9</f>
        <v>8662500000</v>
      </c>
      <c r="F6" s="21">
        <f>'Trả góp'!E9</f>
        <v>8662500000</v>
      </c>
      <c r="G6" s="21">
        <f>'Trả góp'!F9</f>
        <v>4725000000</v>
      </c>
      <c r="H6" s="21">
        <f>'Trả góp'!G9</f>
        <v>1575000000</v>
      </c>
    </row>
    <row r="7" spans="1:8" x14ac:dyDescent="0.3">
      <c r="A7" s="42" t="s">
        <v>121</v>
      </c>
      <c r="B7" s="21"/>
      <c r="C7" s="21"/>
      <c r="D7" s="21"/>
      <c r="E7" s="21"/>
      <c r="F7" s="21"/>
      <c r="G7" s="21"/>
      <c r="H7" s="21"/>
    </row>
    <row r="8" spans="1:8" x14ac:dyDescent="0.3">
      <c r="A8" s="43" t="s">
        <v>119</v>
      </c>
      <c r="B8" s="40">
        <f>SUM(B5:B7)</f>
        <v>28320000000</v>
      </c>
      <c r="C8" s="40">
        <f>SUM(C5:C7)</f>
        <v>21937500000</v>
      </c>
      <c r="D8" s="40">
        <f>SUM(D5:D7)</f>
        <v>16087500000</v>
      </c>
      <c r="E8" s="40">
        <f>SUM(E5:E7)</f>
        <v>8662500000</v>
      </c>
      <c r="F8" s="40">
        <f>SUM(F5:F7)</f>
        <v>8662500000</v>
      </c>
      <c r="G8" s="40">
        <f>SUM(G5:G7)</f>
        <v>4725000000</v>
      </c>
      <c r="H8" s="40">
        <f>SUM(H5:H7)</f>
        <v>1575000000</v>
      </c>
    </row>
    <row r="9" spans="1:8" x14ac:dyDescent="0.3">
      <c r="A9" s="105"/>
      <c r="B9" s="105"/>
      <c r="C9" s="105"/>
      <c r="D9" s="105"/>
      <c r="E9" s="105"/>
      <c r="F9" s="105"/>
      <c r="G9" s="105"/>
      <c r="H9" s="105"/>
    </row>
    <row r="10" spans="1:8" x14ac:dyDescent="0.3">
      <c r="A10" s="42" t="s">
        <v>116</v>
      </c>
      <c r="B10" s="21">
        <f>'Trả góp'!B8</f>
        <v>15750000000</v>
      </c>
      <c r="C10" s="21">
        <f>'Trả góp'!C8</f>
        <v>12600000000</v>
      </c>
      <c r="D10" s="21">
        <f>'Trả góp'!D8</f>
        <v>6300000000</v>
      </c>
      <c r="E10" s="21"/>
      <c r="F10" s="21"/>
      <c r="G10" s="21"/>
      <c r="H10" s="21"/>
    </row>
    <row r="11" spans="1:8" x14ac:dyDescent="0.3">
      <c r="A11" s="42" t="s">
        <v>123</v>
      </c>
      <c r="B11" s="21"/>
      <c r="C11" s="21">
        <f>'Lợi nhuận'!B10</f>
        <v>496499999.99999982</v>
      </c>
      <c r="D11" s="21">
        <f>'Lợi nhuận'!C10</f>
        <v>7035820000</v>
      </c>
      <c r="E11" s="21">
        <f>'Lợi nhuận'!D10</f>
        <v>9949180000</v>
      </c>
      <c r="F11" s="21">
        <f>'Lợi nhuận'!E10</f>
        <v>10919380000</v>
      </c>
      <c r="G11" s="21">
        <f>'Lợi nhuận'!F10</f>
        <v>11669080000</v>
      </c>
      <c r="H11" s="21">
        <f>'Lợi nhuận'!G10</f>
        <v>6254680000</v>
      </c>
    </row>
    <row r="12" spans="1:8" x14ac:dyDescent="0.3">
      <c r="A12" s="42" t="s">
        <v>124</v>
      </c>
      <c r="B12" s="21"/>
      <c r="C12" s="21">
        <f>'Khấu hao'!B10</f>
        <v>4815000000</v>
      </c>
      <c r="D12" s="21">
        <f>'Khấu hao'!C10</f>
        <v>8415000000</v>
      </c>
      <c r="E12" s="21">
        <f>'Khấu hao'!D10</f>
        <v>10215000000</v>
      </c>
      <c r="F12" s="21">
        <f>'Khấu hao'!E10</f>
        <v>10215000000</v>
      </c>
      <c r="G12" s="21">
        <f>'Khấu hao'!F10</f>
        <v>10215000000</v>
      </c>
      <c r="H12" s="21">
        <f>'Khấu hao'!G10</f>
        <v>5715000000</v>
      </c>
    </row>
    <row r="13" spans="1:8" x14ac:dyDescent="0.3">
      <c r="A13" s="42" t="s">
        <v>113</v>
      </c>
      <c r="B13" s="44"/>
      <c r="C13" s="44"/>
      <c r="D13" s="44"/>
      <c r="E13" s="44"/>
      <c r="F13" s="44"/>
      <c r="G13" s="44"/>
      <c r="H13" s="48">
        <f>'Khấu hao'!G11</f>
        <v>1800000000</v>
      </c>
    </row>
    <row r="14" spans="1:8" x14ac:dyDescent="0.3">
      <c r="A14" s="42" t="s">
        <v>117</v>
      </c>
      <c r="B14" s="44"/>
      <c r="C14" s="44"/>
      <c r="D14" s="44"/>
      <c r="E14" s="44"/>
      <c r="F14" s="44"/>
      <c r="G14" s="44"/>
      <c r="H14" s="48"/>
    </row>
    <row r="15" spans="1:8" x14ac:dyDescent="0.3">
      <c r="A15" s="43" t="s">
        <v>115</v>
      </c>
      <c r="B15" s="40">
        <f t="shared" ref="B15:H15" si="0">SUM(B10:B14)</f>
        <v>15750000000</v>
      </c>
      <c r="C15" s="40">
        <f t="shared" si="0"/>
        <v>17911500000</v>
      </c>
      <c r="D15" s="40">
        <f t="shared" si="0"/>
        <v>21750820000</v>
      </c>
      <c r="E15" s="40">
        <f t="shared" si="0"/>
        <v>20164180000</v>
      </c>
      <c r="F15" s="40">
        <f t="shared" si="0"/>
        <v>21134380000</v>
      </c>
      <c r="G15" s="40">
        <f t="shared" si="0"/>
        <v>21884080000</v>
      </c>
      <c r="H15" s="40">
        <f t="shared" si="0"/>
        <v>13769680000</v>
      </c>
    </row>
    <row r="16" spans="1:8" x14ac:dyDescent="0.3">
      <c r="A16" s="106"/>
      <c r="B16" s="106"/>
      <c r="C16" s="106"/>
      <c r="D16" s="106"/>
      <c r="E16" s="106"/>
      <c r="F16" s="106"/>
      <c r="G16" s="106"/>
      <c r="H16" s="106"/>
    </row>
    <row r="17" spans="1:8" x14ac:dyDescent="0.3">
      <c r="A17" s="87" t="s">
        <v>118</v>
      </c>
      <c r="B17" s="40">
        <f t="shared" ref="B17:H17" si="1">B15-B8</f>
        <v>-12570000000</v>
      </c>
      <c r="C17" s="40">
        <f t="shared" si="1"/>
        <v>-4026000000</v>
      </c>
      <c r="D17" s="40">
        <f t="shared" si="1"/>
        <v>5663320000</v>
      </c>
      <c r="E17" s="40">
        <f t="shared" si="1"/>
        <v>11501680000</v>
      </c>
      <c r="F17" s="40">
        <f t="shared" si="1"/>
        <v>12471880000</v>
      </c>
      <c r="G17" s="40">
        <f t="shared" si="1"/>
        <v>17159080000</v>
      </c>
      <c r="H17" s="40">
        <f t="shared" si="1"/>
        <v>12194680000</v>
      </c>
    </row>
    <row r="18" spans="1:8" x14ac:dyDescent="0.3">
      <c r="A18" s="85"/>
      <c r="B18" s="85"/>
      <c r="C18" s="85"/>
      <c r="D18" s="85"/>
      <c r="E18" s="85"/>
      <c r="F18" s="85"/>
      <c r="G18" s="85"/>
      <c r="H18" s="85"/>
    </row>
    <row r="19" spans="1:8" x14ac:dyDescent="0.3">
      <c r="A19" s="86" t="s">
        <v>65</v>
      </c>
      <c r="B19" s="88">
        <f>NPV('Dữ liệu'!C41,C17:H17)+B17</f>
        <v>20377622238.058136</v>
      </c>
      <c r="C19" s="41"/>
      <c r="D19" s="41"/>
      <c r="E19" s="41"/>
      <c r="F19" s="41"/>
      <c r="G19" s="41"/>
    </row>
    <row r="20" spans="1:8" x14ac:dyDescent="0.3">
      <c r="A20" s="86" t="s">
        <v>66</v>
      </c>
      <c r="B20" s="76">
        <f>IRR(B17:H17)</f>
        <v>0.39215112904313432</v>
      </c>
      <c r="C20" s="41"/>
      <c r="D20" s="41"/>
      <c r="E20" s="41"/>
      <c r="F20" s="41"/>
      <c r="G20" s="41"/>
    </row>
  </sheetData>
  <mergeCells count="4">
    <mergeCell ref="A1:H1"/>
    <mergeCell ref="G3:H3"/>
    <mergeCell ref="A9:H9"/>
    <mergeCell ref="A16:H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Dữ liệu</vt:lpstr>
      <vt:lpstr>Doanh thu</vt:lpstr>
      <vt:lpstr>Chi phí</vt:lpstr>
      <vt:lpstr>Khấu hao</vt:lpstr>
      <vt:lpstr>Trả góp</vt:lpstr>
      <vt:lpstr>Lợi nhuận</vt:lpstr>
      <vt:lpstr>Dòng tiền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2019-05-17T10:59:21Z</dcterms:modified>
</cp:coreProperties>
</file>