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ang\Documents\"/>
    </mc:Choice>
  </mc:AlternateContent>
  <bookViews>
    <workbookView xWindow="0" yWindow="0" windowWidth="20490" windowHeight="7620" activeTab="2"/>
  </bookViews>
  <sheets>
    <sheet name="CÀI ĐẶT" sheetId="1" r:id="rId1"/>
    <sheet name="THÔNG TIN" sheetId="5" r:id="rId2"/>
    <sheet name="VÒNG BẢNG" sheetId="2" r:id="rId3"/>
    <sheet name="NHÁP 1" sheetId="3" r:id="rId4"/>
    <sheet name="NHÁP 2" sheetId="4" r:id="rId5"/>
  </sheets>
  <definedNames>
    <definedName name="_xlnm._FilterDatabase" localSheetId="3" hidden="1">'NHÁP 1'!$V$3:$V$6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4" l="1"/>
  <c r="E30" i="4"/>
  <c r="E31" i="4"/>
  <c r="E32" i="4"/>
  <c r="E33" i="4"/>
  <c r="E34" i="4"/>
  <c r="E35" i="4"/>
  <c r="E36" i="4"/>
  <c r="E37" i="4"/>
  <c r="E38" i="4"/>
  <c r="E39" i="4"/>
  <c r="D2" i="2" l="1"/>
  <c r="AX26" i="2"/>
  <c r="H8" i="1"/>
  <c r="H9" i="1"/>
  <c r="H10" i="1"/>
  <c r="H11" i="1"/>
  <c r="H12" i="1"/>
  <c r="H13" i="1"/>
  <c r="H14" i="1"/>
  <c r="H15" i="1"/>
  <c r="H16" i="1"/>
  <c r="H17" i="1"/>
  <c r="H18" i="1"/>
  <c r="H19" i="1"/>
  <c r="H20" i="1"/>
  <c r="H21" i="1"/>
  <c r="H22" i="1"/>
  <c r="H23" i="1"/>
  <c r="H24" i="1"/>
  <c r="H25" i="1"/>
  <c r="H26" i="1"/>
  <c r="H27" i="1"/>
  <c r="H28" i="1"/>
  <c r="H29" i="1"/>
  <c r="H30" i="1"/>
  <c r="H7" i="1"/>
  <c r="C30" i="1"/>
  <c r="C29" i="1"/>
  <c r="C28" i="1"/>
  <c r="C27" i="1"/>
  <c r="C26" i="1"/>
  <c r="C25" i="1"/>
  <c r="C24" i="1"/>
  <c r="C23" i="1"/>
  <c r="C22" i="1"/>
  <c r="C21" i="1"/>
  <c r="C20" i="1"/>
  <c r="C19" i="1"/>
  <c r="C18" i="1"/>
  <c r="C17" i="1"/>
  <c r="C16" i="1"/>
  <c r="C15" i="1"/>
  <c r="C14" i="1"/>
  <c r="C13" i="1"/>
  <c r="C12" i="1"/>
  <c r="C11" i="1"/>
  <c r="C10" i="1"/>
  <c r="C9" i="1"/>
  <c r="C8" i="1"/>
  <c r="C7" i="1"/>
  <c r="I8" i="2"/>
  <c r="C6" i="1"/>
  <c r="F5" i="2"/>
  <c r="BN27" i="3" l="1"/>
  <c r="BM27" i="3"/>
  <c r="BL27" i="3"/>
  <c r="BN26" i="3"/>
  <c r="BM26" i="3"/>
  <c r="BL26" i="3"/>
  <c r="BG39" i="3"/>
  <c r="BF39" i="3"/>
  <c r="BE39" i="3"/>
  <c r="BG38" i="3"/>
  <c r="BF38" i="3"/>
  <c r="BE38" i="3"/>
  <c r="BG15" i="3"/>
  <c r="BF15" i="3"/>
  <c r="BE15" i="3"/>
  <c r="BG14" i="3"/>
  <c r="BF14" i="3"/>
  <c r="BE14" i="3"/>
  <c r="AZ45" i="3"/>
  <c r="AY45" i="3"/>
  <c r="AX45" i="3"/>
  <c r="AZ44" i="3"/>
  <c r="AY44" i="3"/>
  <c r="AX44" i="3"/>
  <c r="AZ33" i="3"/>
  <c r="AY33" i="3"/>
  <c r="AX33" i="3"/>
  <c r="AZ32" i="3"/>
  <c r="AY32" i="3"/>
  <c r="AX32" i="3"/>
  <c r="AZ21" i="3"/>
  <c r="AY21" i="3"/>
  <c r="AX21" i="3"/>
  <c r="AZ20" i="3"/>
  <c r="AY20" i="3"/>
  <c r="AX20" i="3"/>
  <c r="AZ9" i="3"/>
  <c r="AY9" i="3"/>
  <c r="AX9" i="3"/>
  <c r="AZ8" i="3"/>
  <c r="AY8" i="3"/>
  <c r="AX8" i="3"/>
  <c r="AS48" i="3"/>
  <c r="AR48" i="3"/>
  <c r="AQ48" i="3"/>
  <c r="AS47" i="3"/>
  <c r="AR47" i="3"/>
  <c r="AQ47" i="3"/>
  <c r="AS42" i="3"/>
  <c r="AR42" i="3"/>
  <c r="AQ42" i="3"/>
  <c r="AS41" i="3"/>
  <c r="AR41" i="3"/>
  <c r="AQ41" i="3"/>
  <c r="AS36" i="3"/>
  <c r="AR36" i="3"/>
  <c r="AQ36" i="3"/>
  <c r="AS35" i="3"/>
  <c r="AR35" i="3"/>
  <c r="AQ35" i="3"/>
  <c r="AS30" i="3"/>
  <c r="AR30" i="3"/>
  <c r="AQ30" i="3"/>
  <c r="AS29" i="3"/>
  <c r="AR29" i="3"/>
  <c r="AQ29" i="3"/>
  <c r="AS24" i="3"/>
  <c r="AR24" i="3"/>
  <c r="AQ24" i="3"/>
  <c r="AS23" i="3"/>
  <c r="AR23" i="3"/>
  <c r="AQ23" i="3"/>
  <c r="AS6" i="3"/>
  <c r="AR6" i="3"/>
  <c r="AQ6" i="3"/>
  <c r="AS5" i="3"/>
  <c r="AR5" i="3"/>
  <c r="AQ5" i="3"/>
  <c r="AS12" i="3"/>
  <c r="AR12" i="3"/>
  <c r="AQ12" i="3"/>
  <c r="AS11" i="3"/>
  <c r="AR11" i="3"/>
  <c r="AQ11" i="3"/>
  <c r="BO26" i="3" l="1"/>
  <c r="BH38" i="3"/>
  <c r="BJ14" i="3"/>
  <c r="BJ13" i="3" s="1"/>
  <c r="BC32" i="3"/>
  <c r="BC31" i="3" s="1"/>
  <c r="AT41" i="3"/>
  <c r="AT29" i="3"/>
  <c r="AT28" i="3" s="1"/>
  <c r="AV35" i="3"/>
  <c r="AV34" i="3" s="1"/>
  <c r="AV41" i="3"/>
  <c r="AV40" i="3" s="1"/>
  <c r="BC20" i="3"/>
  <c r="BC19" i="3" s="1"/>
  <c r="BC44" i="3"/>
  <c r="BC43" i="3" s="1"/>
  <c r="BQ26" i="3"/>
  <c r="BQ25" i="3" s="1"/>
  <c r="BI14" i="3"/>
  <c r="BI13" i="3" s="1"/>
  <c r="AU11" i="3"/>
  <c r="AU10" i="3" s="1"/>
  <c r="AV23" i="3"/>
  <c r="AV22" i="3" s="1"/>
  <c r="AT35" i="3"/>
  <c r="AT34" i="3" s="1"/>
  <c r="BC8" i="3"/>
  <c r="BC7" i="3" s="1"/>
  <c r="BH14" i="3"/>
  <c r="BJ38" i="3"/>
  <c r="BJ37" i="3" s="1"/>
  <c r="AT5" i="3"/>
  <c r="AT4" i="3" s="1"/>
  <c r="BO25" i="3"/>
  <c r="BP26" i="3"/>
  <c r="BP25" i="3" s="1"/>
  <c r="BH37" i="3"/>
  <c r="BI38" i="3"/>
  <c r="BI37" i="3" s="1"/>
  <c r="BB44" i="3"/>
  <c r="BB43" i="3" s="1"/>
  <c r="BB32" i="3"/>
  <c r="BB31" i="3" s="1"/>
  <c r="BB20" i="3"/>
  <c r="BB19" i="3" s="1"/>
  <c r="BB8" i="3"/>
  <c r="BB7" i="3" s="1"/>
  <c r="AU23" i="3"/>
  <c r="AU22" i="3" s="1"/>
  <c r="AV11" i="3"/>
  <c r="AV10" i="3" s="1"/>
  <c r="AU47" i="3" l="1"/>
  <c r="AU5" i="3"/>
  <c r="AU4" i="3" s="1"/>
  <c r="AU29" i="3"/>
  <c r="AU28" i="3" s="1"/>
  <c r="AT40" i="3"/>
  <c r="BH15" i="3"/>
  <c r="BH13" i="3"/>
  <c r="BO27" i="3"/>
  <c r="BH39" i="3"/>
  <c r="L49" i="2"/>
  <c r="I41" i="2"/>
  <c r="I40" i="2"/>
  <c r="I39" i="2"/>
  <c r="I38" i="2"/>
  <c r="I37" i="2"/>
  <c r="I36" i="2"/>
  <c r="I35" i="2"/>
  <c r="I34" i="2"/>
  <c r="I33" i="2"/>
  <c r="I32" i="2"/>
  <c r="I31" i="2"/>
  <c r="I30" i="2"/>
  <c r="F41" i="2"/>
  <c r="F40" i="2"/>
  <c r="F39" i="2"/>
  <c r="F38" i="2"/>
  <c r="F37" i="2"/>
  <c r="F36" i="2"/>
  <c r="F35" i="2"/>
  <c r="F34" i="2"/>
  <c r="F33" i="2"/>
  <c r="F32" i="2"/>
  <c r="F31" i="2"/>
  <c r="F30" i="2"/>
  <c r="M49" i="2"/>
  <c r="M42" i="2"/>
  <c r="M35" i="2"/>
  <c r="M28" i="2"/>
  <c r="M21" i="2"/>
  <c r="M14" i="2"/>
  <c r="M7" i="2"/>
  <c r="L42" i="2"/>
  <c r="L41" i="2"/>
  <c r="L35" i="2"/>
  <c r="L34" i="2"/>
  <c r="L28" i="2"/>
  <c r="L27" i="2"/>
  <c r="L21" i="2"/>
  <c r="L20" i="2"/>
  <c r="L14" i="2"/>
  <c r="L13" i="2"/>
  <c r="L7" i="2"/>
  <c r="L6" i="2"/>
  <c r="J5" i="2"/>
  <c r="G5" i="2"/>
  <c r="I5" i="2"/>
  <c r="E5" i="2"/>
  <c r="D5" i="2"/>
  <c r="C5" i="2"/>
  <c r="B5" i="2"/>
  <c r="I29" i="2"/>
  <c r="I28" i="2"/>
  <c r="I27" i="2"/>
  <c r="I26" i="2"/>
  <c r="I25" i="2"/>
  <c r="I24" i="2"/>
  <c r="I23" i="2"/>
  <c r="I22" i="2"/>
  <c r="I21" i="2"/>
  <c r="I20" i="2"/>
  <c r="I19" i="2"/>
  <c r="I18" i="2"/>
  <c r="F29" i="2"/>
  <c r="F28" i="2"/>
  <c r="F27" i="2"/>
  <c r="F26" i="2"/>
  <c r="F25" i="2"/>
  <c r="F24" i="2"/>
  <c r="F23" i="2"/>
  <c r="AR4" i="2"/>
  <c r="AK4" i="2"/>
  <c r="AD4" i="2"/>
  <c r="W4" i="2"/>
  <c r="L48" i="2"/>
  <c r="L4" i="2"/>
  <c r="B4" i="2"/>
  <c r="C4" i="1"/>
  <c r="C2" i="1"/>
  <c r="N36" i="3"/>
  <c r="N35" i="3"/>
  <c r="N34" i="3"/>
  <c r="N33" i="3"/>
  <c r="N30" i="3"/>
  <c r="N29" i="3"/>
  <c r="N28" i="3"/>
  <c r="N27" i="3"/>
  <c r="F22" i="2"/>
  <c r="F21" i="2"/>
  <c r="F20" i="2"/>
  <c r="F19" i="2"/>
  <c r="F18" i="2"/>
  <c r="F17" i="2"/>
  <c r="I17" i="2"/>
  <c r="I16" i="2"/>
  <c r="F16" i="2"/>
  <c r="F15" i="2"/>
  <c r="I15" i="2"/>
  <c r="I14" i="2"/>
  <c r="I13" i="2"/>
  <c r="N24" i="3"/>
  <c r="N23" i="3"/>
  <c r="N22" i="3"/>
  <c r="N21" i="3"/>
  <c r="N18" i="3"/>
  <c r="N17" i="3"/>
  <c r="N16" i="3"/>
  <c r="N15" i="3"/>
  <c r="N12" i="3"/>
  <c r="N11" i="3"/>
  <c r="N10" i="3"/>
  <c r="N9" i="3"/>
  <c r="N6" i="3"/>
  <c r="N5" i="3"/>
  <c r="N4" i="3"/>
  <c r="N3" i="3"/>
  <c r="F14" i="2"/>
  <c r="F13" i="2"/>
  <c r="I12" i="2"/>
  <c r="F12" i="2"/>
  <c r="F11" i="2"/>
  <c r="F10" i="2"/>
  <c r="F9" i="2"/>
  <c r="F8" i="2"/>
  <c r="F7" i="2"/>
  <c r="I11" i="2"/>
  <c r="I10" i="2"/>
  <c r="I9" i="2"/>
  <c r="I7" i="2"/>
  <c r="I6" i="2"/>
  <c r="F6" i="2"/>
  <c r="AT26" i="4"/>
  <c r="AM38" i="4"/>
  <c r="AM14" i="4"/>
  <c r="AF44" i="4"/>
  <c r="AF32" i="4"/>
  <c r="AF20" i="4"/>
  <c r="AF8" i="4"/>
  <c r="Y47" i="4"/>
  <c r="Y41" i="4"/>
  <c r="Y35" i="4"/>
  <c r="Y29" i="4"/>
  <c r="Y23" i="4"/>
  <c r="Y17" i="4"/>
  <c r="Y11" i="4"/>
  <c r="Y5" i="4"/>
  <c r="E4" i="4"/>
  <c r="E6" i="4"/>
  <c r="E7" i="4"/>
  <c r="E8" i="4"/>
  <c r="E9" i="4"/>
  <c r="E10" i="4"/>
  <c r="E11" i="4"/>
  <c r="E12" i="4"/>
  <c r="E13" i="4"/>
  <c r="E14" i="4"/>
  <c r="E15" i="4"/>
  <c r="E16" i="4"/>
  <c r="E17" i="4"/>
  <c r="E18" i="4"/>
  <c r="E19" i="4"/>
  <c r="E20" i="4"/>
  <c r="E21" i="4"/>
  <c r="E22" i="4"/>
  <c r="E23" i="4"/>
  <c r="E24" i="4"/>
  <c r="E25" i="4"/>
  <c r="E26" i="4"/>
  <c r="E27" i="4"/>
  <c r="E28" i="4"/>
  <c r="E5" i="4"/>
  <c r="D3" i="4"/>
  <c r="AU46" i="3" l="1"/>
  <c r="AV47" i="3"/>
  <c r="I9" i="4"/>
  <c r="K8" i="4"/>
  <c r="I30" i="4"/>
  <c r="N26" i="4"/>
  <c r="I36" i="4"/>
  <c r="N32" i="4"/>
  <c r="I4" i="4"/>
  <c r="L2" i="4"/>
  <c r="I16" i="4"/>
  <c r="L14" i="4"/>
  <c r="I33" i="4"/>
  <c r="K32" i="4"/>
  <c r="N2" i="4"/>
  <c r="I6" i="4"/>
  <c r="N8" i="4"/>
  <c r="I12" i="4"/>
  <c r="I18" i="4"/>
  <c r="N14" i="4"/>
  <c r="N20" i="4"/>
  <c r="I24" i="4"/>
  <c r="I29" i="4"/>
  <c r="M26" i="4"/>
  <c r="M32" i="4"/>
  <c r="I35" i="4"/>
  <c r="I15" i="4"/>
  <c r="K14" i="4"/>
  <c r="K2" i="4"/>
  <c r="I3" i="4"/>
  <c r="I21" i="4"/>
  <c r="K20" i="4"/>
  <c r="I10" i="4"/>
  <c r="L8" i="4"/>
  <c r="L20" i="4"/>
  <c r="I22" i="4"/>
  <c r="I27" i="4"/>
  <c r="K26" i="4"/>
  <c r="I5" i="4"/>
  <c r="M2" i="4"/>
  <c r="I11" i="4"/>
  <c r="M8" i="4"/>
  <c r="I17" i="4"/>
  <c r="M14" i="4"/>
  <c r="I23" i="4"/>
  <c r="M20" i="4"/>
  <c r="L26" i="4"/>
  <c r="I28" i="4"/>
  <c r="L32" i="4"/>
  <c r="I34" i="4"/>
  <c r="D2" i="4"/>
  <c r="D40" i="2" s="1"/>
  <c r="AS18" i="3"/>
  <c r="AR18" i="3"/>
  <c r="AQ18" i="3"/>
  <c r="AS17" i="3"/>
  <c r="AR17" i="3"/>
  <c r="AQ17" i="3"/>
  <c r="AV46" i="3" l="1"/>
  <c r="D33" i="2"/>
  <c r="F29" i="4"/>
  <c r="G29" i="4" s="1"/>
  <c r="C31" i="2" s="1"/>
  <c r="F32" i="4"/>
  <c r="G32" i="4" s="1"/>
  <c r="F34" i="4"/>
  <c r="G34" i="4" s="1"/>
  <c r="F35" i="4"/>
  <c r="G35" i="4" s="1"/>
  <c r="C37" i="2" s="1"/>
  <c r="F37" i="4"/>
  <c r="G37" i="4" s="1"/>
  <c r="C39" i="2" s="1"/>
  <c r="F30" i="4"/>
  <c r="G30" i="4" s="1"/>
  <c r="F38" i="4"/>
  <c r="G38" i="4" s="1"/>
  <c r="C40" i="2" s="1"/>
  <c r="D31" i="2"/>
  <c r="D37" i="2"/>
  <c r="D39" i="2"/>
  <c r="F31" i="4"/>
  <c r="G31" i="4" s="1"/>
  <c r="C33" i="2" s="1"/>
  <c r="F33" i="4"/>
  <c r="G33" i="4" s="1"/>
  <c r="C35" i="2" s="1"/>
  <c r="F36" i="4"/>
  <c r="G36" i="4" s="1"/>
  <c r="F39" i="4"/>
  <c r="G39" i="4" s="1"/>
  <c r="C41" i="2" s="1"/>
  <c r="D41" i="2"/>
  <c r="AN14" i="4"/>
  <c r="AO14" i="4" s="1"/>
  <c r="AK16" i="2" s="1"/>
  <c r="AL16" i="2"/>
  <c r="AN38" i="4"/>
  <c r="AO38" i="4" s="1"/>
  <c r="AK40" i="2" s="1"/>
  <c r="AU26" i="4"/>
  <c r="AV26" i="4" s="1"/>
  <c r="AR28" i="2" s="1"/>
  <c r="AE10" i="2"/>
  <c r="AS28" i="2"/>
  <c r="AL40" i="2"/>
  <c r="AE34" i="2"/>
  <c r="Z11" i="4"/>
  <c r="AA11" i="4" s="1"/>
  <c r="W13" i="2" s="1"/>
  <c r="AG44" i="4"/>
  <c r="AH44" i="4" s="1"/>
  <c r="AD46" i="2" s="1"/>
  <c r="Z29" i="4"/>
  <c r="AA29" i="4" s="1"/>
  <c r="W31" i="2" s="1"/>
  <c r="AG20" i="4"/>
  <c r="AH20" i="4" s="1"/>
  <c r="AD22" i="2" s="1"/>
  <c r="AG8" i="4"/>
  <c r="AH8" i="4" s="1"/>
  <c r="AD10" i="2" s="1"/>
  <c r="X49" i="2"/>
  <c r="Z5" i="4"/>
  <c r="AA5" i="4" s="1"/>
  <c r="W7" i="2" s="1"/>
  <c r="X7" i="2"/>
  <c r="AG32" i="4"/>
  <c r="AH32" i="4" s="1"/>
  <c r="AD34" i="2" s="1"/>
  <c r="AE22" i="2"/>
  <c r="AE46" i="2"/>
  <c r="X43" i="2"/>
  <c r="F4" i="4"/>
  <c r="Z17" i="4"/>
  <c r="AA17" i="4" s="1"/>
  <c r="W19" i="2" s="1"/>
  <c r="Z35" i="4"/>
  <c r="AA35" i="4" s="1"/>
  <c r="W37" i="2" s="1"/>
  <c r="X19" i="2"/>
  <c r="X37" i="2"/>
  <c r="X25" i="2"/>
  <c r="X31" i="2"/>
  <c r="Z23" i="4"/>
  <c r="AA23" i="4" s="1"/>
  <c r="W25" i="2" s="1"/>
  <c r="X13" i="2"/>
  <c r="Z41" i="4"/>
  <c r="AA41" i="4" s="1"/>
  <c r="W43" i="2" s="1"/>
  <c r="Z47" i="4"/>
  <c r="AA47" i="4" s="1"/>
  <c r="W49" i="2" s="1"/>
  <c r="D6" i="2"/>
  <c r="G4" i="4"/>
  <c r="C6" i="2" s="1"/>
  <c r="F10" i="4"/>
  <c r="G10" i="4" s="1"/>
  <c r="C12" i="2" s="1"/>
  <c r="F26" i="4"/>
  <c r="G26" i="4" s="1"/>
  <c r="C28" i="2" s="1"/>
  <c r="F11" i="4"/>
  <c r="G11" i="4" s="1"/>
  <c r="C13" i="2" s="1"/>
  <c r="F12" i="4"/>
  <c r="G12" i="4" s="1"/>
  <c r="C14" i="2" s="1"/>
  <c r="C34" i="2"/>
  <c r="F17" i="4"/>
  <c r="G17" i="4" s="1"/>
  <c r="C19" i="2" s="1"/>
  <c r="F14" i="4"/>
  <c r="G14" i="4" s="1"/>
  <c r="C16" i="2" s="1"/>
  <c r="F15" i="4"/>
  <c r="G15" i="4" s="1"/>
  <c r="C17" i="2" s="1"/>
  <c r="F21" i="4"/>
  <c r="G21" i="4" s="1"/>
  <c r="C23" i="2" s="1"/>
  <c r="C32" i="2"/>
  <c r="F18" i="4"/>
  <c r="G18" i="4" s="1"/>
  <c r="C20" i="2" s="1"/>
  <c r="F28" i="4"/>
  <c r="G28" i="4" s="1"/>
  <c r="C30" i="2" s="1"/>
  <c r="F19" i="4"/>
  <c r="G19" i="4" s="1"/>
  <c r="C21" i="2" s="1"/>
  <c r="F27" i="4"/>
  <c r="G27" i="4" s="1"/>
  <c r="C29" i="2" s="1"/>
  <c r="F20" i="4"/>
  <c r="G20" i="4" s="1"/>
  <c r="C22" i="2" s="1"/>
  <c r="F9" i="4"/>
  <c r="G9" i="4" s="1"/>
  <c r="C11" i="2" s="1"/>
  <c r="F25" i="4"/>
  <c r="G25" i="4" s="1"/>
  <c r="C27" i="2" s="1"/>
  <c r="C38" i="2"/>
  <c r="C36" i="2"/>
  <c r="F16" i="4"/>
  <c r="G16" i="4" s="1"/>
  <c r="C18" i="2" s="1"/>
  <c r="F5" i="4"/>
  <c r="G5" i="4" s="1"/>
  <c r="C7" i="2" s="1"/>
  <c r="F6" i="4"/>
  <c r="G6" i="4" s="1"/>
  <c r="C8" i="2" s="1"/>
  <c r="F22" i="4"/>
  <c r="G22" i="4" s="1"/>
  <c r="C24" i="2" s="1"/>
  <c r="F7" i="4"/>
  <c r="G7" i="4" s="1"/>
  <c r="C9" i="2" s="1"/>
  <c r="F23" i="4"/>
  <c r="G23" i="4" s="1"/>
  <c r="C25" i="2" s="1"/>
  <c r="F8" i="4"/>
  <c r="G8" i="4" s="1"/>
  <c r="C10" i="2" s="1"/>
  <c r="F24" i="4"/>
  <c r="G24" i="4" s="1"/>
  <c r="C26" i="2" s="1"/>
  <c r="F13" i="4"/>
  <c r="G13" i="4" s="1"/>
  <c r="C15" i="2" s="1"/>
  <c r="D20" i="2"/>
  <c r="D11" i="2"/>
  <c r="D36" i="2"/>
  <c r="D15" i="2"/>
  <c r="D8" i="2"/>
  <c r="D24" i="2"/>
  <c r="D19" i="2"/>
  <c r="D13" i="2"/>
  <c r="D29" i="2"/>
  <c r="D22" i="2"/>
  <c r="D27" i="2"/>
  <c r="D16" i="2"/>
  <c r="D34" i="2"/>
  <c r="D30" i="2"/>
  <c r="D21" i="2"/>
  <c r="D23" i="2"/>
  <c r="D14" i="2"/>
  <c r="D32" i="2"/>
  <c r="D9" i="2"/>
  <c r="D25" i="2"/>
  <c r="D18" i="2"/>
  <c r="D12" i="2"/>
  <c r="D28" i="2"/>
  <c r="D38" i="2"/>
  <c r="D17" i="2"/>
  <c r="D7" i="2"/>
  <c r="D10" i="2"/>
  <c r="D26" i="2"/>
  <c r="AU17" i="3"/>
  <c r="AU16" i="3" s="1"/>
  <c r="AV17" i="3" l="1"/>
  <c r="AV16" i="3" s="1"/>
  <c r="AX27" i="2"/>
  <c r="AS30" i="2"/>
  <c r="BK27" i="3" s="1"/>
  <c r="AS29" i="2"/>
  <c r="BK26" i="3" s="1"/>
  <c r="E3" i="3"/>
  <c r="G3" i="3"/>
  <c r="F3" i="3"/>
  <c r="F4" i="3"/>
  <c r="G4" i="3"/>
  <c r="F5" i="3"/>
  <c r="G5" i="3"/>
  <c r="F6" i="3"/>
  <c r="G6" i="3"/>
  <c r="F7" i="3"/>
  <c r="G7" i="3"/>
  <c r="F8" i="3"/>
  <c r="G8" i="3"/>
  <c r="F9" i="3"/>
  <c r="G9" i="3"/>
  <c r="F10" i="3"/>
  <c r="G10" i="3"/>
  <c r="F11" i="3"/>
  <c r="G11" i="3"/>
  <c r="F12" i="3"/>
  <c r="G12" i="3"/>
  <c r="F13" i="3"/>
  <c r="G13" i="3"/>
  <c r="F14" i="3"/>
  <c r="G14" i="3"/>
  <c r="F15" i="3"/>
  <c r="G15" i="3"/>
  <c r="F16" i="3"/>
  <c r="G16" i="3"/>
  <c r="F17" i="3"/>
  <c r="G17" i="3"/>
  <c r="F18" i="3"/>
  <c r="G18" i="3"/>
  <c r="F19" i="3"/>
  <c r="G19" i="3"/>
  <c r="F20" i="3"/>
  <c r="G20" i="3"/>
  <c r="F21" i="3"/>
  <c r="G21" i="3"/>
  <c r="F22" i="3"/>
  <c r="G22" i="3"/>
  <c r="F23" i="3"/>
  <c r="G23" i="3"/>
  <c r="F24" i="3"/>
  <c r="G24" i="3"/>
  <c r="F25" i="3"/>
  <c r="G25" i="3"/>
  <c r="F26" i="3"/>
  <c r="G26" i="3"/>
  <c r="F27" i="3"/>
  <c r="G27" i="3"/>
  <c r="F28" i="3"/>
  <c r="G28" i="3"/>
  <c r="F29" i="3"/>
  <c r="G29" i="3"/>
  <c r="F30" i="3"/>
  <c r="G30" i="3"/>
  <c r="F31" i="3"/>
  <c r="G31" i="3"/>
  <c r="F32" i="3"/>
  <c r="G32" i="3"/>
  <c r="F33" i="3"/>
  <c r="G33" i="3"/>
  <c r="F34" i="3"/>
  <c r="G34" i="3"/>
  <c r="F35" i="3"/>
  <c r="G35" i="3"/>
  <c r="F36" i="3"/>
  <c r="G36" i="3"/>
  <c r="F37" i="3"/>
  <c r="G37" i="3"/>
  <c r="F38" i="3"/>
  <c r="G38" i="3"/>
  <c r="H38" i="3"/>
  <c r="E38" i="3"/>
  <c r="H37" i="3"/>
  <c r="E37" i="3"/>
  <c r="H36" i="3"/>
  <c r="E36" i="3"/>
  <c r="H35" i="3"/>
  <c r="E35" i="3"/>
  <c r="H34" i="3"/>
  <c r="E34" i="3"/>
  <c r="H33" i="3"/>
  <c r="E33" i="3"/>
  <c r="H32" i="3"/>
  <c r="E32" i="3"/>
  <c r="H31" i="3"/>
  <c r="E31" i="3"/>
  <c r="H30" i="3"/>
  <c r="E30" i="3"/>
  <c r="H29" i="3"/>
  <c r="E29" i="3"/>
  <c r="H28" i="3"/>
  <c r="E28" i="3"/>
  <c r="H27" i="3"/>
  <c r="E27" i="3"/>
  <c r="H26" i="3"/>
  <c r="E26" i="3"/>
  <c r="H25" i="3"/>
  <c r="E25" i="3"/>
  <c r="H24" i="3"/>
  <c r="E24" i="3"/>
  <c r="H23" i="3"/>
  <c r="E23" i="3"/>
  <c r="H22" i="3"/>
  <c r="E22" i="3"/>
  <c r="H21" i="3"/>
  <c r="E21" i="3"/>
  <c r="H20" i="3"/>
  <c r="E20" i="3"/>
  <c r="H19" i="3"/>
  <c r="E19" i="3"/>
  <c r="H18" i="3"/>
  <c r="E18" i="3"/>
  <c r="H17" i="3"/>
  <c r="E17" i="3"/>
  <c r="H16" i="3"/>
  <c r="E16" i="3"/>
  <c r="H15" i="3"/>
  <c r="E15" i="3"/>
  <c r="H14" i="3"/>
  <c r="E14" i="3"/>
  <c r="H13" i="3"/>
  <c r="E13" i="3"/>
  <c r="H12" i="3"/>
  <c r="E12" i="3"/>
  <c r="H11" i="3"/>
  <c r="E11" i="3"/>
  <c r="H10" i="3"/>
  <c r="E10" i="3"/>
  <c r="H9" i="3"/>
  <c r="E9" i="3"/>
  <c r="H8" i="3"/>
  <c r="E8" i="3"/>
  <c r="H7" i="3"/>
  <c r="E7" i="3"/>
  <c r="H6" i="3"/>
  <c r="H5" i="3"/>
  <c r="H4" i="3"/>
  <c r="H3" i="3"/>
  <c r="E6" i="3"/>
  <c r="E5" i="3"/>
  <c r="E4" i="3"/>
  <c r="D4" i="3" s="1"/>
  <c r="D6" i="3" l="1"/>
  <c r="D5" i="3"/>
  <c r="I37" i="3"/>
  <c r="I35" i="3"/>
  <c r="I33" i="3"/>
  <c r="I31" i="3"/>
  <c r="D37" i="3"/>
  <c r="D35" i="3"/>
  <c r="I3" i="3"/>
  <c r="I38" i="3"/>
  <c r="D38" i="3"/>
  <c r="I36" i="3"/>
  <c r="D36" i="3"/>
  <c r="D33" i="3"/>
  <c r="D31" i="3"/>
  <c r="I34" i="3"/>
  <c r="I32" i="3"/>
  <c r="D34" i="3"/>
  <c r="D32" i="3"/>
  <c r="D30" i="3"/>
  <c r="I29" i="3"/>
  <c r="D29" i="3"/>
  <c r="I30" i="3"/>
  <c r="I24" i="3"/>
  <c r="D8" i="3"/>
  <c r="D10" i="3"/>
  <c r="D12" i="3"/>
  <c r="D14" i="3"/>
  <c r="D16" i="3"/>
  <c r="D18" i="3"/>
  <c r="D20" i="3"/>
  <c r="D22" i="3"/>
  <c r="D26" i="3"/>
  <c r="D28" i="3"/>
  <c r="D7" i="3"/>
  <c r="D9" i="3"/>
  <c r="D11" i="3"/>
  <c r="D13" i="3"/>
  <c r="D15" i="3"/>
  <c r="D17" i="3"/>
  <c r="D19" i="3"/>
  <c r="D21" i="3"/>
  <c r="D23" i="3"/>
  <c r="D25" i="3"/>
  <c r="D27" i="3"/>
  <c r="I5" i="3"/>
  <c r="D24" i="3"/>
  <c r="I6" i="3"/>
  <c r="I12" i="3"/>
  <c r="I16" i="3"/>
  <c r="I20" i="3"/>
  <c r="I22" i="3"/>
  <c r="D3" i="3"/>
  <c r="I4" i="3"/>
  <c r="I7" i="3"/>
  <c r="I9" i="3"/>
  <c r="I11" i="3"/>
  <c r="I13" i="3"/>
  <c r="I15" i="3"/>
  <c r="I17" i="3"/>
  <c r="I19" i="3"/>
  <c r="I21" i="3"/>
  <c r="I23" i="3"/>
  <c r="I25" i="3"/>
  <c r="I27" i="3"/>
  <c r="I26" i="3"/>
  <c r="I28" i="3"/>
  <c r="I8" i="3"/>
  <c r="I10" i="3"/>
  <c r="I14" i="3"/>
  <c r="I18" i="3"/>
  <c r="J35" i="3"/>
  <c r="J29" i="3"/>
  <c r="J23" i="3"/>
  <c r="J11" i="3"/>
  <c r="J17" i="3"/>
  <c r="K36" i="3"/>
  <c r="J26" i="3"/>
  <c r="K30" i="3"/>
  <c r="K24" i="3"/>
  <c r="K18" i="3"/>
  <c r="J14" i="3"/>
  <c r="J32" i="3"/>
  <c r="J20" i="3"/>
  <c r="J38" i="3"/>
  <c r="J8" i="3"/>
  <c r="K12" i="3"/>
  <c r="J34" i="3"/>
  <c r="J22" i="3"/>
  <c r="J10" i="3"/>
  <c r="J33" i="3"/>
  <c r="J27" i="3"/>
  <c r="J15" i="3"/>
  <c r="J9" i="3"/>
  <c r="K38" i="3"/>
  <c r="K32" i="3"/>
  <c r="K26" i="3"/>
  <c r="K20" i="3"/>
  <c r="K14" i="3"/>
  <c r="K8" i="3"/>
  <c r="J25" i="3"/>
  <c r="J24" i="3"/>
  <c r="J31" i="3"/>
  <c r="K19" i="3"/>
  <c r="J36" i="3"/>
  <c r="J30" i="3"/>
  <c r="J18" i="3"/>
  <c r="J12" i="3"/>
  <c r="J37" i="3"/>
  <c r="J13" i="3"/>
  <c r="J28" i="3"/>
  <c r="J16" i="3"/>
  <c r="J21" i="3"/>
  <c r="J19" i="3"/>
  <c r="K37" i="3"/>
  <c r="K31" i="3"/>
  <c r="K25" i="3"/>
  <c r="K13" i="3"/>
  <c r="K35" i="3"/>
  <c r="K29" i="3"/>
  <c r="K23" i="3"/>
  <c r="K17" i="3"/>
  <c r="K11" i="3"/>
  <c r="K34" i="3"/>
  <c r="K28" i="3"/>
  <c r="K22" i="3"/>
  <c r="K16" i="3"/>
  <c r="K10" i="3"/>
  <c r="K33" i="3"/>
  <c r="K27" i="3"/>
  <c r="K21" i="3"/>
  <c r="K15" i="3"/>
  <c r="K9" i="3"/>
  <c r="J7" i="3"/>
  <c r="K7" i="3"/>
  <c r="T3" i="3"/>
  <c r="T5" i="3"/>
  <c r="T36" i="3"/>
  <c r="T6" i="3"/>
  <c r="S29" i="3"/>
  <c r="T12" i="3"/>
  <c r="S4" i="3"/>
  <c r="T4" i="3"/>
  <c r="S17" i="3"/>
  <c r="S23" i="3"/>
  <c r="T30" i="3"/>
  <c r="S5" i="3"/>
  <c r="T24" i="3"/>
  <c r="S3" i="3"/>
  <c r="T15" i="3"/>
  <c r="T18" i="3"/>
  <c r="T21" i="3"/>
  <c r="T23" i="3"/>
  <c r="T27" i="3"/>
  <c r="S35" i="3"/>
  <c r="T33" i="3"/>
  <c r="S6" i="3"/>
  <c r="S24" i="3"/>
  <c r="S36" i="3"/>
  <c r="S33" i="3"/>
  <c r="S34" i="3"/>
  <c r="T35" i="3"/>
  <c r="T34" i="3"/>
  <c r="S30" i="3"/>
  <c r="S27" i="3"/>
  <c r="S28" i="3"/>
  <c r="T29" i="3"/>
  <c r="T28" i="3"/>
  <c r="S22" i="3"/>
  <c r="S21" i="3"/>
  <c r="T22" i="3"/>
  <c r="S18" i="3"/>
  <c r="T17" i="3"/>
  <c r="S16" i="3"/>
  <c r="S15" i="3"/>
  <c r="T16" i="3"/>
  <c r="K6" i="3"/>
  <c r="S11" i="3"/>
  <c r="J6" i="3"/>
  <c r="S12" i="3"/>
  <c r="J4" i="3"/>
  <c r="T9" i="3"/>
  <c r="K4" i="3"/>
  <c r="S9" i="3"/>
  <c r="S10" i="3"/>
  <c r="T11" i="3"/>
  <c r="T10" i="3"/>
  <c r="K5" i="3"/>
  <c r="J5" i="3"/>
  <c r="J3" i="3"/>
  <c r="K3" i="3"/>
  <c r="L3" i="4" l="1"/>
  <c r="M24" i="4"/>
  <c r="L11" i="4"/>
  <c r="M33" i="4"/>
  <c r="L30" i="4"/>
  <c r="N28" i="4"/>
  <c r="L6" i="4"/>
  <c r="K34" i="4"/>
  <c r="N35" i="4"/>
  <c r="L23" i="4"/>
  <c r="M27" i="4"/>
  <c r="M4" i="4"/>
  <c r="L5" i="4"/>
  <c r="N21" i="4"/>
  <c r="N15" i="4"/>
  <c r="K18" i="4"/>
  <c r="M16" i="4"/>
  <c r="K36" i="4"/>
  <c r="L24" i="4"/>
  <c r="K10" i="4"/>
  <c r="M28" i="4"/>
  <c r="K22" i="4"/>
  <c r="K35" i="4"/>
  <c r="K12" i="4"/>
  <c r="K4" i="4"/>
  <c r="M21" i="4"/>
  <c r="N29" i="4"/>
  <c r="M36" i="4"/>
  <c r="M3" i="4"/>
  <c r="K24" i="4"/>
  <c r="N10" i="4"/>
  <c r="L33" i="4"/>
  <c r="M30" i="4"/>
  <c r="M22" i="4"/>
  <c r="M6" i="4"/>
  <c r="N34" i="4"/>
  <c r="M12" i="4"/>
  <c r="N23" i="4"/>
  <c r="N27" i="4"/>
  <c r="K17" i="4"/>
  <c r="N5" i="4"/>
  <c r="L21" i="4"/>
  <c r="K29" i="4"/>
  <c r="L18" i="4"/>
  <c r="N16" i="4"/>
  <c r="L9" i="4"/>
  <c r="N22" i="4"/>
  <c r="L35" i="4"/>
  <c r="L12" i="4"/>
  <c r="K23" i="4"/>
  <c r="N4" i="4"/>
  <c r="L17" i="4"/>
  <c r="K5" i="4"/>
  <c r="L15" i="4"/>
  <c r="L29" i="4"/>
  <c r="M18" i="4"/>
  <c r="L36" i="4"/>
  <c r="N9" i="4"/>
  <c r="N11" i="4"/>
  <c r="K30" i="4"/>
  <c r="M34" i="4"/>
  <c r="L27" i="4"/>
  <c r="N17" i="4"/>
  <c r="M15" i="4"/>
  <c r="K16" i="4"/>
  <c r="M9" i="4"/>
  <c r="N3" i="4"/>
  <c r="K11" i="4"/>
  <c r="M10" i="4"/>
  <c r="N33" i="4"/>
  <c r="K28" i="4"/>
  <c r="K6" i="4"/>
  <c r="U12" i="3"/>
  <c r="U3" i="3"/>
  <c r="U24" i="3"/>
  <c r="U4" i="3"/>
  <c r="Q24" i="3"/>
  <c r="U15" i="3"/>
  <c r="U36" i="3"/>
  <c r="Q9" i="3"/>
  <c r="P12" i="3"/>
  <c r="U27" i="3"/>
  <c r="U6" i="3"/>
  <c r="U35" i="3"/>
  <c r="R10" i="3"/>
  <c r="U18" i="3"/>
  <c r="Q10" i="3"/>
  <c r="P28" i="3"/>
  <c r="P29" i="3"/>
  <c r="Q12" i="3"/>
  <c r="R4" i="3"/>
  <c r="R5" i="3"/>
  <c r="R15" i="3"/>
  <c r="P22" i="3"/>
  <c r="R24" i="3"/>
  <c r="R28" i="3"/>
  <c r="U33" i="3"/>
  <c r="Q23" i="3"/>
  <c r="Q18" i="3"/>
  <c r="Q21" i="3"/>
  <c r="P16" i="3"/>
  <c r="R17" i="3"/>
  <c r="P24" i="3"/>
  <c r="R27" i="3"/>
  <c r="R36" i="3"/>
  <c r="Q36" i="3"/>
  <c r="R33" i="3"/>
  <c r="Q33" i="3"/>
  <c r="Q28" i="3"/>
  <c r="Q22" i="3"/>
  <c r="Q15" i="3"/>
  <c r="R23" i="3"/>
  <c r="Q35" i="3"/>
  <c r="Q27" i="3"/>
  <c r="Q34" i="3"/>
  <c r="R29" i="3"/>
  <c r="R35" i="3"/>
  <c r="P27" i="3"/>
  <c r="R9" i="3"/>
  <c r="R6" i="3"/>
  <c r="P15" i="3"/>
  <c r="R16" i="3"/>
  <c r="U17" i="3"/>
  <c r="P18" i="3"/>
  <c r="U21" i="3"/>
  <c r="R22" i="3"/>
  <c r="R30" i="3"/>
  <c r="Q30" i="3"/>
  <c r="Q29" i="3"/>
  <c r="P34" i="3"/>
  <c r="P35" i="3"/>
  <c r="U5" i="3"/>
  <c r="U23" i="3"/>
  <c r="Q16" i="3"/>
  <c r="R21" i="3"/>
  <c r="P10" i="3"/>
  <c r="R18" i="3"/>
  <c r="P17" i="3"/>
  <c r="P21" i="3"/>
  <c r="U22" i="3"/>
  <c r="P23" i="3"/>
  <c r="U29" i="3"/>
  <c r="U30" i="3"/>
  <c r="R34" i="3"/>
  <c r="U34" i="3"/>
  <c r="P36" i="3"/>
  <c r="P30" i="3"/>
  <c r="Q17" i="3"/>
  <c r="P33" i="3"/>
  <c r="U28" i="3"/>
  <c r="U16" i="3"/>
  <c r="U11" i="3"/>
  <c r="Q11" i="3"/>
  <c r="P11" i="3"/>
  <c r="P9" i="3"/>
  <c r="U9" i="3"/>
  <c r="R12" i="3"/>
  <c r="R11" i="3"/>
  <c r="R3" i="3"/>
  <c r="U10" i="3"/>
  <c r="Q4" i="3"/>
  <c r="Q5" i="3"/>
  <c r="Q6" i="3"/>
  <c r="Q3" i="3"/>
  <c r="P4" i="3"/>
  <c r="P5" i="3"/>
  <c r="P6" i="3"/>
  <c r="P3" i="3"/>
  <c r="V3" i="3" l="1"/>
  <c r="J3" i="4" s="1"/>
  <c r="O28" i="3"/>
  <c r="O36" i="3"/>
  <c r="V30" i="3"/>
  <c r="O24" i="3"/>
  <c r="O35" i="3"/>
  <c r="O15" i="3"/>
  <c r="O16" i="3"/>
  <c r="O22" i="3"/>
  <c r="O23" i="3"/>
  <c r="V29" i="3"/>
  <c r="V28" i="3"/>
  <c r="V21" i="3"/>
  <c r="O9" i="3"/>
  <c r="O10" i="3"/>
  <c r="V33" i="3"/>
  <c r="V18" i="3"/>
  <c r="V35" i="3"/>
  <c r="V10" i="3"/>
  <c r="O29" i="3"/>
  <c r="V22" i="3"/>
  <c r="O21" i="3"/>
  <c r="V17" i="3"/>
  <c r="V34" i="3"/>
  <c r="V15" i="3"/>
  <c r="O18" i="3"/>
  <c r="V9" i="3"/>
  <c r="O17" i="3"/>
  <c r="V16" i="3"/>
  <c r="O34" i="3"/>
  <c r="V23" i="3"/>
  <c r="V36" i="3"/>
  <c r="O12" i="3"/>
  <c r="O30" i="3"/>
  <c r="O27" i="3"/>
  <c r="V27" i="3"/>
  <c r="O33" i="3"/>
  <c r="V24" i="3"/>
  <c r="V11" i="3"/>
  <c r="O11" i="3"/>
  <c r="V12" i="3"/>
  <c r="O4" i="3"/>
  <c r="V4" i="3"/>
  <c r="O3" i="3"/>
  <c r="O6" i="3"/>
  <c r="V6" i="3"/>
  <c r="O5" i="3"/>
  <c r="V5" i="3"/>
  <c r="J36" i="4" l="1"/>
  <c r="J30" i="4"/>
  <c r="J17" i="4"/>
  <c r="J10" i="4"/>
  <c r="J29" i="4"/>
  <c r="J27" i="4"/>
  <c r="J34" i="4"/>
  <c r="J28" i="4"/>
  <c r="J11" i="4"/>
  <c r="J9" i="4"/>
  <c r="J6" i="4"/>
  <c r="R3" i="4" s="1"/>
  <c r="J24" i="4"/>
  <c r="J35" i="4"/>
  <c r="J5" i="4"/>
  <c r="Q3" i="4" s="1"/>
  <c r="J33" i="4"/>
  <c r="J4" i="4"/>
  <c r="P3" i="4" s="1"/>
  <c r="J23" i="4"/>
  <c r="J12" i="4"/>
  <c r="P12" i="4" s="1"/>
  <c r="J16" i="4"/>
  <c r="J15" i="4"/>
  <c r="J22" i="4"/>
  <c r="J18" i="4"/>
  <c r="J21" i="4"/>
  <c r="P28" i="4" l="1"/>
  <c r="P27" i="4"/>
  <c r="R30" i="4"/>
  <c r="R29" i="4"/>
  <c r="R33" i="4"/>
  <c r="Q34" i="4"/>
  <c r="P36" i="4"/>
  <c r="R18" i="4"/>
  <c r="Q35" i="4"/>
  <c r="R24" i="4"/>
  <c r="P21" i="4"/>
  <c r="R23" i="4"/>
  <c r="P22" i="4"/>
  <c r="P15" i="4"/>
  <c r="R17" i="4"/>
  <c r="P16" i="4"/>
  <c r="Q10" i="4"/>
  <c r="Q11" i="4"/>
  <c r="R9" i="4"/>
  <c r="W3" i="3"/>
  <c r="P24" i="4"/>
  <c r="Q24" i="4"/>
  <c r="Q9" i="4"/>
  <c r="P9" i="4"/>
  <c r="Q30" i="4"/>
  <c r="P30" i="4"/>
  <c r="Q18" i="4"/>
  <c r="P18" i="4"/>
  <c r="R15" i="4"/>
  <c r="Q15" i="4"/>
  <c r="R12" i="4"/>
  <c r="Q12" i="4"/>
  <c r="R5" i="4"/>
  <c r="Q5" i="4"/>
  <c r="P5" i="4"/>
  <c r="R28" i="4"/>
  <c r="Q28" i="4"/>
  <c r="R27" i="4"/>
  <c r="Q27" i="4"/>
  <c r="P10" i="4"/>
  <c r="R10" i="4"/>
  <c r="Q21" i="4"/>
  <c r="R21" i="4"/>
  <c r="Q22" i="4"/>
  <c r="R22" i="4"/>
  <c r="R16" i="4"/>
  <c r="Q16" i="4"/>
  <c r="P23" i="4"/>
  <c r="Q23" i="4"/>
  <c r="Q33" i="4"/>
  <c r="P33" i="4"/>
  <c r="Q4" i="4"/>
  <c r="P4" i="4"/>
  <c r="R4" i="4"/>
  <c r="R6" i="4"/>
  <c r="Q6" i="4"/>
  <c r="P6" i="4"/>
  <c r="R11" i="4"/>
  <c r="P11" i="4"/>
  <c r="R34" i="4"/>
  <c r="P34" i="4"/>
  <c r="P29" i="4"/>
  <c r="Q29" i="4"/>
  <c r="Q17" i="4"/>
  <c r="P17" i="4"/>
  <c r="R36" i="4"/>
  <c r="Q36" i="4"/>
  <c r="R35" i="4"/>
  <c r="P35" i="4"/>
  <c r="W23" i="3" l="1"/>
  <c r="W36" i="3"/>
  <c r="W33" i="3"/>
  <c r="W22" i="3"/>
  <c r="W11" i="3"/>
  <c r="W16" i="3"/>
  <c r="W10" i="3"/>
  <c r="W27" i="3"/>
  <c r="W24" i="3"/>
  <c r="W12" i="3"/>
  <c r="W18" i="3"/>
  <c r="W9" i="3"/>
  <c r="W5" i="3"/>
  <c r="W29" i="3"/>
  <c r="W21" i="3"/>
  <c r="W15" i="3"/>
  <c r="W30" i="3"/>
  <c r="W35" i="3"/>
  <c r="W17" i="3"/>
  <c r="W34" i="3"/>
  <c r="W6" i="3"/>
  <c r="W4" i="3"/>
  <c r="W28" i="3"/>
  <c r="M21" i="3" l="1"/>
  <c r="M11" i="3"/>
  <c r="M12" i="3"/>
  <c r="M9" i="3"/>
  <c r="M35" i="3"/>
  <c r="M29" i="3"/>
  <c r="M10" i="3"/>
  <c r="M17" i="3"/>
  <c r="M6" i="3"/>
  <c r="M36" i="3"/>
  <c r="M27" i="3"/>
  <c r="M24" i="3"/>
  <c r="M34" i="3"/>
  <c r="M30" i="3"/>
  <c r="M16" i="3"/>
  <c r="M22" i="3"/>
  <c r="M4" i="3"/>
  <c r="M3" i="3"/>
  <c r="M5" i="3"/>
  <c r="M28" i="3"/>
  <c r="M15" i="3"/>
  <c r="M33" i="3"/>
  <c r="M18" i="3"/>
  <c r="M23" i="3"/>
  <c r="O30" i="2" l="1"/>
  <c r="U30" i="2"/>
  <c r="P30" i="2"/>
  <c r="R30" i="2"/>
  <c r="N30" i="2"/>
  <c r="Q30" i="2"/>
  <c r="S30" i="2"/>
  <c r="M30" i="2"/>
  <c r="T30" i="2"/>
  <c r="T15" i="2"/>
  <c r="R15" i="2"/>
  <c r="U18" i="2"/>
  <c r="Q16" i="2"/>
  <c r="N18" i="2"/>
  <c r="R16" i="2"/>
  <c r="T18" i="2"/>
  <c r="S15" i="2"/>
  <c r="M15" i="2"/>
  <c r="AG7" i="3" s="1"/>
  <c r="P18" i="2"/>
  <c r="Q18" i="2"/>
  <c r="O16" i="2"/>
  <c r="N17" i="2"/>
  <c r="O40" i="3" s="1"/>
  <c r="T16" i="2"/>
  <c r="O17" i="2"/>
  <c r="P40" i="3" s="1"/>
  <c r="U16" i="2"/>
  <c r="U17" i="2"/>
  <c r="V40" i="3" s="1"/>
  <c r="P16" i="2"/>
  <c r="S16" i="2"/>
  <c r="M16" i="2"/>
  <c r="S18" i="2"/>
  <c r="N16" i="2"/>
  <c r="Q17" i="2"/>
  <c r="R40" i="3" s="1"/>
  <c r="P17" i="2"/>
  <c r="Q40" i="3" s="1"/>
  <c r="N15" i="2"/>
  <c r="U15" i="2"/>
  <c r="O18" i="2"/>
  <c r="T17" i="2"/>
  <c r="U40" i="3" s="1"/>
  <c r="S17" i="2"/>
  <c r="T40" i="3" s="1"/>
  <c r="Q15" i="2"/>
  <c r="O15" i="2"/>
  <c r="M18" i="2"/>
  <c r="R17" i="2"/>
  <c r="S40" i="3" s="1"/>
  <c r="P15" i="2"/>
  <c r="M17" i="2"/>
  <c r="N40" i="3" s="1"/>
  <c r="R18" i="2"/>
  <c r="O32" i="2"/>
  <c r="P29" i="2"/>
  <c r="N31" i="2"/>
  <c r="O42" i="3" s="1"/>
  <c r="R37" i="2"/>
  <c r="O38" i="2"/>
  <c r="P43" i="3" s="1"/>
  <c r="Q38" i="2"/>
  <c r="R43" i="3" s="1"/>
  <c r="T38" i="2"/>
  <c r="U43" i="3" s="1"/>
  <c r="N39" i="2"/>
  <c r="N36" i="2"/>
  <c r="P37" i="2"/>
  <c r="P36" i="2"/>
  <c r="M36" i="2"/>
  <c r="U38" i="2"/>
  <c r="V43" i="3" s="1"/>
  <c r="R36" i="2"/>
  <c r="T39" i="2"/>
  <c r="S36" i="2"/>
  <c r="P39" i="2"/>
  <c r="O37" i="2"/>
  <c r="U36" i="2"/>
  <c r="T37" i="2"/>
  <c r="N38" i="2"/>
  <c r="O43" i="3" s="1"/>
  <c r="R39" i="2"/>
  <c r="S37" i="2"/>
  <c r="P38" i="2"/>
  <c r="Q43" i="3" s="1"/>
  <c r="S39" i="2"/>
  <c r="M37" i="2"/>
  <c r="U37" i="2"/>
  <c r="R38" i="2"/>
  <c r="S43" i="3" s="1"/>
  <c r="O36" i="2"/>
  <c r="N37" i="2"/>
  <c r="Q39" i="2"/>
  <c r="Q36" i="2"/>
  <c r="O39" i="2"/>
  <c r="S38" i="2"/>
  <c r="T43" i="3" s="1"/>
  <c r="M39" i="2"/>
  <c r="Q37" i="2"/>
  <c r="T36" i="2"/>
  <c r="U39" i="2"/>
  <c r="M38" i="2"/>
  <c r="N43" i="3" s="1"/>
  <c r="R31" i="2"/>
  <c r="S42" i="3" s="1"/>
  <c r="U32" i="2"/>
  <c r="S32" i="2"/>
  <c r="Q31" i="2"/>
  <c r="R42" i="3" s="1"/>
  <c r="M29" i="2"/>
  <c r="T31" i="2"/>
  <c r="U42" i="3" s="1"/>
  <c r="T32" i="2"/>
  <c r="Q29" i="2"/>
  <c r="M32" i="2"/>
  <c r="P44" i="2"/>
  <c r="S46" i="2"/>
  <c r="O45" i="2"/>
  <c r="P44" i="3" s="1"/>
  <c r="R45" i="2"/>
  <c r="S44" i="3" s="1"/>
  <c r="N44" i="2"/>
  <c r="O43" i="2"/>
  <c r="Q43" i="2"/>
  <c r="T46" i="2"/>
  <c r="M44" i="2"/>
  <c r="S45" i="2"/>
  <c r="T44" i="3" s="1"/>
  <c r="R44" i="2"/>
  <c r="R46" i="2"/>
  <c r="U43" i="2"/>
  <c r="Q45" i="2"/>
  <c r="R44" i="3" s="1"/>
  <c r="M43" i="2"/>
  <c r="P46" i="2"/>
  <c r="S43" i="2"/>
  <c r="U44" i="2"/>
  <c r="U46" i="2"/>
  <c r="N43" i="2"/>
  <c r="T44" i="2"/>
  <c r="T45" i="2"/>
  <c r="U44" i="3" s="1"/>
  <c r="Q46" i="2"/>
  <c r="M46" i="2"/>
  <c r="S44" i="2"/>
  <c r="P45" i="2"/>
  <c r="Q44" i="3" s="1"/>
  <c r="U45" i="2"/>
  <c r="V44" i="3" s="1"/>
  <c r="O44" i="2"/>
  <c r="O46" i="2"/>
  <c r="R43" i="2"/>
  <c r="Q44" i="2"/>
  <c r="T43" i="2"/>
  <c r="M45" i="2"/>
  <c r="N44" i="3" s="1"/>
  <c r="P43" i="2"/>
  <c r="N45" i="2"/>
  <c r="O44" i="3" s="1"/>
  <c r="N46" i="2"/>
  <c r="O8" i="2"/>
  <c r="M8" i="2"/>
  <c r="O10" i="2"/>
  <c r="P39" i="3" s="1"/>
  <c r="T10" i="2"/>
  <c r="U39" i="3" s="1"/>
  <c r="N9" i="2"/>
  <c r="P9" i="2"/>
  <c r="U9" i="2"/>
  <c r="U11" i="2"/>
  <c r="O11" i="2"/>
  <c r="P11" i="2"/>
  <c r="U8" i="2"/>
  <c r="Q8" i="2"/>
  <c r="S10" i="2"/>
  <c r="T39" i="3" s="1"/>
  <c r="S9" i="2"/>
  <c r="R11" i="2"/>
  <c r="S8" i="2"/>
  <c r="N10" i="2"/>
  <c r="O39" i="3" s="1"/>
  <c r="O9" i="2"/>
  <c r="N11" i="2"/>
  <c r="P8" i="2"/>
  <c r="N8" i="2"/>
  <c r="R10" i="2"/>
  <c r="S39" i="3" s="1"/>
  <c r="M10" i="2"/>
  <c r="N39" i="3" s="1"/>
  <c r="R9" i="2"/>
  <c r="T9" i="2"/>
  <c r="T11" i="2"/>
  <c r="T8" i="2"/>
  <c r="Q10" i="2"/>
  <c r="R39" i="3" s="1"/>
  <c r="M9" i="2"/>
  <c r="M11" i="2"/>
  <c r="R8" i="2"/>
  <c r="U10" i="2"/>
  <c r="V39" i="3" s="1"/>
  <c r="Q9" i="2"/>
  <c r="Q11" i="2"/>
  <c r="P10" i="2"/>
  <c r="Q39" i="3" s="1"/>
  <c r="R29" i="2"/>
  <c r="P31" i="2"/>
  <c r="Q42" i="3" s="1"/>
  <c r="O31" i="2"/>
  <c r="P42" i="3" s="1"/>
  <c r="P32" i="2"/>
  <c r="U29" i="2"/>
  <c r="N29" i="2"/>
  <c r="R32" i="2"/>
  <c r="T23" i="2"/>
  <c r="P23" i="2"/>
  <c r="S22" i="2"/>
  <c r="S24" i="2"/>
  <c r="T41" i="3" s="1"/>
  <c r="O24" i="2"/>
  <c r="P41" i="3" s="1"/>
  <c r="U25" i="2"/>
  <c r="Q25" i="2"/>
  <c r="M25" i="2"/>
  <c r="P22" i="2"/>
  <c r="R23" i="2"/>
  <c r="N23" i="2"/>
  <c r="U24" i="2"/>
  <c r="V41" i="3" s="1"/>
  <c r="Q24" i="2"/>
  <c r="R41" i="3" s="1"/>
  <c r="S25" i="2"/>
  <c r="O25" i="2"/>
  <c r="T22" i="2"/>
  <c r="S23" i="2"/>
  <c r="O23" i="2"/>
  <c r="N22" i="2"/>
  <c r="R24" i="2"/>
  <c r="S41" i="3" s="1"/>
  <c r="N24" i="2"/>
  <c r="O41" i="3" s="1"/>
  <c r="T25" i="2"/>
  <c r="P25" i="2"/>
  <c r="U22" i="2"/>
  <c r="O22" i="2"/>
  <c r="U23" i="2"/>
  <c r="Q23" i="2"/>
  <c r="M23" i="2"/>
  <c r="T24" i="2"/>
  <c r="U41" i="3" s="1"/>
  <c r="P24" i="2"/>
  <c r="Q41" i="3" s="1"/>
  <c r="R22" i="2"/>
  <c r="R25" i="2"/>
  <c r="N25" i="2"/>
  <c r="Q22" i="2"/>
  <c r="M24" i="2"/>
  <c r="N41" i="3" s="1"/>
  <c r="M22" i="2"/>
  <c r="S11" i="2"/>
  <c r="M31" i="2"/>
  <c r="N42" i="3" s="1"/>
  <c r="Q32" i="2"/>
  <c r="S29" i="2"/>
  <c r="N32" i="2"/>
  <c r="U31" i="2"/>
  <c r="V42" i="3" s="1"/>
  <c r="S31" i="2"/>
  <c r="T42" i="3" s="1"/>
  <c r="O29" i="2"/>
  <c r="T29" i="2"/>
  <c r="Z42" i="3" l="1"/>
  <c r="Y42" i="3"/>
  <c r="Z39" i="3"/>
  <c r="Y39" i="3"/>
  <c r="Z43" i="3"/>
  <c r="Y43" i="3"/>
  <c r="Z40" i="3"/>
  <c r="Y40" i="3"/>
  <c r="Z41" i="3"/>
  <c r="Y41" i="3"/>
  <c r="Z44" i="3"/>
  <c r="Y44" i="3"/>
  <c r="AL7" i="3"/>
  <c r="X32" i="2"/>
  <c r="AP29" i="3" s="1"/>
  <c r="AV29" i="3" s="1"/>
  <c r="X8" i="2"/>
  <c r="AP5" i="3" s="1"/>
  <c r="X33" i="2"/>
  <c r="AP30" i="3" s="1"/>
  <c r="X14" i="2"/>
  <c r="AP11" i="3" s="1"/>
  <c r="AT11" i="3" s="1"/>
  <c r="AI7" i="3"/>
  <c r="AN7" i="3"/>
  <c r="AM7" i="3"/>
  <c r="AH7" i="3"/>
  <c r="X20" i="2"/>
  <c r="AP17" i="3" s="1"/>
  <c r="X38" i="2"/>
  <c r="AP35" i="3" s="1"/>
  <c r="AU35" i="3" s="1"/>
  <c r="X50" i="2"/>
  <c r="AP47" i="3" s="1"/>
  <c r="AT47" i="3" s="1"/>
  <c r="X15" i="2"/>
  <c r="AP12" i="3" s="1"/>
  <c r="X21" i="2"/>
  <c r="AP18" i="3" s="1"/>
  <c r="AT17" i="3" s="1"/>
  <c r="X44" i="2"/>
  <c r="AP41" i="3" s="1"/>
  <c r="AU41" i="3" s="1"/>
  <c r="X26" i="2"/>
  <c r="AP23" i="3" s="1"/>
  <c r="AT23" i="3" s="1"/>
  <c r="X51" i="2"/>
  <c r="AP48" i="3" s="1"/>
  <c r="AF7" i="3"/>
  <c r="AK7" i="3"/>
  <c r="AU40" i="3" l="1"/>
  <c r="AT42" i="3"/>
  <c r="AE47" i="2" s="1"/>
  <c r="AW44" i="3" s="1"/>
  <c r="AT46" i="3"/>
  <c r="AT48" i="3"/>
  <c r="AE48" i="2" s="1"/>
  <c r="AW45" i="3" s="1"/>
  <c r="BA44" i="3" s="1"/>
  <c r="AV28" i="3"/>
  <c r="AT30" i="3"/>
  <c r="AE35" i="2" s="1"/>
  <c r="AW32" i="3" s="1"/>
  <c r="AU34" i="3"/>
  <c r="AT36" i="3"/>
  <c r="AE36" i="2" s="1"/>
  <c r="AW33" i="3" s="1"/>
  <c r="BA32" i="3" s="1"/>
  <c r="AT10" i="3"/>
  <c r="AT12" i="3"/>
  <c r="AE12" i="2" s="1"/>
  <c r="AW9" i="3" s="1"/>
  <c r="BA8" i="3" s="1"/>
  <c r="AT22" i="3"/>
  <c r="AT24" i="3"/>
  <c r="AE24" i="2" s="1"/>
  <c r="AW21" i="3" s="1"/>
  <c r="BA20" i="3" s="1"/>
  <c r="AT16" i="3"/>
  <c r="AT18" i="3" s="1"/>
  <c r="AE23" i="2" s="1"/>
  <c r="AW20" i="3" s="1"/>
  <c r="W40" i="3"/>
  <c r="W39" i="3"/>
  <c r="W44" i="3"/>
  <c r="W41" i="3"/>
  <c r="W43" i="3"/>
  <c r="W42" i="3"/>
  <c r="BA31" i="3" l="1"/>
  <c r="BA33" i="3" s="1"/>
  <c r="AL41" i="2" s="1"/>
  <c r="BD38" i="3" s="1"/>
  <c r="BA43" i="3"/>
  <c r="BA45" i="3"/>
  <c r="AL42" i="2" s="1"/>
  <c r="BD39" i="3" s="1"/>
  <c r="BA19" i="3"/>
  <c r="BA21" i="3" s="1"/>
  <c r="AL18" i="2" s="1"/>
  <c r="BD15" i="3" s="1"/>
  <c r="BA7" i="3"/>
  <c r="BA9" i="3"/>
  <c r="AL17" i="2" s="1"/>
  <c r="BD14" i="3" s="1"/>
  <c r="M43" i="3"/>
  <c r="M42" i="3"/>
  <c r="M40" i="3"/>
  <c r="M44" i="3"/>
  <c r="M39" i="3"/>
  <c r="M41" i="3"/>
  <c r="U50" i="2" l="1"/>
  <c r="O52" i="2"/>
  <c r="S50" i="2"/>
  <c r="P50" i="2"/>
  <c r="M55" i="2"/>
  <c r="N55" i="2"/>
  <c r="O55" i="2"/>
  <c r="P55" i="2"/>
  <c r="S55" i="2"/>
  <c r="O50" i="2"/>
  <c r="R50" i="2"/>
  <c r="M50" i="2"/>
  <c r="AC2" i="3" s="1"/>
  <c r="M54" i="2"/>
  <c r="S52" i="2"/>
  <c r="M53" i="2"/>
  <c r="AC5" i="3" s="1"/>
  <c r="T54" i="2"/>
  <c r="S51" i="2"/>
  <c r="P53" i="2"/>
  <c r="U54" i="2"/>
  <c r="M51" i="2"/>
  <c r="AA3" i="3" s="1"/>
  <c r="AB3" i="3" s="1"/>
  <c r="Q52" i="2"/>
  <c r="P54" i="2"/>
  <c r="U53" i="2"/>
  <c r="T51" i="2"/>
  <c r="N51" i="2"/>
  <c r="U52" i="2"/>
  <c r="R52" i="2"/>
  <c r="P51" i="2"/>
  <c r="P52" i="2"/>
  <c r="M52" i="2"/>
  <c r="AA4" i="3" s="1"/>
  <c r="AB4" i="3" s="1"/>
  <c r="R51" i="2"/>
  <c r="O53" i="2"/>
  <c r="T50" i="2"/>
  <c r="S54" i="2"/>
  <c r="R55" i="2"/>
  <c r="T55" i="2"/>
  <c r="N53" i="2"/>
  <c r="N50" i="2"/>
  <c r="U51" i="2"/>
  <c r="T53" i="2"/>
  <c r="T52" i="2"/>
  <c r="S53" i="2"/>
  <c r="O54" i="2"/>
  <c r="N54" i="2"/>
  <c r="Q51" i="2"/>
  <c r="R54" i="2"/>
  <c r="O51" i="2"/>
  <c r="Q54" i="2"/>
  <c r="Q53" i="2"/>
  <c r="Q50" i="2"/>
  <c r="N52" i="2"/>
  <c r="Q55" i="2"/>
  <c r="U55" i="2"/>
  <c r="R53" i="2"/>
  <c r="AA5" i="3"/>
  <c r="AB5" i="3" s="1"/>
  <c r="AC4" i="3" l="1"/>
  <c r="AA2" i="3"/>
  <c r="AB2" i="3" s="1"/>
  <c r="AC3" i="3"/>
  <c r="AI10" i="3" l="1"/>
  <c r="AI18" i="3"/>
  <c r="AH13" i="3"/>
  <c r="AI14" i="3"/>
  <c r="AI8" i="3"/>
  <c r="AF15" i="3"/>
  <c r="AF10" i="3"/>
  <c r="AI16" i="3"/>
  <c r="AH11" i="3"/>
  <c r="AH12" i="3"/>
  <c r="AG13" i="3"/>
  <c r="AG18" i="3"/>
  <c r="AG20" i="3"/>
  <c r="AG21" i="3"/>
  <c r="AH16" i="3"/>
  <c r="AG14" i="3"/>
  <c r="AF14" i="3"/>
  <c r="AG9" i="3"/>
  <c r="AG17" i="3"/>
  <c r="AG19" i="3"/>
  <c r="AI15" i="3"/>
  <c r="AI19" i="3"/>
  <c r="AF13" i="3"/>
  <c r="AH17" i="3"/>
  <c r="AF12" i="3"/>
  <c r="AG8" i="3"/>
  <c r="AG11" i="3"/>
  <c r="AF17" i="3"/>
  <c r="AF11" i="3"/>
  <c r="AF16" i="3"/>
  <c r="AH22" i="3"/>
  <c r="AF20" i="3"/>
  <c r="AI12" i="3"/>
  <c r="AI21" i="3"/>
  <c r="AH9" i="3"/>
  <c r="AH21" i="3"/>
  <c r="AH18" i="3"/>
  <c r="AF19" i="3"/>
  <c r="AI17" i="3"/>
  <c r="AH14" i="3"/>
  <c r="AH19" i="3"/>
  <c r="AG12" i="3"/>
  <c r="AI20" i="3"/>
  <c r="AI9" i="3"/>
  <c r="AF9" i="3"/>
  <c r="AF21" i="3"/>
  <c r="AG10" i="3"/>
  <c r="AF22" i="3"/>
  <c r="AH10" i="3"/>
  <c r="AH15" i="3"/>
  <c r="AF8" i="3"/>
  <c r="AG16" i="3"/>
  <c r="AG22" i="3"/>
  <c r="AI13" i="3"/>
  <c r="AH8" i="3"/>
  <c r="AI22" i="3"/>
  <c r="AF18" i="3"/>
  <c r="AH20" i="3"/>
  <c r="AI11" i="3"/>
  <c r="AG15" i="3"/>
  <c r="AE17" i="3" l="1"/>
  <c r="AE12" i="3"/>
  <c r="AE16" i="3"/>
  <c r="AE21" i="3"/>
  <c r="AE8" i="3"/>
  <c r="AE19" i="3"/>
  <c r="AE13" i="3"/>
  <c r="AE15" i="3"/>
  <c r="AE14" i="3"/>
  <c r="AE10" i="3"/>
  <c r="AE9" i="3"/>
  <c r="AE18" i="3"/>
  <c r="AE20" i="3"/>
  <c r="AE22" i="3"/>
  <c r="AE11" i="3"/>
  <c r="AN8" i="3" l="1"/>
  <c r="AM8" i="3"/>
  <c r="AK8" i="3"/>
  <c r="AL8" i="3"/>
  <c r="X9" i="2" l="1"/>
  <c r="AP6" i="3" s="1"/>
  <c r="AV5" i="3" s="1"/>
  <c r="AL9" i="3"/>
  <c r="X45" i="2"/>
  <c r="AP42" i="3" s="1"/>
  <c r="AM9" i="3"/>
  <c r="X39" i="2"/>
  <c r="AP36" i="3" s="1"/>
  <c r="AK9" i="3"/>
  <c r="X27" i="2"/>
  <c r="AP24" i="3" s="1"/>
  <c r="AN9" i="3"/>
  <c r="AV4" i="3" l="1"/>
  <c r="AT6" i="3"/>
  <c r="AE11" i="2" s="1"/>
  <c r="AW8" i="3" s="1"/>
</calcChain>
</file>

<file path=xl/sharedStrings.xml><?xml version="1.0" encoding="utf-8"?>
<sst xmlns="http://schemas.openxmlformats.org/spreadsheetml/2006/main" count="704" uniqueCount="326">
  <si>
    <t>English</t>
  </si>
  <si>
    <t>Tiếng Việt</t>
  </si>
  <si>
    <t>CHINA P.R.</t>
  </si>
  <si>
    <t>BAHRAIN</t>
  </si>
  <si>
    <t>AUSTRALIA</t>
  </si>
  <si>
    <t>ÚC</t>
  </si>
  <si>
    <t>TRUNG QUỐC</t>
  </si>
  <si>
    <t>DPR KOREA</t>
  </si>
  <si>
    <t>INDIA</t>
  </si>
  <si>
    <t>ẤN ĐỘ</t>
  </si>
  <si>
    <t>IRAQ</t>
  </si>
  <si>
    <t>IRAN</t>
  </si>
  <si>
    <t>JORDAN</t>
  </si>
  <si>
    <t>KOREA REPUBLIC</t>
  </si>
  <si>
    <t>HÀN QUỐC</t>
  </si>
  <si>
    <t>KYRGYZSTAN</t>
  </si>
  <si>
    <t>LEBANON</t>
  </si>
  <si>
    <t>THÁI LAN</t>
  </si>
  <si>
    <t>THAILAND</t>
  </si>
  <si>
    <t>SYRIA</t>
  </si>
  <si>
    <t>PALESTINE</t>
  </si>
  <si>
    <t>A</t>
  </si>
  <si>
    <t>B</t>
  </si>
  <si>
    <t>PHILIPPINES</t>
  </si>
  <si>
    <t>VIETNAM</t>
  </si>
  <si>
    <t>VIỆT NAM</t>
  </si>
  <si>
    <t>YEMEN</t>
  </si>
  <si>
    <t>QATAR</t>
  </si>
  <si>
    <t>SAUDI ARABIA</t>
  </si>
  <si>
    <t>Ả RẬP XÊ ÚT</t>
  </si>
  <si>
    <t>NHẬT BẢN</t>
  </si>
  <si>
    <t>JAPAN</t>
  </si>
  <si>
    <t>OMAN</t>
  </si>
  <si>
    <t>TURKMENISTAN</t>
  </si>
  <si>
    <t>UZBEKISTAN</t>
  </si>
  <si>
    <t>NGÀY</t>
  </si>
  <si>
    <t>GIỜ</t>
  </si>
  <si>
    <t>BẢNG</t>
  </si>
  <si>
    <t>ĐỘI</t>
  </si>
  <si>
    <t>TỈ SỐ</t>
  </si>
  <si>
    <t>SÂN</t>
  </si>
  <si>
    <t>CHỌN NGÔN NGỮ</t>
  </si>
  <si>
    <t>DATE</t>
  </si>
  <si>
    <t>TIME</t>
  </si>
  <si>
    <t>GROUP</t>
  </si>
  <si>
    <t>TEAM</t>
  </si>
  <si>
    <t>SCORE</t>
  </si>
  <si>
    <t>STADIUM</t>
  </si>
  <si>
    <t xml:space="preserve">Zayed Sports City Stadium (Abu Dhabi) </t>
  </si>
  <si>
    <t xml:space="preserve">Hazza Bin Zayed Stadium (Al Ain) </t>
  </si>
  <si>
    <t xml:space="preserve">Al Nahyan Stadium (Abu Dhabi) </t>
  </si>
  <si>
    <t xml:space="preserve">Sharjah Stadium (Sharjah) </t>
  </si>
  <si>
    <t>C</t>
  </si>
  <si>
    <t xml:space="preserve">Khalifa bin Zayed Stadium (Al Ain) </t>
  </si>
  <si>
    <t>D</t>
  </si>
  <si>
    <t xml:space="preserve">Al Maktoum Stadium (Dubai) </t>
  </si>
  <si>
    <t xml:space="preserve">Mohammed Bin Zayed Stadium (Abu Dhabi) </t>
  </si>
  <si>
    <t>E</t>
  </si>
  <si>
    <t xml:space="preserve">Rashid Stadium (Dubai) </t>
  </si>
  <si>
    <t>F</t>
  </si>
  <si>
    <t>Al Maktoum Stadium (Dubai)</t>
  </si>
  <si>
    <t>POS</t>
  </si>
  <si>
    <t>MP</t>
  </si>
  <si>
    <t>W</t>
  </si>
  <si>
    <t>L</t>
  </si>
  <si>
    <t>GF</t>
  </si>
  <si>
    <t>GA</t>
  </si>
  <si>
    <t>GD</t>
  </si>
  <si>
    <t>P</t>
  </si>
  <si>
    <t>GROUP A</t>
  </si>
  <si>
    <t>BẢNG A</t>
  </si>
  <si>
    <t>GROUP B</t>
  </si>
  <si>
    <t>BẢNG B</t>
  </si>
  <si>
    <t>BẢNG C</t>
  </si>
  <si>
    <t>GROUP C</t>
  </si>
  <si>
    <t>GROUP D</t>
  </si>
  <si>
    <t>BẢNG D</t>
  </si>
  <si>
    <t>BẢNG E</t>
  </si>
  <si>
    <t>GROUP E</t>
  </si>
  <si>
    <t>GROUP F</t>
  </si>
  <si>
    <t>BẢNG F</t>
  </si>
  <si>
    <t>VỊ TRÍ</t>
  </si>
  <si>
    <t>SELECT LANGUAGES</t>
  </si>
  <si>
    <t>TRIỀU TIÊN</t>
  </si>
  <si>
    <t>TRẬN</t>
  </si>
  <si>
    <t>1A</t>
  </si>
  <si>
    <t>1B</t>
  </si>
  <si>
    <t>1C</t>
  </si>
  <si>
    <t>1D</t>
  </si>
  <si>
    <t>90'</t>
  </si>
  <si>
    <t>ET</t>
  </si>
  <si>
    <t>PEN</t>
  </si>
  <si>
    <t>NHÀ VÔ ĐỊCH AFC ASIAN CUP 2019</t>
  </si>
  <si>
    <t>VÒNG TỨ KẾT</t>
  </si>
  <si>
    <t>VÒNG BÁN KẾT</t>
  </si>
  <si>
    <t>TRẬN CHUNG KẾT</t>
  </si>
  <si>
    <t>VÒNG BẢNG</t>
  </si>
  <si>
    <t>BẢNG XẾP HẠNG</t>
  </si>
  <si>
    <t>(GMT +7:00) Bangkok, Hanoi, Jakarta</t>
  </si>
  <si>
    <t>(GMT +8:00) Beijing, Perth, Singapore, Hong Kong</t>
  </si>
  <si>
    <t>(GMT +9:00) Tokyo, Seoul, Osaka, Sapporo</t>
  </si>
  <si>
    <t>(GMT +10:00) Eastern Australia, Guam, Yakutsk</t>
  </si>
  <si>
    <t>(GMT +11:00) Magadan, Solomon Islands, New Caledonia, Vladivostok</t>
  </si>
  <si>
    <t>(GMT +12:00) Auckland, Wellington, Fiji, Kamchatka</t>
  </si>
  <si>
    <t>(GMT +6:00) Almaty, Dhaka, Colombo, Ekaterinburg</t>
  </si>
  <si>
    <t>(GMT +5:00) Islamabad, Karachi, Tashkent</t>
  </si>
  <si>
    <t>(GMT +4:00) Abu Dhabi, Muscat, Yerevan, Baku, Tbilisi, Moscow, St. Petersburg</t>
  </si>
  <si>
    <t>(GMT +3:00) Baghdad, Riyadh, Kaliningrad</t>
  </si>
  <si>
    <t>(GMT +2:00) South Afica, Cairo</t>
  </si>
  <si>
    <t>(GMT +1:00) Brussels, Copenhagen, Madrid, Paris</t>
  </si>
  <si>
    <t>(GMT -1:00) Azores, Cape Verde Islands</t>
  </si>
  <si>
    <t>(GMT -2:00) Mid-Atlantic</t>
  </si>
  <si>
    <t>(GMT -3:00) Brazil, Buenos Aires, Georgetown</t>
  </si>
  <si>
    <t>(GMT +0:00) Western Europe Time, London, Lisbon, Casablanca</t>
  </si>
  <si>
    <t>(GMT -4:00) Atlantic Time (Canada), La Paz, Santiago</t>
  </si>
  <si>
    <t>(GMT -5:00) Eastern Time (US &amp; Canada), Bogota, Lima</t>
  </si>
  <si>
    <t>(GMT -6:00) Central Time (US &amp; Canada), Mexico City</t>
  </si>
  <si>
    <t>(GMT -7:00) Mountain Time (US &amp; Canada)</t>
  </si>
  <si>
    <t>(GMT -8:00) Pacific Time (US &amp; Canada)</t>
  </si>
  <si>
    <t>(GMT -9:00) Alaska</t>
  </si>
  <si>
    <t>(GMT -10:00) Hawaii</t>
  </si>
  <si>
    <t>(GMT -11:00) Midway Island, Samoa</t>
  </si>
  <si>
    <t>(GMT -12:00) Eniwetok, Kwajalein</t>
  </si>
  <si>
    <t>(GMT -4:30) Caracas</t>
  </si>
  <si>
    <t>(GMT -3:30) Newfoundland</t>
  </si>
  <si>
    <t>(GMT +3:30) Tehran</t>
  </si>
  <si>
    <t>(GMT +4:30) Kabul</t>
  </si>
  <si>
    <t>(GMT +5:30) Mumbai, Kolkata, Chennai, New Delhi</t>
  </si>
  <si>
    <t>(GMT +5:45) Kathmandu</t>
  </si>
  <si>
    <t>(GMT +6:30) Yangon, Cocos Islands</t>
  </si>
  <si>
    <t>(GMT +9:30) Adelaide, Darwin</t>
  </si>
  <si>
    <t>SELECT GMT</t>
  </si>
  <si>
    <t>CHỌN MÚI GIỜ</t>
  </si>
  <si>
    <t>GROUP STAGE</t>
  </si>
  <si>
    <t>TABLES</t>
  </si>
  <si>
    <t>ROUND OF 16</t>
  </si>
  <si>
    <t>TEAMS</t>
  </si>
  <si>
    <t>POS.</t>
  </si>
  <si>
    <t>AFC ASIAN CUP 2019 CHAMPION</t>
  </si>
  <si>
    <t>中文</t>
  </si>
  <si>
    <t>印度</t>
  </si>
  <si>
    <t>巴林</t>
  </si>
  <si>
    <t>泰國</t>
  </si>
  <si>
    <t>澳大利亞</t>
  </si>
  <si>
    <t>約旦</t>
  </si>
  <si>
    <t>巴勒斯坦</t>
  </si>
  <si>
    <t>敘利亞</t>
  </si>
  <si>
    <t>中國</t>
  </si>
  <si>
    <t>韓國</t>
  </si>
  <si>
    <t>吉爾吉斯斯坦</t>
  </si>
  <si>
    <t>菲律賓</t>
  </si>
  <si>
    <t>伊朗</t>
  </si>
  <si>
    <t>伊拉克</t>
  </si>
  <si>
    <t>越南</t>
  </si>
  <si>
    <t>也門</t>
  </si>
  <si>
    <t>北朝鮮</t>
  </si>
  <si>
    <t>黎巴嫩</t>
  </si>
  <si>
    <t>卡塔爾</t>
  </si>
  <si>
    <t>沙特阿拉伯</t>
  </si>
  <si>
    <t>日本</t>
  </si>
  <si>
    <t>阿曼</t>
  </si>
  <si>
    <t>土庫曼斯坦</t>
  </si>
  <si>
    <t>烏茲別克斯坦</t>
  </si>
  <si>
    <t>選擇語言</t>
  </si>
  <si>
    <t>選擇時間</t>
  </si>
  <si>
    <t>小組賽</t>
  </si>
  <si>
    <t>評分錶</t>
  </si>
  <si>
    <t>第三陣容</t>
  </si>
  <si>
    <t>第16輪</t>
  </si>
  <si>
    <t>四分之一決賽</t>
  </si>
  <si>
    <t>半決賽</t>
  </si>
  <si>
    <t>決賽</t>
  </si>
  <si>
    <t>遊戲</t>
  </si>
  <si>
    <t>日期</t>
  </si>
  <si>
    <t>時間</t>
  </si>
  <si>
    <t>組</t>
  </si>
  <si>
    <t>球隊</t>
  </si>
  <si>
    <t>得分了</t>
  </si>
  <si>
    <t>體育場</t>
  </si>
  <si>
    <t>A組</t>
  </si>
  <si>
    <t>B組</t>
  </si>
  <si>
    <t>C組</t>
  </si>
  <si>
    <t>D組</t>
  </si>
  <si>
    <t>E組</t>
  </si>
  <si>
    <t>F組</t>
  </si>
  <si>
    <t>位置</t>
  </si>
  <si>
    <t>afc亞洲杯2019年冠軍</t>
  </si>
  <si>
    <t>عربى</t>
  </si>
  <si>
    <t>الهند</t>
  </si>
  <si>
    <t>البحرين</t>
  </si>
  <si>
    <t>مرحلة المجموعات</t>
  </si>
  <si>
    <t>لعبه</t>
  </si>
  <si>
    <t>تاريخ</t>
  </si>
  <si>
    <t>زمن</t>
  </si>
  <si>
    <t>مجموعة</t>
  </si>
  <si>
    <t>فرق</t>
  </si>
  <si>
    <t>أحرز هدفا</t>
  </si>
  <si>
    <t>ملعب</t>
  </si>
  <si>
    <t>الإمارات العربية المتحدة</t>
  </si>
  <si>
    <t>تايلند</t>
  </si>
  <si>
    <t>أستراليا</t>
  </si>
  <si>
    <t>الأردن</t>
  </si>
  <si>
    <t>فلسطين</t>
  </si>
  <si>
    <t>سوريا</t>
  </si>
  <si>
    <t>الصين</t>
  </si>
  <si>
    <t>كوريا</t>
  </si>
  <si>
    <t>قيرغيزستان</t>
  </si>
  <si>
    <t>الفلبين</t>
  </si>
  <si>
    <t>العراق</t>
  </si>
  <si>
    <t>إيران</t>
  </si>
  <si>
    <t>فيتنام</t>
  </si>
  <si>
    <t>اليمن</t>
  </si>
  <si>
    <t>كوريا الشمالية</t>
  </si>
  <si>
    <t>لبنان</t>
  </si>
  <si>
    <t>دولة قطر</t>
  </si>
  <si>
    <t>المملكة العربية السعودية</t>
  </si>
  <si>
    <t>اليابان</t>
  </si>
  <si>
    <t>سلطنة عمان</t>
  </si>
  <si>
    <t>تركمانستان</t>
  </si>
  <si>
    <t>أوزبكستان</t>
  </si>
  <si>
    <t>اختر اللغة</t>
  </si>
  <si>
    <t>اختر الوقت</t>
  </si>
  <si>
    <t>تصنيف الطاولة</t>
  </si>
  <si>
    <t>فرق مكونة من ثالثة</t>
  </si>
  <si>
    <t>جولة من 16</t>
  </si>
  <si>
    <t>الدور ربع النهائي</t>
  </si>
  <si>
    <t>VÒNG 16 ĐỘI</t>
  </si>
  <si>
    <t>بيع الجولة</t>
  </si>
  <si>
    <t>نهائيات</t>
  </si>
  <si>
    <t>المجموعة أ</t>
  </si>
  <si>
    <t>المجموعة ب</t>
  </si>
  <si>
    <t>المجموعة ج</t>
  </si>
  <si>
    <t>المجموعة د</t>
  </si>
  <si>
    <t>المجموعة هـ</t>
  </si>
  <si>
    <t>مجموعةF</t>
  </si>
  <si>
    <t>موضع</t>
  </si>
  <si>
    <t>بطولة آسيا للقفز 2019</t>
  </si>
  <si>
    <t>한국어</t>
  </si>
  <si>
    <t>인도</t>
  </si>
  <si>
    <t>바레인</t>
  </si>
  <si>
    <t>아랍 에미리트</t>
  </si>
  <si>
    <t>阿拉伯聯合酋長國</t>
  </si>
  <si>
    <t>태국</t>
  </si>
  <si>
    <t>오스트레일리아</t>
  </si>
  <si>
    <t>요르단</t>
  </si>
  <si>
    <t>팔레스타인</t>
  </si>
  <si>
    <t>시리아</t>
  </si>
  <si>
    <t>중국</t>
  </si>
  <si>
    <t>대한민국</t>
  </si>
  <si>
    <t>키르기즈스탄</t>
  </si>
  <si>
    <t>필리핀 제도</t>
  </si>
  <si>
    <t>이라크</t>
  </si>
  <si>
    <t>이란</t>
  </si>
  <si>
    <t>베트남</t>
  </si>
  <si>
    <t>예멘 아랍 공화국</t>
  </si>
  <si>
    <t>북한</t>
  </si>
  <si>
    <t>레바논</t>
  </si>
  <si>
    <t>카타르</t>
  </si>
  <si>
    <t>사우디 아라비아</t>
  </si>
  <si>
    <t>일본</t>
  </si>
  <si>
    <t>오만</t>
  </si>
  <si>
    <t>투르크 메니스탄</t>
  </si>
  <si>
    <t>우즈베키스탄</t>
  </si>
  <si>
    <t>X</t>
  </si>
  <si>
    <t>언어 선택</t>
  </si>
  <si>
    <t>시간대 선택</t>
  </si>
  <si>
    <t>조별 리그</t>
  </si>
  <si>
    <t>순위</t>
  </si>
  <si>
    <t>3 위 팀</t>
  </si>
  <si>
    <t>16 라운드</t>
  </si>
  <si>
    <t>준준결승</t>
  </si>
  <si>
    <t>준결승</t>
  </si>
  <si>
    <t>결승</t>
  </si>
  <si>
    <t>경기</t>
  </si>
  <si>
    <t>날짜</t>
  </si>
  <si>
    <t>시각</t>
  </si>
  <si>
    <t>그룹</t>
  </si>
  <si>
    <t>팀</t>
  </si>
  <si>
    <t>점수</t>
  </si>
  <si>
    <t>경기장</t>
  </si>
  <si>
    <t>그룹 A</t>
  </si>
  <si>
    <t>그룹 B</t>
  </si>
  <si>
    <t>그룹 C</t>
  </si>
  <si>
    <t>그룹 D</t>
  </si>
  <si>
    <t>그룹 E</t>
  </si>
  <si>
    <t>그룹 F</t>
  </si>
  <si>
    <t>위치</t>
  </si>
  <si>
    <t>AFC 아시아 컵 2019 챔피언</t>
  </si>
  <si>
    <t>RANKING OF THIRD-PLACED TEAMS</t>
  </si>
  <si>
    <t>FINAL</t>
  </si>
  <si>
    <t>QUARTER-FINALS</t>
  </si>
  <si>
    <t>SEMI-FINALS</t>
  </si>
  <si>
    <t>MATCH</t>
  </si>
  <si>
    <t>2019 AFC Asian Cup</t>
  </si>
  <si>
    <t>The 2019 AFC Asian Cup is the 17th edition of the AFC Asian Cup, the quadrennial international men's football championship of Asia organised by the Asian Football Confederation (AFC). It is being held in the United Arab Emirates from 5 January to 1 February 2019.[1]</t>
  </si>
  <si>
    <t>The United Arab Emirates was announced as the host for the tournament on 9 March 2015, with Iran being the only remaining bidder for the right to host the 2019 finals.[2] It is the second time that the United Arab Emirates hosts the tournament after the 1996 finals.</t>
  </si>
  <si>
    <t>For the first time, the Asian Cup final tournament is contested by 24 teams, having been expanded from the 16-team format that was used from 2004 to 2015.[3] Under this new format, the finalists will contest a group stage consisting of six groups of four teams, followed by a knockout stage of 16 teams.[4] The host nation automatically qualified for the final tournament, while the remaining 23 places were determined among the other 45 national teams through a qualifying competition, running from March 2015 to March 2018, in which the first two rounds also served as part of the 2018 FIFA World Cup qualification process for the AFC.</t>
  </si>
  <si>
    <t>Australia are the defending champions going into the tournament, having won the previous competition in 2015. The winner of the 2019 AFC Asian Cup will earn the right to participate in the 2021 FIFA Confederations Cup which is to be hosted by a yet to be determined AFC association after 2022 FIFA World Cup hosts, Qatar, lost the rights.[5] Given the 2021 Confederations Cup host country qualify as hosts, if the eventual host country also wins the Asian Cup, the Asian Cup runner-up will qualify.</t>
  </si>
  <si>
    <t>1A vs</t>
  </si>
  <si>
    <t>1B vs</t>
  </si>
  <si>
    <t>1C vs</t>
  </si>
  <si>
    <t>1D vs</t>
  </si>
  <si>
    <t>3C</t>
  </si>
  <si>
    <t>3D</t>
  </si>
  <si>
    <t>3E</t>
  </si>
  <si>
    <t>3A</t>
  </si>
  <si>
    <t>3B</t>
  </si>
  <si>
    <t>3F</t>
  </si>
  <si>
    <t>SELECT TEAMS</t>
  </si>
  <si>
    <t>CHỌN ĐỘI</t>
  </si>
  <si>
    <t>BẢNG XẾP HẠNG CÁC ĐỘI HẠNG BA</t>
  </si>
  <si>
    <t>CƯ-RƠ-GƯ-XTAN</t>
  </si>
  <si>
    <t>BA-RANH</t>
  </si>
  <si>
    <t>CÁC TIỂU VƯƠNG QUỐC Ả RẬP THỐNG NHẤT</t>
  </si>
  <si>
    <t>GIOÓC-ĐA-NI</t>
  </si>
  <si>
    <t>XI-RI</t>
  </si>
  <si>
    <t>PHI-LÍP-PIN</t>
  </si>
  <si>
    <t>I-RẮC</t>
  </si>
  <si>
    <t>Y-Ê-MEN</t>
  </si>
  <si>
    <t>LI-BĂNG</t>
  </si>
  <si>
    <t>CA-TA</t>
  </si>
  <si>
    <t>Ô-MAN</t>
  </si>
  <si>
    <t>TUỐC-MÊ-NI-XTAN</t>
  </si>
  <si>
    <t>U-DƠ-BÊ-KI-XTAN</t>
  </si>
  <si>
    <t>I-RAN</t>
  </si>
  <si>
    <t>UNITED ARAB EMIRATES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</si>
</sst>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h]:mm:ss;@"/>
    <numFmt numFmtId="165" formatCode="[$-1010000]d/m/yyyy;@"/>
    <numFmt numFmtId="166" formatCode="[$-1000000]h:mm:ss;@"/>
    <numFmt numFmtId="167" formatCode="[$-1010409]d/m/yyyy\ h:mm\ AM/PM;@"/>
    <numFmt numFmtId="168" formatCode="dd/mm/yyyy;@"/>
  </numFmts>
  <fonts count="11" x14ac:knownFonts="1">
    <font>
      <sz val="11"/>
      <color theme="1"/>
      <name val="Calibri"/>
      <family val="2"/>
      <scheme val="minor"/>
    </font>
    <font>
      <b/>
      <sz val="12"/>
      <color theme="0"/>
      <name val="Verdana"/>
      <family val="2"/>
    </font>
    <font>
      <sz val="12"/>
      <color theme="1"/>
      <name val="Verdana"/>
      <family val="2"/>
    </font>
    <font>
      <sz val="11"/>
      <color theme="0"/>
      <name val="Calibri"/>
      <family val="2"/>
      <scheme val="minor"/>
    </font>
    <font>
      <b/>
      <sz val="20"/>
      <color theme="0"/>
      <name val="Arial"/>
      <family val="2"/>
    </font>
    <font>
      <b/>
      <sz val="12"/>
      <color theme="0"/>
      <name val="Arial"/>
      <family val="2"/>
    </font>
    <font>
      <sz val="12"/>
      <color theme="1"/>
      <name val="Arial"/>
      <family val="2"/>
    </font>
    <font>
      <sz val="11"/>
      <color theme="1"/>
      <name val="Arial"/>
      <family val="2"/>
    </font>
    <font>
      <sz val="12"/>
      <color theme="0"/>
      <name val="Verdana"/>
      <family val="2"/>
    </font>
    <font>
      <b/>
      <sz val="12"/>
      <color theme="1"/>
      <name val="Arial"/>
      <family val="2"/>
    </font>
    <font>
      <b/>
      <sz val="20"/>
      <color rgb="FFFF0000"/>
      <name val="Arial"/>
      <family val="2"/>
    </font>
  </fonts>
  <fills count="5">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theme="4" tint="0.79998168889431442"/>
        <bgColor indexed="64"/>
      </patternFill>
    </fill>
  </fills>
  <borders count="63">
    <border>
      <left/>
      <right/>
      <top/>
      <bottom/>
      <diagonal/>
    </border>
    <border>
      <left style="thin">
        <color rgb="FF0070C0"/>
      </left>
      <right style="thin">
        <color rgb="FF0070C0"/>
      </right>
      <top style="thin">
        <color rgb="FF0070C0"/>
      </top>
      <bottom style="thin">
        <color rgb="FF0070C0"/>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style="thin">
        <color rgb="FF0070C0"/>
      </left>
      <right style="thin">
        <color rgb="FF0070C0"/>
      </right>
      <top style="thin">
        <color rgb="FF0070C0"/>
      </top>
      <bottom style="thick">
        <color rgb="FF0070C0"/>
      </bottom>
      <diagonal/>
    </border>
    <border>
      <left style="thin">
        <color rgb="FF0070C0"/>
      </left>
      <right style="thick">
        <color rgb="FF0070C0"/>
      </right>
      <top style="thin">
        <color rgb="FF0070C0"/>
      </top>
      <bottom style="thick">
        <color rgb="FF0070C0"/>
      </bottom>
      <diagonal/>
    </border>
    <border>
      <left style="thin">
        <color rgb="FF0070C0"/>
      </left>
      <right style="thin">
        <color theme="0"/>
      </right>
      <top style="thin">
        <color rgb="FF0070C0"/>
      </top>
      <bottom style="thin">
        <color theme="0"/>
      </bottom>
      <diagonal/>
    </border>
    <border>
      <left style="thin">
        <color theme="0"/>
      </left>
      <right style="thin">
        <color theme="0"/>
      </right>
      <top style="thin">
        <color rgb="FF0070C0"/>
      </top>
      <bottom style="thin">
        <color theme="0"/>
      </bottom>
      <diagonal/>
    </border>
    <border>
      <left style="thin">
        <color theme="0"/>
      </left>
      <right style="thin">
        <color rgb="FF0070C0"/>
      </right>
      <top style="thin">
        <color rgb="FF0070C0"/>
      </top>
      <bottom style="thin">
        <color theme="0"/>
      </bottom>
      <diagonal/>
    </border>
    <border>
      <left style="thin">
        <color rgb="FF0070C0"/>
      </left>
      <right style="thin">
        <color theme="0"/>
      </right>
      <top style="thin">
        <color theme="0"/>
      </top>
      <bottom style="thin">
        <color rgb="FF0070C0"/>
      </bottom>
      <diagonal/>
    </border>
    <border>
      <left style="thin">
        <color theme="0"/>
      </left>
      <right style="thin">
        <color theme="0"/>
      </right>
      <top style="thin">
        <color theme="0"/>
      </top>
      <bottom style="thin">
        <color rgb="FF0070C0"/>
      </bottom>
      <diagonal/>
    </border>
    <border>
      <left style="thin">
        <color theme="0"/>
      </left>
      <right style="thin">
        <color rgb="FF0070C0"/>
      </right>
      <top style="thin">
        <color theme="0"/>
      </top>
      <bottom style="thin">
        <color rgb="FF0070C0"/>
      </bottom>
      <diagonal/>
    </border>
    <border>
      <left style="thick">
        <color rgb="FF0070C0"/>
      </left>
      <right style="thin">
        <color rgb="FF0070C0"/>
      </right>
      <top/>
      <bottom style="thin">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0070C0"/>
      </left>
      <right style="thin">
        <color rgb="FF0070C0"/>
      </right>
      <top style="thin">
        <color rgb="FF0070C0"/>
      </top>
      <bottom/>
      <diagonal/>
    </border>
    <border>
      <left style="medium">
        <color rgb="FF0070C0"/>
      </left>
      <right style="thin">
        <color rgb="FF0070C0"/>
      </right>
      <top/>
      <bottom style="medium">
        <color rgb="FF0070C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rgb="FF0070C0"/>
      </left>
      <right/>
      <top/>
      <bottom style="thick">
        <color rgb="FF0070C0"/>
      </bottom>
      <diagonal/>
    </border>
    <border>
      <left/>
      <right style="thick">
        <color rgb="FF0070C0"/>
      </right>
      <top style="thick">
        <color rgb="FF0070C0"/>
      </top>
      <bottom/>
      <diagonal/>
    </border>
    <border>
      <left/>
      <right style="thick">
        <color rgb="FF0070C0"/>
      </right>
      <top/>
      <bottom/>
      <diagonal/>
    </border>
    <border>
      <left style="medium">
        <color rgb="FF0070C0"/>
      </left>
      <right style="thick">
        <color rgb="FF0070C0"/>
      </right>
      <top/>
      <bottom style="thick">
        <color rgb="FF0070C0"/>
      </bottom>
      <diagonal/>
    </border>
    <border>
      <left style="thick">
        <color rgb="FF0070C0"/>
      </left>
      <right/>
      <top/>
      <bottom style="thick">
        <color rgb="FF0070C0"/>
      </bottom>
      <diagonal/>
    </border>
    <border>
      <left style="thin">
        <color indexed="64"/>
      </left>
      <right style="thin">
        <color indexed="64"/>
      </right>
      <top style="thin">
        <color indexed="64"/>
      </top>
      <bottom style="thin">
        <color indexed="64"/>
      </bottom>
      <diagonal/>
    </border>
    <border>
      <left/>
      <right/>
      <top/>
      <bottom style="thick">
        <color rgb="FF0070C0"/>
      </bottom>
      <diagonal/>
    </border>
    <border>
      <left/>
      <right style="thick">
        <color rgb="FF0070C0"/>
      </right>
      <top/>
      <bottom style="thick">
        <color rgb="FF0070C0"/>
      </bottom>
      <diagonal/>
    </border>
    <border>
      <left style="thin">
        <color theme="0" tint="-0.14999847407452621"/>
      </left>
      <right style="thin">
        <color theme="0" tint="-0.249977111117893"/>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ck">
        <color rgb="FF0070C0"/>
      </left>
      <right/>
      <top style="thick">
        <color rgb="FF0070C0"/>
      </top>
      <bottom/>
      <diagonal/>
    </border>
    <border>
      <left/>
      <right/>
      <top style="thick">
        <color rgb="FF0070C0"/>
      </top>
      <bottom/>
      <diagonal/>
    </border>
    <border>
      <left style="thick">
        <color rgb="FF0070C0"/>
      </left>
      <right/>
      <top/>
      <bottom/>
      <diagonal/>
    </border>
    <border>
      <left style="thick">
        <color rgb="FF0070C0"/>
      </left>
      <right/>
      <top style="thick">
        <color rgb="FF0070C0"/>
      </top>
      <bottom style="thin">
        <color theme="0"/>
      </bottom>
      <diagonal/>
    </border>
    <border>
      <left/>
      <right/>
      <top style="thick">
        <color rgb="FF0070C0"/>
      </top>
      <bottom style="thin">
        <color theme="0"/>
      </bottom>
      <diagonal/>
    </border>
    <border>
      <left/>
      <right style="thick">
        <color rgb="FF0070C0"/>
      </right>
      <top style="thick">
        <color rgb="FF0070C0"/>
      </top>
      <bottom style="thin">
        <color theme="0"/>
      </bottom>
      <diagonal/>
    </border>
    <border>
      <left style="thick">
        <color rgb="FF0070C0"/>
      </left>
      <right/>
      <top style="thick">
        <color rgb="FF0070C0"/>
      </top>
      <bottom style="thick">
        <color rgb="FF0070C0"/>
      </bottom>
      <diagonal/>
    </border>
    <border>
      <left/>
      <right/>
      <top style="thick">
        <color rgb="FF0070C0"/>
      </top>
      <bottom style="thick">
        <color rgb="FF0070C0"/>
      </bottom>
      <diagonal/>
    </border>
    <border>
      <left/>
      <right style="thick">
        <color rgb="FF0070C0"/>
      </right>
      <top style="thick">
        <color rgb="FF0070C0"/>
      </top>
      <bottom style="thick">
        <color rgb="FF0070C0"/>
      </bottom>
      <diagonal/>
    </border>
    <border>
      <left style="thick">
        <color rgb="FF0070C0"/>
      </left>
      <right style="thin">
        <color theme="0"/>
      </right>
      <top/>
      <bottom style="thick">
        <color rgb="FF0070C0"/>
      </bottom>
      <diagonal/>
    </border>
    <border>
      <left/>
      <right style="thin">
        <color theme="0"/>
      </right>
      <top/>
      <bottom style="thick">
        <color rgb="FF0070C0"/>
      </bottom>
      <diagonal/>
    </border>
    <border>
      <left style="thin">
        <color theme="0"/>
      </left>
      <right style="thin">
        <color theme="0"/>
      </right>
      <top/>
      <bottom style="thick">
        <color rgb="FF0070C0"/>
      </bottom>
      <diagonal/>
    </border>
    <border>
      <left style="thin">
        <color theme="0"/>
      </left>
      <right style="thick">
        <color rgb="FF0070C0"/>
      </right>
      <top/>
      <bottom style="thick">
        <color rgb="FF0070C0"/>
      </bottom>
      <diagonal/>
    </border>
    <border>
      <left style="thin">
        <color rgb="FF0070C0"/>
      </left>
      <right style="thin">
        <color rgb="FF0070C0"/>
      </right>
      <top/>
      <bottom style="thin">
        <color rgb="FF0070C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0070C0"/>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rgb="FF0070C0"/>
      </right>
      <top style="thin">
        <color theme="0"/>
      </top>
      <bottom/>
      <diagonal/>
    </border>
    <border>
      <left style="thick">
        <color rgb="FF0070C0"/>
      </left>
      <right style="thick">
        <color rgb="FF0070C0"/>
      </right>
      <top style="thick">
        <color rgb="FF0070C0"/>
      </top>
      <bottom style="thick">
        <color rgb="FF0070C0"/>
      </bottom>
      <diagonal/>
    </border>
    <border>
      <left style="thick">
        <color rgb="FF0070C0"/>
      </left>
      <right style="thin">
        <color theme="0"/>
      </right>
      <top style="thick">
        <color rgb="FF0070C0"/>
      </top>
      <bottom style="thick">
        <color rgb="FF0070C0"/>
      </bottom>
      <diagonal/>
    </border>
    <border>
      <left style="thin">
        <color theme="0"/>
      </left>
      <right style="thin">
        <color theme="0"/>
      </right>
      <top style="thick">
        <color rgb="FF0070C0"/>
      </top>
      <bottom style="thick">
        <color rgb="FF0070C0"/>
      </bottom>
      <diagonal/>
    </border>
    <border>
      <left style="thin">
        <color theme="0"/>
      </left>
      <right style="thick">
        <color rgb="FF0070C0"/>
      </right>
      <top style="thick">
        <color rgb="FF0070C0"/>
      </top>
      <bottom style="thick">
        <color rgb="FF0070C0"/>
      </bottom>
      <diagonal/>
    </border>
    <border>
      <left style="thin">
        <color rgb="FF0070C0"/>
      </left>
      <right style="thick">
        <color rgb="FF0070C0"/>
      </right>
      <top/>
      <bottom style="thin">
        <color rgb="FF0070C0"/>
      </bottom>
      <diagonal/>
    </border>
  </borders>
  <cellStyleXfs count="1">
    <xf numFmtId="0" fontId="0" fillId="0" borderId="0"/>
  </cellStyleXfs>
  <cellXfs count="154">
    <xf numFmtId="0" fontId="0" fillId="0" borderId="0" xfId="0"/>
    <xf numFmtId="20" fontId="0" fillId="0" borderId="0" xfId="0" applyNumberFormat="1"/>
    <xf numFmtId="0" fontId="2" fillId="0" borderId="1" xfId="0" applyFont="1" applyBorder="1" applyAlignment="1">
      <alignment horizontal="center" vertical="center"/>
    </xf>
    <xf numFmtId="0" fontId="0" fillId="0" borderId="0" xfId="0" applyNumberFormat="1"/>
    <xf numFmtId="0" fontId="0" fillId="0" borderId="0" xfId="0" applyBorder="1"/>
    <xf numFmtId="0" fontId="0" fillId="0" borderId="32" xfId="0" applyBorder="1"/>
    <xf numFmtId="0" fontId="0" fillId="0" borderId="35" xfId="0" applyBorder="1"/>
    <xf numFmtId="0" fontId="0" fillId="0" borderId="36" xfId="0" applyBorder="1"/>
    <xf numFmtId="164" fontId="0" fillId="0" borderId="0" xfId="0" applyNumberFormat="1"/>
    <xf numFmtId="1" fontId="0" fillId="0" borderId="0" xfId="0" applyNumberFormat="1"/>
    <xf numFmtId="0" fontId="2" fillId="0" borderId="0" xfId="0" applyNumberFormat="1" applyFont="1" applyBorder="1" applyAlignment="1">
      <alignment horizontal="center" vertical="center"/>
    </xf>
    <xf numFmtId="14" fontId="0" fillId="0" borderId="0" xfId="0" applyNumberFormat="1"/>
    <xf numFmtId="165" fontId="2" fillId="3" borderId="51" xfId="0" applyNumberFormat="1" applyFont="1" applyFill="1" applyBorder="1" applyAlignment="1">
      <alignment horizontal="center" vertical="center"/>
    </xf>
    <xf numFmtId="166" fontId="0" fillId="0" borderId="0" xfId="0" applyNumberFormat="1"/>
    <xf numFmtId="165" fontId="2" fillId="3" borderId="51" xfId="0" applyNumberFormat="1" applyFont="1" applyFill="1" applyBorder="1" applyAlignment="1">
      <alignment vertical="center"/>
    </xf>
    <xf numFmtId="14" fontId="2" fillId="3" borderId="54" xfId="0" applyNumberFormat="1" applyFont="1" applyFill="1" applyBorder="1" applyAlignment="1">
      <alignment vertical="center"/>
    </xf>
    <xf numFmtId="0" fontId="0" fillId="0" borderId="54" xfId="0" applyBorder="1"/>
    <xf numFmtId="165" fontId="2" fillId="3" borderId="54" xfId="0" applyNumberFormat="1" applyFont="1" applyFill="1" applyBorder="1" applyAlignment="1">
      <alignment vertical="center"/>
    </xf>
    <xf numFmtId="165" fontId="0" fillId="0" borderId="0" xfId="0" applyNumberFormat="1"/>
    <xf numFmtId="0" fontId="1" fillId="2" borderId="59" xfId="0" applyFont="1" applyFill="1" applyBorder="1" applyAlignment="1">
      <alignment horizontal="center" vertical="center"/>
    </xf>
    <xf numFmtId="0" fontId="1" fillId="2" borderId="60" xfId="0" applyFont="1" applyFill="1" applyBorder="1" applyAlignment="1">
      <alignment horizontal="center" vertical="center"/>
    </xf>
    <xf numFmtId="0" fontId="1" fillId="2" borderId="60" xfId="0" applyNumberFormat="1" applyFont="1" applyFill="1" applyBorder="1" applyAlignment="1">
      <alignment horizontal="center" vertical="center"/>
    </xf>
    <xf numFmtId="0" fontId="1" fillId="2" borderId="61" xfId="0" applyNumberFormat="1" applyFont="1" applyFill="1" applyBorder="1" applyAlignment="1">
      <alignment horizontal="center" vertical="center"/>
    </xf>
    <xf numFmtId="0" fontId="2" fillId="0" borderId="3" xfId="0" applyNumberFormat="1" applyFont="1" applyBorder="1" applyAlignment="1">
      <alignment horizontal="center" vertical="center"/>
    </xf>
    <xf numFmtId="0" fontId="2" fillId="0" borderId="1"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6" xfId="0" applyNumberFormat="1" applyFont="1" applyBorder="1" applyAlignment="1">
      <alignment horizontal="center" vertical="center"/>
    </xf>
    <xf numFmtId="0" fontId="2" fillId="0" borderId="8" xfId="0" applyNumberFormat="1" applyFont="1" applyBorder="1" applyAlignment="1">
      <alignment horizontal="center" vertical="center"/>
    </xf>
    <xf numFmtId="0" fontId="2" fillId="0" borderId="9" xfId="0" applyNumberFormat="1" applyFont="1" applyBorder="1" applyAlignment="1">
      <alignment horizontal="center" vertical="center"/>
    </xf>
    <xf numFmtId="0" fontId="2" fillId="0" borderId="58" xfId="0" applyFont="1" applyBorder="1" applyAlignment="1">
      <alignment horizontal="center" vertical="center"/>
    </xf>
    <xf numFmtId="0" fontId="2" fillId="0" borderId="2" xfId="0" applyFont="1" applyBorder="1"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5" fillId="2" borderId="46" xfId="0" applyFont="1" applyFill="1" applyBorder="1" applyAlignment="1">
      <alignment horizontal="center" vertical="center"/>
    </xf>
    <xf numFmtId="0" fontId="5" fillId="2" borderId="47" xfId="0" applyFont="1" applyFill="1" applyBorder="1" applyAlignment="1">
      <alignment horizontal="center" vertical="center"/>
    </xf>
    <xf numFmtId="0" fontId="5" fillId="2" borderId="48" xfId="0" applyFont="1" applyFill="1" applyBorder="1" applyAlignment="1">
      <alignment horizontal="center" vertical="center"/>
    </xf>
    <xf numFmtId="0" fontId="5" fillId="2" borderId="49" xfId="0" applyFont="1" applyFill="1" applyBorder="1" applyAlignment="1">
      <alignment horizontal="center" vertical="center"/>
    </xf>
    <xf numFmtId="0" fontId="6" fillId="3" borderId="2" xfId="0" applyFont="1" applyFill="1" applyBorder="1" applyAlignment="1">
      <alignment horizontal="center" vertical="center"/>
    </xf>
    <xf numFmtId="165" fontId="6" fillId="3" borderId="3" xfId="0" applyNumberFormat="1" applyFont="1" applyFill="1" applyBorder="1" applyAlignment="1">
      <alignment horizontal="center" vertical="center"/>
    </xf>
    <xf numFmtId="20" fontId="6" fillId="3" borderId="3" xfId="0" applyNumberFormat="1" applyFont="1" applyFill="1" applyBorder="1" applyAlignment="1">
      <alignment horizontal="center" vertical="center"/>
    </xf>
    <xf numFmtId="0" fontId="6" fillId="3" borderId="3" xfId="0" applyFont="1" applyFill="1" applyBorder="1" applyAlignment="1">
      <alignment horizontal="center" vertical="center"/>
    </xf>
    <xf numFmtId="0" fontId="6" fillId="3" borderId="3" xfId="0" applyFont="1" applyFill="1" applyBorder="1" applyAlignment="1">
      <alignment horizontal="right"/>
    </xf>
    <xf numFmtId="0" fontId="6" fillId="3" borderId="3" xfId="0" applyFont="1" applyFill="1" applyBorder="1" applyAlignment="1">
      <alignment horizontal="left"/>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165" fontId="6" fillId="3" borderId="1" xfId="0" applyNumberFormat="1" applyFont="1" applyFill="1" applyBorder="1" applyAlignment="1">
      <alignment horizontal="center" vertical="center"/>
    </xf>
    <xf numFmtId="20"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right"/>
    </xf>
    <xf numFmtId="0" fontId="6" fillId="3" borderId="1" xfId="0" applyFont="1" applyFill="1" applyBorder="1" applyAlignment="1">
      <alignment horizontal="left"/>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165" fontId="6" fillId="3" borderId="8" xfId="0" applyNumberFormat="1" applyFont="1" applyFill="1" applyBorder="1" applyAlignment="1">
      <alignment horizontal="center" vertical="center"/>
    </xf>
    <xf numFmtId="20" fontId="6" fillId="3" borderId="8" xfId="0" applyNumberFormat="1"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right"/>
    </xf>
    <xf numFmtId="0" fontId="6" fillId="3" borderId="8" xfId="0" applyFont="1" applyFill="1" applyBorder="1" applyAlignment="1">
      <alignment horizontal="left"/>
    </xf>
    <xf numFmtId="0" fontId="6" fillId="3" borderId="9"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3" xfId="0" applyFont="1" applyFill="1" applyBorder="1" applyAlignment="1">
      <alignment horizontal="right" vertical="center"/>
    </xf>
    <xf numFmtId="0" fontId="6" fillId="3" borderId="3" xfId="0" applyFont="1" applyFill="1" applyBorder="1" applyAlignment="1">
      <alignment horizontal="left" vertical="center"/>
    </xf>
    <xf numFmtId="0" fontId="6" fillId="3" borderId="1" xfId="0" applyFont="1" applyFill="1" applyBorder="1" applyAlignment="1">
      <alignment horizontal="right" vertical="center"/>
    </xf>
    <xf numFmtId="0" fontId="6" fillId="3" borderId="1" xfId="0" applyFont="1" applyFill="1" applyBorder="1" applyAlignment="1">
      <alignment horizontal="left" vertical="center"/>
    </xf>
    <xf numFmtId="0" fontId="6" fillId="3" borderId="8" xfId="0" applyFont="1" applyFill="1" applyBorder="1" applyAlignment="1">
      <alignment horizontal="right" vertical="center"/>
    </xf>
    <xf numFmtId="0" fontId="6" fillId="3" borderId="8" xfId="0" applyFont="1" applyFill="1" applyBorder="1" applyAlignment="1">
      <alignment horizontal="left" vertical="center"/>
    </xf>
    <xf numFmtId="0" fontId="6" fillId="0" borderId="58" xfId="0" applyFont="1" applyBorder="1" applyAlignment="1">
      <alignment horizontal="center" vertical="center"/>
    </xf>
    <xf numFmtId="0" fontId="7" fillId="0" borderId="0" xfId="0" applyFont="1"/>
    <xf numFmtId="0" fontId="5" fillId="2" borderId="13"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1" xfId="0" applyFont="1" applyFill="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5" fillId="2" borderId="55" xfId="0" applyFont="1" applyFill="1" applyBorder="1" applyAlignment="1">
      <alignment horizontal="center" vertical="center"/>
    </xf>
    <xf numFmtId="0" fontId="5" fillId="2" borderId="56" xfId="0" applyFont="1" applyFill="1" applyBorder="1" applyAlignment="1">
      <alignment horizontal="center" vertical="center"/>
    </xf>
    <xf numFmtId="0" fontId="5" fillId="2" borderId="57"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3" xfId="0" applyFont="1" applyFill="1" applyBorder="1" applyAlignment="1">
      <alignment horizontal="left" vertical="center"/>
    </xf>
    <xf numFmtId="0" fontId="5" fillId="2" borderId="59" xfId="0" applyFont="1" applyFill="1" applyBorder="1" applyAlignment="1">
      <alignment horizontal="center" vertical="center"/>
    </xf>
    <xf numFmtId="0" fontId="5" fillId="2" borderId="60" xfId="0" applyFont="1" applyFill="1" applyBorder="1" applyAlignment="1">
      <alignment horizontal="center" vertical="center"/>
    </xf>
    <xf numFmtId="0" fontId="5" fillId="2" borderId="61" xfId="0" applyFont="1" applyFill="1" applyBorder="1" applyAlignment="1">
      <alignment horizontal="center" vertical="center"/>
    </xf>
    <xf numFmtId="0" fontId="6" fillId="0" borderId="16" xfId="0" applyFont="1" applyBorder="1" applyAlignment="1">
      <alignment horizontal="center" vertical="center"/>
    </xf>
    <xf numFmtId="0" fontId="6" fillId="0" borderId="50" xfId="0" applyFont="1" applyBorder="1" applyAlignment="1">
      <alignment horizontal="center" vertical="center"/>
    </xf>
    <xf numFmtId="0" fontId="6" fillId="0" borderId="62"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165" fontId="6" fillId="0" borderId="20" xfId="0" applyNumberFormat="1" applyFont="1" applyBorder="1" applyAlignment="1">
      <alignment horizontal="center" vertical="center"/>
    </xf>
    <xf numFmtId="20" fontId="6" fillId="0" borderId="1" xfId="0" applyNumberFormat="1" applyFont="1" applyBorder="1" applyAlignment="1">
      <alignment horizontal="center" vertical="center"/>
    </xf>
    <xf numFmtId="0" fontId="6" fillId="0" borderId="21" xfId="0" applyFont="1" applyBorder="1" applyAlignment="1">
      <alignment horizontal="center" vertical="center"/>
    </xf>
    <xf numFmtId="0" fontId="7" fillId="0" borderId="27" xfId="0" applyFont="1" applyBorder="1"/>
    <xf numFmtId="0" fontId="7" fillId="0" borderId="28" xfId="0" applyFont="1" applyBorder="1"/>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7" fillId="0" borderId="29" xfId="0" applyFont="1" applyBorder="1"/>
    <xf numFmtId="0" fontId="7" fillId="0" borderId="31" xfId="0" applyFont="1" applyBorder="1"/>
    <xf numFmtId="0" fontId="6" fillId="0" borderId="26" xfId="0" applyFont="1" applyBorder="1" applyAlignment="1">
      <alignment vertical="center"/>
    </xf>
    <xf numFmtId="0" fontId="7" fillId="0" borderId="30" xfId="0" applyFont="1" applyBorder="1"/>
    <xf numFmtId="0" fontId="7" fillId="0" borderId="33" xfId="0" applyFont="1" applyBorder="1"/>
    <xf numFmtId="0" fontId="7" fillId="0" borderId="34" xfId="0" applyFont="1" applyBorder="1"/>
    <xf numFmtId="0" fontId="3" fillId="0" borderId="0" xfId="0" applyFont="1"/>
    <xf numFmtId="20" fontId="3" fillId="0" borderId="0" xfId="0" applyNumberFormat="1" applyFont="1"/>
    <xf numFmtId="1" fontId="3" fillId="0" borderId="0" xfId="0" applyNumberFormat="1" applyFont="1"/>
    <xf numFmtId="2" fontId="3" fillId="0" borderId="0" xfId="0" applyNumberFormat="1" applyFont="1"/>
    <xf numFmtId="21" fontId="3" fillId="0" borderId="0" xfId="0" applyNumberFormat="1" applyFont="1"/>
    <xf numFmtId="0" fontId="8" fillId="0" borderId="0" xfId="0" applyNumberFormat="1" applyFont="1" applyBorder="1" applyAlignment="1">
      <alignment horizontal="center" vertical="center"/>
    </xf>
    <xf numFmtId="165" fontId="6" fillId="3" borderId="1" xfId="0" applyNumberFormat="1" applyFont="1" applyFill="1" applyBorder="1" applyAlignment="1">
      <alignment horizontal="center" vertical="center"/>
    </xf>
    <xf numFmtId="165" fontId="6" fillId="3" borderId="8" xfId="0" applyNumberFormat="1" applyFont="1" applyFill="1" applyBorder="1" applyAlignment="1">
      <alignment horizontal="center" vertical="center"/>
    </xf>
    <xf numFmtId="165" fontId="6" fillId="3" borderId="3" xfId="0" applyNumberFormat="1" applyFont="1" applyFill="1" applyBorder="1" applyAlignment="1">
      <alignment horizontal="center" vertical="center"/>
    </xf>
    <xf numFmtId="165" fontId="2" fillId="3" borderId="52" xfId="0" applyNumberFormat="1" applyFont="1" applyFill="1" applyBorder="1" applyAlignment="1">
      <alignment vertical="center"/>
    </xf>
    <xf numFmtId="165" fontId="2" fillId="3" borderId="53" xfId="0" applyNumberFormat="1" applyFont="1" applyFill="1" applyBorder="1" applyAlignment="1">
      <alignment vertical="center"/>
    </xf>
    <xf numFmtId="166" fontId="0" fillId="0" borderId="0" xfId="0" applyNumberFormat="1" applyAlignment="1">
      <alignment vertical="center"/>
    </xf>
    <xf numFmtId="0" fontId="0" fillId="0" borderId="0" xfId="0" applyAlignment="1">
      <alignment vertical="center"/>
    </xf>
    <xf numFmtId="0" fontId="0" fillId="0" borderId="0" xfId="0" applyNumberFormat="1" applyAlignment="1">
      <alignment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4" borderId="3" xfId="0" applyFont="1" applyFill="1" applyBorder="1" applyAlignment="1">
      <alignment horizontal="center" vertical="center"/>
    </xf>
    <xf numFmtId="167" fontId="0" fillId="0" borderId="0" xfId="0" applyNumberFormat="1"/>
    <xf numFmtId="168" fontId="0" fillId="0" borderId="0" xfId="0" applyNumberFormat="1"/>
    <xf numFmtId="0" fontId="1" fillId="2" borderId="58" xfId="0" applyFont="1" applyFill="1" applyBorder="1" applyAlignment="1">
      <alignment horizontal="center" vertical="center"/>
    </xf>
    <xf numFmtId="0" fontId="2" fillId="0" borderId="58" xfId="0" applyNumberFormat="1" applyFont="1" applyBorder="1" applyAlignment="1">
      <alignment horizontal="center" vertical="center"/>
    </xf>
    <xf numFmtId="0" fontId="5" fillId="2" borderId="43" xfId="0" applyFont="1" applyFill="1" applyBorder="1" applyAlignment="1">
      <alignment horizontal="center" vertical="center"/>
    </xf>
    <xf numFmtId="0" fontId="5" fillId="2" borderId="45" xfId="0" applyFont="1" applyFill="1" applyBorder="1" applyAlignment="1">
      <alignment horizontal="center" vertical="center"/>
    </xf>
    <xf numFmtId="0" fontId="4" fillId="2" borderId="40" xfId="0" applyFont="1" applyFill="1" applyBorder="1" applyAlignment="1">
      <alignment horizontal="center" vertical="center"/>
    </xf>
    <xf numFmtId="0" fontId="4" fillId="2" borderId="41" xfId="0" applyFont="1" applyFill="1" applyBorder="1" applyAlignment="1">
      <alignment horizontal="center" vertical="center"/>
    </xf>
    <xf numFmtId="0" fontId="4" fillId="2" borderId="42" xfId="0" applyFont="1" applyFill="1" applyBorder="1" applyAlignment="1">
      <alignment horizontal="center" vertical="center"/>
    </xf>
    <xf numFmtId="0" fontId="10" fillId="0" borderId="37" xfId="0" applyFont="1" applyBorder="1" applyAlignment="1">
      <alignment horizontal="center" vertical="center"/>
    </xf>
    <xf numFmtId="0" fontId="10" fillId="0" borderId="38" xfId="0" applyFont="1" applyBorder="1" applyAlignment="1">
      <alignment horizontal="center" vertical="center"/>
    </xf>
    <xf numFmtId="0" fontId="10" fillId="0" borderId="28" xfId="0" applyFont="1" applyBorder="1" applyAlignment="1">
      <alignment horizontal="center" vertical="center"/>
    </xf>
    <xf numFmtId="0" fontId="10" fillId="0" borderId="39" xfId="0" applyFont="1" applyBorder="1" applyAlignment="1">
      <alignment horizontal="center" vertical="center"/>
    </xf>
    <xf numFmtId="0" fontId="10" fillId="0" borderId="0" xfId="0" applyFont="1" applyBorder="1" applyAlignment="1">
      <alignment horizontal="center" vertical="center"/>
    </xf>
    <xf numFmtId="0" fontId="10" fillId="0" borderId="29" xfId="0" applyFont="1" applyBorder="1" applyAlignment="1">
      <alignment horizontal="center" vertical="center"/>
    </xf>
    <xf numFmtId="0" fontId="10" fillId="0" borderId="31"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5" fillId="2" borderId="44" xfId="0" applyFont="1" applyFill="1" applyBorder="1" applyAlignment="1">
      <alignment horizontal="center" vertical="center"/>
    </xf>
    <xf numFmtId="0" fontId="4" fillId="2" borderId="43" xfId="0" applyFont="1" applyFill="1" applyBorder="1" applyAlignment="1">
      <alignment horizontal="center" vertical="center"/>
    </xf>
    <xf numFmtId="0" fontId="4" fillId="2" borderId="44" xfId="0" applyFont="1" applyFill="1" applyBorder="1" applyAlignment="1">
      <alignment horizontal="center" vertical="center"/>
    </xf>
    <xf numFmtId="0" fontId="4" fillId="2" borderId="45" xfId="0" applyFont="1" applyFill="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5" fillId="2" borderId="48" xfId="0" applyFont="1" applyFill="1" applyBorder="1" applyAlignment="1">
      <alignment horizontal="center" vertical="center"/>
    </xf>
    <xf numFmtId="0" fontId="5" fillId="2" borderId="10" xfId="0" applyFont="1" applyFill="1" applyBorder="1" applyAlignment="1">
      <alignment horizontal="center"/>
    </xf>
    <xf numFmtId="0" fontId="5" fillId="2" borderId="11" xfId="0" applyFont="1" applyFill="1" applyBorder="1" applyAlignment="1">
      <alignment horizontal="center"/>
    </xf>
    <xf numFmtId="0" fontId="5" fillId="2" borderId="12" xfId="0" applyFont="1" applyFill="1" applyBorder="1" applyAlignment="1">
      <alignment horizontal="center"/>
    </xf>
  </cellXfs>
  <cellStyles count="1">
    <cellStyle name="Normal" xfId="0" builtinId="0"/>
  </cellStyles>
  <dxfs count="24">
    <dxf>
      <fill>
        <patternFill>
          <bgColor rgb="FF0070C0"/>
        </patternFill>
      </fill>
    </dxf>
    <dxf>
      <fill>
        <patternFill>
          <bgColor rgb="FF0070C0"/>
        </patternFill>
      </fill>
    </dxf>
    <dxf>
      <fill>
        <patternFill>
          <bgColor rgb="FF0070C0"/>
        </patternFill>
      </fill>
    </dxf>
    <dxf>
      <font>
        <b/>
        <i val="0"/>
        <color theme="0"/>
      </font>
      <fill>
        <patternFill>
          <bgColor theme="4"/>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ill>
        <patternFill>
          <bgColor theme="4" tint="0.79998168889431442"/>
        </patternFill>
      </fill>
    </dxf>
    <dxf>
      <font>
        <b/>
        <i val="0"/>
        <color theme="0"/>
      </font>
      <fill>
        <patternFill>
          <bgColor rgb="FF92D050"/>
        </patternFill>
      </fill>
    </dxf>
    <dxf>
      <font>
        <b/>
        <i val="0"/>
        <color theme="0"/>
      </font>
      <fill>
        <patternFill>
          <bgColor rgb="FF92D050"/>
        </patternFill>
      </fill>
    </dxf>
    <dxf>
      <font>
        <b/>
        <i val="0"/>
        <color theme="0"/>
      </font>
      <fill>
        <patternFill>
          <bgColor rgb="FF92D050"/>
        </patternFill>
      </fill>
    </dxf>
    <dxf>
      <fill>
        <patternFill>
          <bgColor theme="4"/>
        </patternFill>
      </fill>
    </dxf>
    <dxf>
      <font>
        <b/>
        <i val="0"/>
        <color theme="0"/>
      </font>
      <fill>
        <patternFill>
          <bgColor rgb="FF92D050"/>
        </patternFill>
      </fill>
    </dxf>
    <dxf>
      <font>
        <b/>
        <i val="0"/>
        <color theme="0"/>
      </font>
      <fill>
        <patternFill>
          <bgColor rgb="FF92D050"/>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247658</xdr:colOff>
      <xdr:row>4</xdr:row>
      <xdr:rowOff>180975</xdr:rowOff>
    </xdr:from>
    <xdr:to>
      <xdr:col>3</xdr:col>
      <xdr:colOff>458674</xdr:colOff>
      <xdr:row>6</xdr:row>
      <xdr:rowOff>36195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47983" y="1009650"/>
          <a:ext cx="211016" cy="274320"/>
        </a:xfrm>
        <a:prstGeom prst="rect">
          <a:avLst/>
        </a:prstGeom>
      </xdr:spPr>
    </xdr:pic>
    <xdr:clientData/>
  </xdr:twoCellAnchor>
  <xdr:twoCellAnchor editAs="oneCell">
    <xdr:from>
      <xdr:col>4</xdr:col>
      <xdr:colOff>104775</xdr:colOff>
      <xdr:row>4</xdr:row>
      <xdr:rowOff>180975</xdr:rowOff>
    </xdr:from>
    <xdr:to>
      <xdr:col>4</xdr:col>
      <xdr:colOff>318153</xdr:colOff>
      <xdr:row>6</xdr:row>
      <xdr:rowOff>36219</xdr:rowOff>
    </xdr:to>
    <xdr:pic>
      <xdr:nvPicPr>
        <xdr:cNvPr id="10" name="Picture 9"/>
        <xdr:cNvPicPr>
          <a:picLocks noChangeAspect="1"/>
        </xdr:cNvPicPr>
      </xdr:nvPicPr>
      <xdr:blipFill>
        <a:blip xmlns:r="http://schemas.openxmlformats.org/officeDocument/2006/relationships" r:embed="rId2"/>
        <a:stretch>
          <a:fillRect/>
        </a:stretch>
      </xdr:blipFill>
      <xdr:spPr>
        <a:xfrm>
          <a:off x="3419475" y="1009650"/>
          <a:ext cx="213378" cy="274344"/>
        </a:xfrm>
        <a:prstGeom prst="rect">
          <a:avLst/>
        </a:prstGeom>
      </xdr:spPr>
    </xdr:pic>
    <xdr:clientData/>
  </xdr:twoCellAnchor>
  <xdr:twoCellAnchor editAs="oneCell">
    <xdr:from>
      <xdr:col>4</xdr:col>
      <xdr:colOff>419101</xdr:colOff>
      <xdr:row>5</xdr:row>
      <xdr:rowOff>0</xdr:rowOff>
    </xdr:from>
    <xdr:to>
      <xdr:col>4</xdr:col>
      <xdr:colOff>561340</xdr:colOff>
      <xdr:row>5</xdr:row>
      <xdr:rowOff>182880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3733801" y="1038225"/>
          <a:ext cx="142239" cy="182880"/>
        </a:xfrm>
        <a:prstGeom prst="rect">
          <a:avLst/>
        </a:prstGeom>
      </xdr:spPr>
    </xdr:pic>
    <xdr:clientData/>
  </xdr:twoCellAnchor>
  <xdr:twoCellAnchor editAs="oneCell">
    <xdr:from>
      <xdr:col>5</xdr:col>
      <xdr:colOff>266704</xdr:colOff>
      <xdr:row>4</xdr:row>
      <xdr:rowOff>180976</xdr:rowOff>
    </xdr:from>
    <xdr:to>
      <xdr:col>5</xdr:col>
      <xdr:colOff>477720</xdr:colOff>
      <xdr:row>6</xdr:row>
      <xdr:rowOff>36196</xdr:rowOff>
    </xdr:to>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95779" y="1009651"/>
          <a:ext cx="211016" cy="274320"/>
        </a:xfrm>
        <a:prstGeom prst="rect">
          <a:avLst/>
        </a:prstGeom>
      </xdr:spPr>
    </xdr:pic>
    <xdr:clientData/>
  </xdr:twoCellAnchor>
  <xdr:twoCellAnchor editAs="oneCell">
    <xdr:from>
      <xdr:col>6</xdr:col>
      <xdr:colOff>95250</xdr:colOff>
      <xdr:row>4</xdr:row>
      <xdr:rowOff>180975</xdr:rowOff>
    </xdr:from>
    <xdr:to>
      <xdr:col>6</xdr:col>
      <xdr:colOff>308628</xdr:colOff>
      <xdr:row>6</xdr:row>
      <xdr:rowOff>36219</xdr:rowOff>
    </xdr:to>
    <xdr:pic>
      <xdr:nvPicPr>
        <xdr:cNvPr id="13" name="Picture 12"/>
        <xdr:cNvPicPr>
          <a:picLocks noChangeAspect="1"/>
        </xdr:cNvPicPr>
      </xdr:nvPicPr>
      <xdr:blipFill>
        <a:blip xmlns:r="http://schemas.openxmlformats.org/officeDocument/2006/relationships" r:embed="rId4"/>
        <a:stretch>
          <a:fillRect/>
        </a:stretch>
      </xdr:blipFill>
      <xdr:spPr>
        <a:xfrm>
          <a:off x="4838700" y="1009650"/>
          <a:ext cx="213378" cy="274344"/>
        </a:xfrm>
        <a:prstGeom prst="rect">
          <a:avLst/>
        </a:prstGeom>
      </xdr:spPr>
    </xdr:pic>
    <xdr:clientData/>
  </xdr:twoCellAnchor>
  <xdr:twoCellAnchor editAs="oneCell">
    <xdr:from>
      <xdr:col>6</xdr:col>
      <xdr:colOff>390525</xdr:colOff>
      <xdr:row>4</xdr:row>
      <xdr:rowOff>180975</xdr:rowOff>
    </xdr:from>
    <xdr:to>
      <xdr:col>6</xdr:col>
      <xdr:colOff>603903</xdr:colOff>
      <xdr:row>6</xdr:row>
      <xdr:rowOff>36219</xdr:rowOff>
    </xdr:to>
    <xdr:pic>
      <xdr:nvPicPr>
        <xdr:cNvPr id="14" name="Picture 13"/>
        <xdr:cNvPicPr>
          <a:picLocks noChangeAspect="1"/>
        </xdr:cNvPicPr>
      </xdr:nvPicPr>
      <xdr:blipFill>
        <a:blip xmlns:r="http://schemas.openxmlformats.org/officeDocument/2006/relationships" r:embed="rId5"/>
        <a:stretch>
          <a:fillRect/>
        </a:stretch>
      </xdr:blipFill>
      <xdr:spPr>
        <a:xfrm>
          <a:off x="5133975" y="1009650"/>
          <a:ext cx="213378" cy="274344"/>
        </a:xfrm>
        <a:prstGeom prst="rect">
          <a:avLst/>
        </a:prstGeom>
      </xdr:spPr>
    </xdr:pic>
    <xdr:clientData/>
  </xdr:twoCellAnchor>
  <xdr:twoCellAnchor editAs="oneCell">
    <xdr:from>
      <xdr:col>4</xdr:col>
      <xdr:colOff>485775</xdr:colOff>
      <xdr:row>5</xdr:row>
      <xdr:rowOff>38100</xdr:rowOff>
    </xdr:from>
    <xdr:to>
      <xdr:col>4</xdr:col>
      <xdr:colOff>623951</xdr:colOff>
      <xdr:row>6</xdr:row>
      <xdr:rowOff>11430</xdr:rowOff>
    </xdr:to>
    <xdr:pic>
      <xdr:nvPicPr>
        <xdr:cNvPr id="15" name="Picture 14"/>
        <xdr:cNvPicPr>
          <a:picLocks noChangeAspect="1"/>
        </xdr:cNvPicPr>
      </xdr:nvPicPr>
      <xdr:blipFill>
        <a:blip xmlns:r="http://schemas.openxmlformats.org/officeDocument/2006/relationships" r:embed="rId6"/>
        <a:stretch>
          <a:fillRect/>
        </a:stretch>
      </xdr:blipFill>
      <xdr:spPr>
        <a:xfrm>
          <a:off x="3800475" y="1076325"/>
          <a:ext cx="138176" cy="1828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17"/>
  <sheetViews>
    <sheetView workbookViewId="0">
      <selection activeCell="H30" sqref="H30"/>
    </sheetView>
  </sheetViews>
  <sheetFormatPr defaultRowHeight="15" x14ac:dyDescent="0.25"/>
  <cols>
    <col min="3" max="3" width="20.7109375" customWidth="1"/>
    <col min="4" max="7" width="10.7109375" customWidth="1"/>
  </cols>
  <sheetData>
    <row r="1" spans="3:14" ht="15.75" thickBot="1" x14ac:dyDescent="0.3"/>
    <row r="2" spans="3:14" ht="16.5" thickTop="1" thickBot="1" x14ac:dyDescent="0.3">
      <c r="C2" s="125" t="str">
        <f>HLOOKUP(E2,C32:Z59,26,0)</f>
        <v>SELECT LANGUAGES</v>
      </c>
      <c r="D2" s="125"/>
      <c r="E2" s="29" t="s">
        <v>0</v>
      </c>
    </row>
    <row r="3" spans="3:14" ht="16.5" thickTop="1" thickBot="1" x14ac:dyDescent="0.3"/>
    <row r="4" spans="3:14" ht="16.5" thickTop="1" thickBot="1" x14ac:dyDescent="0.3">
      <c r="C4" s="125" t="str">
        <f>HLOOKUP(E2,C32:Z59,27,0)</f>
        <v>SELECT GMT</v>
      </c>
      <c r="D4" s="125"/>
      <c r="E4" s="126" t="s">
        <v>98</v>
      </c>
      <c r="F4" s="126"/>
      <c r="G4" s="126"/>
      <c r="H4" s="126"/>
      <c r="I4" s="126"/>
      <c r="J4" s="126"/>
      <c r="K4" s="126"/>
      <c r="L4" s="126"/>
      <c r="M4" s="126"/>
      <c r="N4" s="126"/>
    </row>
    <row r="5" spans="3:14" ht="16.5" thickTop="1" thickBot="1" x14ac:dyDescent="0.3">
      <c r="E5" s="10"/>
      <c r="F5" s="10"/>
      <c r="G5" s="10"/>
      <c r="H5" s="10"/>
      <c r="I5" s="10"/>
      <c r="J5" s="10"/>
      <c r="K5" s="10"/>
      <c r="L5" s="10"/>
      <c r="M5" s="10"/>
      <c r="N5" s="10"/>
    </row>
    <row r="6" spans="3:14" ht="16.5" thickTop="1" thickBot="1" x14ac:dyDescent="0.3">
      <c r="C6" s="19" t="str">
        <f>HLOOKUP('CÀI ĐẶT'!E2,'CÀI ĐẶT'!C32:Z105,72,0)</f>
        <v>TEAMS</v>
      </c>
      <c r="D6" s="20"/>
      <c r="E6" s="21"/>
      <c r="F6" s="21"/>
      <c r="G6" s="22"/>
      <c r="H6" s="10"/>
      <c r="I6" s="10"/>
      <c r="J6" s="10"/>
      <c r="K6" s="10"/>
      <c r="L6" s="10"/>
      <c r="M6" s="10"/>
      <c r="N6" s="10"/>
    </row>
    <row r="7" spans="3:14" ht="16.5" thickTop="1" x14ac:dyDescent="0.25">
      <c r="C7" s="30" t="str">
        <f>HLOOKUP('CÀI ĐẶT'!$E$2,'CÀI ĐẶT'!$C$32:$Z$56,2,0)</f>
        <v>INDIA</v>
      </c>
      <c r="D7" s="33">
        <v>2</v>
      </c>
      <c r="E7" s="23"/>
      <c r="F7" s="23"/>
      <c r="G7" s="25"/>
      <c r="H7" s="110">
        <f t="shared" ref="H7:H30" si="0">D7*1+E7*3+F7*3+G7*4</f>
        <v>2</v>
      </c>
      <c r="I7" s="10"/>
      <c r="J7" s="10"/>
      <c r="K7" s="10"/>
      <c r="L7" s="10"/>
      <c r="M7" s="10"/>
      <c r="N7" s="10"/>
    </row>
    <row r="8" spans="3:14" ht="15.75" x14ac:dyDescent="0.25">
      <c r="C8" s="31" t="str">
        <f>HLOOKUP('CÀI ĐẶT'!$E$2,'CÀI ĐẶT'!$C$32:$Z$56,3,0)</f>
        <v>BAHRAIN</v>
      </c>
      <c r="D8" s="2">
        <v>2</v>
      </c>
      <c r="E8" s="24"/>
      <c r="F8" s="24"/>
      <c r="G8" s="26"/>
      <c r="H8" s="110">
        <f t="shared" si="0"/>
        <v>2</v>
      </c>
      <c r="I8" s="10"/>
      <c r="J8" s="10"/>
      <c r="K8" s="10"/>
      <c r="L8" s="10"/>
      <c r="M8" s="10"/>
      <c r="N8" s="10"/>
    </row>
    <row r="9" spans="3:14" ht="15.75" x14ac:dyDescent="0.25">
      <c r="C9" s="31" t="str">
        <f>HLOOKUP('CÀI ĐẶT'!$E$2,'CÀI ĐẶT'!$C$32:$Z$56,4,0)</f>
        <v>UNITED ARAB EMIRATES</v>
      </c>
      <c r="D9" s="2">
        <v>3</v>
      </c>
      <c r="E9" s="24"/>
      <c r="F9" s="24"/>
      <c r="G9" s="26"/>
      <c r="H9" s="110">
        <f t="shared" si="0"/>
        <v>3</v>
      </c>
      <c r="I9" s="10"/>
      <c r="J9" s="10"/>
      <c r="K9" s="10"/>
      <c r="L9" s="10"/>
      <c r="M9" s="10"/>
      <c r="N9" s="10"/>
    </row>
    <row r="10" spans="3:14" ht="15.75" x14ac:dyDescent="0.25">
      <c r="C10" s="31" t="str">
        <f>HLOOKUP('CÀI ĐẶT'!$E$2,'CÀI ĐẶT'!$C$32:$Z$56,5,0)</f>
        <v>THAILAND</v>
      </c>
      <c r="D10" s="2">
        <v>7</v>
      </c>
      <c r="E10" s="24"/>
      <c r="F10" s="24"/>
      <c r="G10" s="26"/>
      <c r="H10" s="110">
        <f t="shared" si="0"/>
        <v>7</v>
      </c>
      <c r="I10" s="10"/>
      <c r="J10" s="10"/>
      <c r="K10" s="10"/>
      <c r="L10" s="10"/>
      <c r="M10" s="10"/>
      <c r="N10" s="10"/>
    </row>
    <row r="11" spans="3:14" ht="15.75" x14ac:dyDescent="0.25">
      <c r="C11" s="31" t="str">
        <f>HLOOKUP('CÀI ĐẶT'!$E$2,'CÀI ĐẶT'!$C$32:$Z$56,6,0)</f>
        <v>AUSTRALIA</v>
      </c>
      <c r="D11" s="2">
        <v>4</v>
      </c>
      <c r="E11" s="24"/>
      <c r="F11" s="24"/>
      <c r="G11" s="26"/>
      <c r="H11" s="110">
        <f t="shared" si="0"/>
        <v>4</v>
      </c>
      <c r="I11" s="10"/>
      <c r="J11" s="10"/>
      <c r="K11" s="10"/>
      <c r="L11" s="10"/>
      <c r="M11" s="10"/>
      <c r="N11" s="10"/>
    </row>
    <row r="12" spans="3:14" ht="15.75" x14ac:dyDescent="0.25">
      <c r="C12" s="31" t="str">
        <f>HLOOKUP('CÀI ĐẶT'!$E$2,'CÀI ĐẶT'!$C$32:$Z$56,7,0)</f>
        <v>JORDAN</v>
      </c>
      <c r="D12" s="2">
        <v>4</v>
      </c>
      <c r="E12" s="24"/>
      <c r="F12" s="24"/>
      <c r="G12" s="26"/>
      <c r="H12" s="110">
        <f t="shared" si="0"/>
        <v>4</v>
      </c>
      <c r="I12" s="10"/>
      <c r="J12" s="10"/>
      <c r="K12" s="10"/>
      <c r="L12" s="10"/>
      <c r="M12" s="10"/>
      <c r="N12" s="10"/>
    </row>
    <row r="13" spans="3:14" ht="15.75" x14ac:dyDescent="0.25">
      <c r="C13" s="31" t="str">
        <f>HLOOKUP('CÀI ĐẶT'!$E$2,'CÀI ĐẶT'!$C$32:$Z$56,8,0)</f>
        <v>PALESTINE</v>
      </c>
      <c r="D13" s="2">
        <v>5</v>
      </c>
      <c r="E13" s="24">
        <v>1</v>
      </c>
      <c r="F13" s="24"/>
      <c r="G13" s="26"/>
      <c r="H13" s="110">
        <f t="shared" si="0"/>
        <v>8</v>
      </c>
      <c r="I13" s="10"/>
      <c r="J13" s="10"/>
      <c r="K13" s="10"/>
      <c r="L13" s="10"/>
      <c r="M13" s="10"/>
      <c r="N13" s="10"/>
    </row>
    <row r="14" spans="3:14" ht="15.75" x14ac:dyDescent="0.25">
      <c r="C14" s="31" t="str">
        <f>HLOOKUP('CÀI ĐẶT'!$E$2,'CÀI ĐẶT'!$C$32:$Z$56,9,0)</f>
        <v>SYRIA</v>
      </c>
      <c r="D14" s="2">
        <v>6</v>
      </c>
      <c r="E14" s="24"/>
      <c r="F14" s="24"/>
      <c r="G14" s="26"/>
      <c r="H14" s="110">
        <f t="shared" si="0"/>
        <v>6</v>
      </c>
      <c r="I14" s="10"/>
      <c r="J14" s="10"/>
      <c r="K14" s="10"/>
      <c r="L14" s="10"/>
      <c r="M14" s="10"/>
      <c r="N14" s="10"/>
    </row>
    <row r="15" spans="3:14" ht="15.75" x14ac:dyDescent="0.25">
      <c r="C15" s="31" t="str">
        <f>HLOOKUP('CÀI ĐẶT'!$E$2,'CÀI ĐẶT'!$C$32:$Z$56,10,0)</f>
        <v>CHINA P.R.</v>
      </c>
      <c r="D15" s="2">
        <v>5</v>
      </c>
      <c r="E15" s="24"/>
      <c r="F15" s="24"/>
      <c r="G15" s="26"/>
      <c r="H15" s="110">
        <f t="shared" si="0"/>
        <v>5</v>
      </c>
      <c r="I15" s="10"/>
      <c r="J15" s="10"/>
      <c r="K15" s="10"/>
      <c r="L15" s="10"/>
      <c r="M15" s="10"/>
      <c r="N15" s="10"/>
    </row>
    <row r="16" spans="3:14" ht="15.75" x14ac:dyDescent="0.25">
      <c r="C16" s="31" t="str">
        <f>HLOOKUP('CÀI ĐẶT'!$E$2,'CÀI ĐẶT'!$C$32:$Z$56,11,0)</f>
        <v>KOREA REPUBLIC</v>
      </c>
      <c r="D16" s="2">
        <v>4</v>
      </c>
      <c r="E16" s="24"/>
      <c r="F16" s="24"/>
      <c r="G16" s="26"/>
      <c r="H16" s="110">
        <f t="shared" si="0"/>
        <v>4</v>
      </c>
      <c r="I16" s="10"/>
      <c r="J16" s="10"/>
      <c r="K16" s="10"/>
      <c r="L16" s="10"/>
      <c r="M16" s="10"/>
      <c r="N16" s="10"/>
    </row>
    <row r="17" spans="2:14" ht="15.75" x14ac:dyDescent="0.25">
      <c r="C17" s="31" t="str">
        <f>HLOOKUP('CÀI ĐẶT'!$E$2,'CÀI ĐẶT'!$C$32:$Z$56,12,0)</f>
        <v>KYRGYZSTAN</v>
      </c>
      <c r="D17" s="2">
        <v>5</v>
      </c>
      <c r="E17" s="24"/>
      <c r="F17" s="24"/>
      <c r="G17" s="26"/>
      <c r="H17" s="110">
        <f t="shared" si="0"/>
        <v>5</v>
      </c>
      <c r="I17" s="10"/>
      <c r="J17" s="10"/>
      <c r="K17" s="10"/>
      <c r="L17" s="10"/>
      <c r="M17" s="10"/>
      <c r="N17" s="10"/>
    </row>
    <row r="18" spans="2:14" ht="15.75" x14ac:dyDescent="0.25">
      <c r="C18" s="31" t="str">
        <f>HLOOKUP('CÀI ĐẶT'!$E$2,'CÀI ĐẶT'!$C$32:$Z$56,13,0)</f>
        <v>PHILIPPINES</v>
      </c>
      <c r="D18" s="2">
        <v>8</v>
      </c>
      <c r="E18" s="24"/>
      <c r="F18" s="24"/>
      <c r="G18" s="26"/>
      <c r="H18" s="110">
        <f t="shared" si="0"/>
        <v>8</v>
      </c>
      <c r="I18" s="10"/>
      <c r="J18" s="10"/>
      <c r="K18" s="10"/>
      <c r="L18" s="10"/>
      <c r="M18" s="10"/>
      <c r="N18" s="10"/>
    </row>
    <row r="19" spans="2:14" ht="15.75" x14ac:dyDescent="0.25">
      <c r="C19" s="31" t="str">
        <f>HLOOKUP('CÀI ĐẶT'!$E$2,'CÀI ĐẶT'!$C$32:$Z$56,14,0)</f>
        <v>IRAQ</v>
      </c>
      <c r="D19" s="2">
        <v>4</v>
      </c>
      <c r="E19" s="24"/>
      <c r="F19" s="24"/>
      <c r="G19" s="26"/>
      <c r="H19" s="110">
        <f t="shared" si="0"/>
        <v>4</v>
      </c>
      <c r="I19" s="10"/>
      <c r="J19" s="10"/>
      <c r="K19" s="10"/>
      <c r="L19" s="10"/>
      <c r="M19" s="10"/>
      <c r="N19" s="10"/>
    </row>
    <row r="20" spans="2:14" ht="15.75" x14ac:dyDescent="0.25">
      <c r="C20" s="31" t="str">
        <f>HLOOKUP('CÀI ĐẶT'!$E$2,'CÀI ĐẶT'!$C$32:$Z$56,15,0)</f>
        <v>IRAN</v>
      </c>
      <c r="D20" s="2">
        <v>5</v>
      </c>
      <c r="E20" s="24"/>
      <c r="F20" s="24"/>
      <c r="G20" s="26"/>
      <c r="H20" s="110">
        <f t="shared" si="0"/>
        <v>5</v>
      </c>
      <c r="I20" s="10"/>
      <c r="J20" s="10"/>
      <c r="K20" s="10"/>
      <c r="L20" s="10"/>
      <c r="M20" s="10"/>
      <c r="N20" s="10"/>
    </row>
    <row r="21" spans="2:14" ht="15.75" x14ac:dyDescent="0.25">
      <c r="C21" s="31" t="str">
        <f>HLOOKUP('CÀI ĐẶT'!$E$2,'CÀI ĐẶT'!$C$32:$Z$56,16,0)</f>
        <v>VIETNAM</v>
      </c>
      <c r="D21" s="2">
        <v>5</v>
      </c>
      <c r="E21" s="24"/>
      <c r="F21" s="24"/>
      <c r="G21" s="26"/>
      <c r="H21" s="110">
        <f t="shared" si="0"/>
        <v>5</v>
      </c>
      <c r="I21" s="10"/>
      <c r="J21" s="10"/>
      <c r="K21" s="10"/>
      <c r="L21" s="10"/>
      <c r="M21" s="10"/>
      <c r="N21" s="10"/>
    </row>
    <row r="22" spans="2:14" ht="15.75" x14ac:dyDescent="0.25">
      <c r="C22" s="31" t="str">
        <f>HLOOKUP('CÀI ĐẶT'!$E$2,'CÀI ĐẶT'!$C$32:$Z$56,17,0)</f>
        <v>YEMEN</v>
      </c>
      <c r="D22" s="2">
        <v>8</v>
      </c>
      <c r="E22" s="24"/>
      <c r="F22" s="24"/>
      <c r="G22" s="26"/>
      <c r="H22" s="110">
        <f t="shared" si="0"/>
        <v>8</v>
      </c>
      <c r="I22" s="10"/>
      <c r="J22" s="10"/>
      <c r="K22" s="10"/>
      <c r="L22" s="10"/>
      <c r="M22" s="10"/>
      <c r="N22" s="10"/>
    </row>
    <row r="23" spans="2:14" ht="15.75" x14ac:dyDescent="0.25">
      <c r="C23" s="31" t="str">
        <f>HLOOKUP('CÀI ĐẶT'!$E$2,'CÀI ĐẶT'!$C$32:$Z$56,18,0)</f>
        <v>DPR KOREA</v>
      </c>
      <c r="D23" s="2">
        <v>11</v>
      </c>
      <c r="E23" s="24">
        <v>2</v>
      </c>
      <c r="F23" s="24"/>
      <c r="G23" s="26"/>
      <c r="H23" s="110">
        <f t="shared" si="0"/>
        <v>17</v>
      </c>
      <c r="I23" s="10"/>
      <c r="J23" s="10"/>
      <c r="K23" s="10"/>
      <c r="L23" s="10"/>
      <c r="M23" s="10"/>
      <c r="N23" s="10"/>
    </row>
    <row r="24" spans="2:14" ht="15.75" x14ac:dyDescent="0.25">
      <c r="C24" s="31" t="str">
        <f>HLOOKUP('CÀI ĐẶT'!$E$2,'CÀI ĐẶT'!$C$32:$Z$56,19,0)</f>
        <v>LEBANON</v>
      </c>
      <c r="D24" s="2">
        <v>7</v>
      </c>
      <c r="E24" s="24"/>
      <c r="F24" s="24"/>
      <c r="G24" s="26"/>
      <c r="H24" s="110">
        <f t="shared" si="0"/>
        <v>7</v>
      </c>
      <c r="I24" s="10"/>
      <c r="J24" s="10"/>
      <c r="K24" s="10"/>
      <c r="L24" s="10"/>
      <c r="M24" s="10"/>
      <c r="N24" s="10"/>
    </row>
    <row r="25" spans="2:14" ht="15.75" x14ac:dyDescent="0.25">
      <c r="C25" s="31" t="str">
        <f>HLOOKUP('CÀI ĐẶT'!$E$2,'CÀI ĐẶT'!$C$32:$Z$56,20,0)</f>
        <v>QATAR</v>
      </c>
      <c r="D25" s="2">
        <v>4</v>
      </c>
      <c r="E25" s="24"/>
      <c r="F25" s="24"/>
      <c r="G25" s="26"/>
      <c r="H25" s="110">
        <f t="shared" si="0"/>
        <v>4</v>
      </c>
      <c r="I25" s="10"/>
      <c r="J25" s="10"/>
      <c r="K25" s="10"/>
      <c r="L25" s="10"/>
      <c r="M25" s="10"/>
      <c r="N25" s="10"/>
    </row>
    <row r="26" spans="2:14" ht="15.75" x14ac:dyDescent="0.25">
      <c r="C26" s="31" t="str">
        <f>HLOOKUP('CÀI ĐẶT'!$E$2,'CÀI ĐẶT'!$C$32:$Z$56,21,0)</f>
        <v>SAUDI ARABIA</v>
      </c>
      <c r="D26" s="2">
        <v>5</v>
      </c>
      <c r="E26" s="24"/>
      <c r="F26" s="24"/>
      <c r="G26" s="26"/>
      <c r="H26" s="110">
        <f t="shared" si="0"/>
        <v>5</v>
      </c>
      <c r="I26" s="10"/>
      <c r="J26" s="10"/>
      <c r="K26" s="10"/>
      <c r="L26" s="10"/>
      <c r="M26" s="10"/>
      <c r="N26" s="10"/>
    </row>
    <row r="27" spans="2:14" ht="15.75" x14ac:dyDescent="0.25">
      <c r="C27" s="31" t="str">
        <f>HLOOKUP('CÀI ĐẶT'!$E$2,'CÀI ĐẶT'!$C$32:$Z$56,22,0)</f>
        <v>JAPAN</v>
      </c>
      <c r="D27" s="2">
        <v>6</v>
      </c>
      <c r="E27" s="24"/>
      <c r="F27" s="24"/>
      <c r="G27" s="26"/>
      <c r="H27" s="110">
        <f t="shared" si="0"/>
        <v>6</v>
      </c>
      <c r="I27" s="10"/>
      <c r="J27" s="10"/>
      <c r="K27" s="10"/>
      <c r="L27" s="10"/>
      <c r="M27" s="10"/>
      <c r="N27" s="10"/>
    </row>
    <row r="28" spans="2:14" ht="15.75" x14ac:dyDescent="0.25">
      <c r="C28" s="31" t="str">
        <f>HLOOKUP('CÀI ĐẶT'!$E$2,'CÀI ĐẶT'!$C$32:$Z$56,23,0)</f>
        <v>OMAN</v>
      </c>
      <c r="D28" s="2">
        <v>6</v>
      </c>
      <c r="E28" s="24"/>
      <c r="F28" s="24"/>
      <c r="G28" s="26"/>
      <c r="H28" s="110">
        <f t="shared" si="0"/>
        <v>6</v>
      </c>
      <c r="I28" s="10"/>
      <c r="J28" s="10"/>
      <c r="K28" s="10"/>
      <c r="L28" s="10"/>
      <c r="M28" s="10"/>
      <c r="N28" s="10"/>
    </row>
    <row r="29" spans="2:14" ht="15.75" x14ac:dyDescent="0.25">
      <c r="C29" s="31" t="str">
        <f>HLOOKUP('CÀI ĐẶT'!$E$2,'CÀI ĐẶT'!$C$32:$Z$56,24,0)</f>
        <v>TURKMENISTAN</v>
      </c>
      <c r="D29" s="2">
        <v>6</v>
      </c>
      <c r="E29" s="24"/>
      <c r="F29" s="24"/>
      <c r="G29" s="26"/>
      <c r="H29" s="110">
        <f t="shared" si="0"/>
        <v>6</v>
      </c>
      <c r="I29" s="10"/>
      <c r="J29" s="10"/>
      <c r="K29" s="10"/>
      <c r="L29" s="10"/>
      <c r="M29" s="10"/>
      <c r="N29" s="10"/>
    </row>
    <row r="30" spans="2:14" ht="16.5" thickBot="1" x14ac:dyDescent="0.3">
      <c r="C30" s="32" t="str">
        <f>HLOOKUP('CÀI ĐẶT'!$E$2,'CÀI ĐẶT'!$C$32:$Z$56,25,0)</f>
        <v>UZBEKISTAN</v>
      </c>
      <c r="D30" s="34">
        <v>5</v>
      </c>
      <c r="E30" s="27"/>
      <c r="F30" s="27">
        <v>1</v>
      </c>
      <c r="G30" s="28"/>
      <c r="H30" s="110">
        <f t="shared" si="0"/>
        <v>8</v>
      </c>
      <c r="I30" s="10"/>
      <c r="J30" s="10"/>
      <c r="K30" s="10"/>
      <c r="L30" s="10"/>
      <c r="M30" s="10"/>
      <c r="N30" s="10"/>
    </row>
    <row r="31" spans="2:14" ht="15.75" thickTop="1" x14ac:dyDescent="0.25">
      <c r="E31" s="10"/>
      <c r="F31" s="10"/>
      <c r="G31" s="10"/>
      <c r="H31" s="10"/>
      <c r="I31" s="10"/>
      <c r="J31" s="10"/>
      <c r="K31" s="10"/>
      <c r="L31" s="10"/>
      <c r="M31" s="10"/>
      <c r="N31" s="10"/>
    </row>
    <row r="32" spans="2:14" x14ac:dyDescent="0.25">
      <c r="B32" s="105">
        <v>1</v>
      </c>
      <c r="C32" s="106" t="s">
        <v>0</v>
      </c>
      <c r="D32" s="105" t="s">
        <v>1</v>
      </c>
      <c r="E32" s="105" t="s">
        <v>139</v>
      </c>
      <c r="F32" s="105" t="s">
        <v>187</v>
      </c>
      <c r="G32" s="105" t="s">
        <v>237</v>
      </c>
    </row>
    <row r="33" spans="2:27" x14ac:dyDescent="0.25">
      <c r="B33" s="105">
        <v>2</v>
      </c>
      <c r="C33" s="106" t="s">
        <v>8</v>
      </c>
      <c r="D33" s="105" t="s">
        <v>9</v>
      </c>
      <c r="E33" s="105" t="s">
        <v>140</v>
      </c>
      <c r="F33" s="105" t="s">
        <v>188</v>
      </c>
      <c r="G33" s="105" t="s">
        <v>238</v>
      </c>
      <c r="AA33" s="1"/>
    </row>
    <row r="34" spans="2:27" x14ac:dyDescent="0.25">
      <c r="B34" s="105">
        <v>3</v>
      </c>
      <c r="C34" s="106" t="s">
        <v>3</v>
      </c>
      <c r="D34" s="105" t="s">
        <v>312</v>
      </c>
      <c r="E34" s="105" t="s">
        <v>141</v>
      </c>
      <c r="F34" s="105" t="s">
        <v>189</v>
      </c>
      <c r="G34" s="105" t="s">
        <v>239</v>
      </c>
      <c r="AA34" s="1"/>
    </row>
    <row r="35" spans="2:27" x14ac:dyDescent="0.25">
      <c r="B35" s="105">
        <v>4</v>
      </c>
      <c r="C35" s="106" t="s">
        <v>325</v>
      </c>
      <c r="D35" s="105" t="s">
        <v>313</v>
      </c>
      <c r="E35" s="105" t="s">
        <v>241</v>
      </c>
      <c r="F35" s="105" t="s">
        <v>198</v>
      </c>
      <c r="G35" s="105" t="s">
        <v>240</v>
      </c>
      <c r="AA35" s="1"/>
    </row>
    <row r="36" spans="2:27" x14ac:dyDescent="0.25">
      <c r="B36" s="105">
        <v>5</v>
      </c>
      <c r="C36" s="106" t="s">
        <v>18</v>
      </c>
      <c r="D36" s="105" t="s">
        <v>17</v>
      </c>
      <c r="E36" s="105" t="s">
        <v>142</v>
      </c>
      <c r="F36" s="105" t="s">
        <v>199</v>
      </c>
      <c r="G36" s="105" t="s">
        <v>242</v>
      </c>
      <c r="AA36" s="1"/>
    </row>
    <row r="37" spans="2:27" x14ac:dyDescent="0.25">
      <c r="B37" s="105">
        <v>6</v>
      </c>
      <c r="C37" s="106" t="s">
        <v>4</v>
      </c>
      <c r="D37" s="105" t="s">
        <v>5</v>
      </c>
      <c r="E37" s="105" t="s">
        <v>143</v>
      </c>
      <c r="F37" s="105" t="s">
        <v>200</v>
      </c>
      <c r="G37" s="105" t="s">
        <v>243</v>
      </c>
      <c r="AA37" s="1"/>
    </row>
    <row r="38" spans="2:27" x14ac:dyDescent="0.25">
      <c r="B38" s="105">
        <v>7</v>
      </c>
      <c r="C38" s="106" t="s">
        <v>12</v>
      </c>
      <c r="D38" s="105" t="s">
        <v>314</v>
      </c>
      <c r="E38" s="105" t="s">
        <v>144</v>
      </c>
      <c r="F38" s="105" t="s">
        <v>201</v>
      </c>
      <c r="G38" s="105" t="s">
        <v>244</v>
      </c>
      <c r="AA38" s="1"/>
    </row>
    <row r="39" spans="2:27" x14ac:dyDescent="0.25">
      <c r="B39" s="105">
        <v>8</v>
      </c>
      <c r="C39" s="106" t="s">
        <v>20</v>
      </c>
      <c r="D39" s="105" t="s">
        <v>20</v>
      </c>
      <c r="E39" s="105" t="s">
        <v>145</v>
      </c>
      <c r="F39" s="105" t="s">
        <v>202</v>
      </c>
      <c r="G39" s="105" t="s">
        <v>245</v>
      </c>
      <c r="AA39" s="1"/>
    </row>
    <row r="40" spans="2:27" x14ac:dyDescent="0.25">
      <c r="B40" s="105">
        <v>9</v>
      </c>
      <c r="C40" s="106" t="s">
        <v>19</v>
      </c>
      <c r="D40" s="105" t="s">
        <v>315</v>
      </c>
      <c r="E40" s="105" t="s">
        <v>146</v>
      </c>
      <c r="F40" s="105" t="s">
        <v>203</v>
      </c>
      <c r="G40" s="105" t="s">
        <v>246</v>
      </c>
      <c r="AA40" s="1"/>
    </row>
    <row r="41" spans="2:27" x14ac:dyDescent="0.25">
      <c r="B41" s="105">
        <v>10</v>
      </c>
      <c r="C41" s="106" t="s">
        <v>2</v>
      </c>
      <c r="D41" s="105" t="s">
        <v>6</v>
      </c>
      <c r="E41" s="105" t="s">
        <v>147</v>
      </c>
      <c r="F41" s="105" t="s">
        <v>204</v>
      </c>
      <c r="G41" s="105" t="s">
        <v>247</v>
      </c>
      <c r="AA41" s="1"/>
    </row>
    <row r="42" spans="2:27" x14ac:dyDescent="0.25">
      <c r="B42" s="105">
        <v>11</v>
      </c>
      <c r="C42" s="106" t="s">
        <v>13</v>
      </c>
      <c r="D42" s="105" t="s">
        <v>14</v>
      </c>
      <c r="E42" s="105" t="s">
        <v>148</v>
      </c>
      <c r="F42" s="105" t="s">
        <v>205</v>
      </c>
      <c r="G42" s="105" t="s">
        <v>248</v>
      </c>
      <c r="AA42" s="1"/>
    </row>
    <row r="43" spans="2:27" x14ac:dyDescent="0.25">
      <c r="B43" s="105">
        <v>12</v>
      </c>
      <c r="C43" s="106" t="s">
        <v>15</v>
      </c>
      <c r="D43" s="105" t="s">
        <v>311</v>
      </c>
      <c r="E43" s="105" t="s">
        <v>149</v>
      </c>
      <c r="F43" s="105" t="s">
        <v>206</v>
      </c>
      <c r="G43" s="105" t="s">
        <v>249</v>
      </c>
      <c r="AA43" s="1"/>
    </row>
    <row r="44" spans="2:27" x14ac:dyDescent="0.25">
      <c r="B44" s="105">
        <v>13</v>
      </c>
      <c r="C44" s="106" t="s">
        <v>23</v>
      </c>
      <c r="D44" s="105" t="s">
        <v>316</v>
      </c>
      <c r="E44" s="105" t="s">
        <v>150</v>
      </c>
      <c r="F44" s="105" t="s">
        <v>207</v>
      </c>
      <c r="G44" s="105" t="s">
        <v>250</v>
      </c>
      <c r="AA44" s="1"/>
    </row>
    <row r="45" spans="2:27" x14ac:dyDescent="0.25">
      <c r="B45" s="105">
        <v>14</v>
      </c>
      <c r="C45" s="106" t="s">
        <v>10</v>
      </c>
      <c r="D45" s="105" t="s">
        <v>317</v>
      </c>
      <c r="E45" s="105" t="s">
        <v>152</v>
      </c>
      <c r="F45" s="105" t="s">
        <v>208</v>
      </c>
      <c r="G45" s="105" t="s">
        <v>251</v>
      </c>
      <c r="AA45" s="1"/>
    </row>
    <row r="46" spans="2:27" x14ac:dyDescent="0.25">
      <c r="B46" s="105">
        <v>15</v>
      </c>
      <c r="C46" s="106" t="s">
        <v>11</v>
      </c>
      <c r="D46" s="105" t="s">
        <v>324</v>
      </c>
      <c r="E46" s="105" t="s">
        <v>151</v>
      </c>
      <c r="F46" s="105" t="s">
        <v>209</v>
      </c>
      <c r="G46" s="105" t="s">
        <v>252</v>
      </c>
      <c r="AA46" s="1"/>
    </row>
    <row r="47" spans="2:27" x14ac:dyDescent="0.25">
      <c r="B47" s="105">
        <v>16</v>
      </c>
      <c r="C47" s="106" t="s">
        <v>24</v>
      </c>
      <c r="D47" s="105" t="s">
        <v>25</v>
      </c>
      <c r="E47" s="105" t="s">
        <v>153</v>
      </c>
      <c r="F47" s="105" t="s">
        <v>210</v>
      </c>
      <c r="G47" s="105" t="s">
        <v>253</v>
      </c>
      <c r="AA47" s="1"/>
    </row>
    <row r="48" spans="2:27" x14ac:dyDescent="0.25">
      <c r="B48" s="105">
        <v>17</v>
      </c>
      <c r="C48" s="106" t="s">
        <v>26</v>
      </c>
      <c r="D48" s="105" t="s">
        <v>318</v>
      </c>
      <c r="E48" s="105" t="s">
        <v>154</v>
      </c>
      <c r="F48" s="105" t="s">
        <v>211</v>
      </c>
      <c r="G48" s="105" t="s">
        <v>254</v>
      </c>
      <c r="AA48" s="1"/>
    </row>
    <row r="49" spans="2:27" x14ac:dyDescent="0.25">
      <c r="B49" s="105">
        <v>18</v>
      </c>
      <c r="C49" s="106" t="s">
        <v>7</v>
      </c>
      <c r="D49" s="105" t="s">
        <v>83</v>
      </c>
      <c r="E49" s="105" t="s">
        <v>155</v>
      </c>
      <c r="F49" s="105" t="s">
        <v>212</v>
      </c>
      <c r="G49" s="105" t="s">
        <v>255</v>
      </c>
      <c r="AA49" s="1"/>
    </row>
    <row r="50" spans="2:27" x14ac:dyDescent="0.25">
      <c r="B50" s="105">
        <v>19</v>
      </c>
      <c r="C50" s="106" t="s">
        <v>16</v>
      </c>
      <c r="D50" s="105" t="s">
        <v>319</v>
      </c>
      <c r="E50" s="105" t="s">
        <v>156</v>
      </c>
      <c r="F50" s="105" t="s">
        <v>213</v>
      </c>
      <c r="G50" s="105" t="s">
        <v>256</v>
      </c>
      <c r="AA50" s="1"/>
    </row>
    <row r="51" spans="2:27" x14ac:dyDescent="0.25">
      <c r="B51" s="105">
        <v>20</v>
      </c>
      <c r="C51" s="106" t="s">
        <v>27</v>
      </c>
      <c r="D51" s="105" t="s">
        <v>320</v>
      </c>
      <c r="E51" s="105" t="s">
        <v>157</v>
      </c>
      <c r="F51" s="105" t="s">
        <v>214</v>
      </c>
      <c r="G51" s="105" t="s">
        <v>257</v>
      </c>
      <c r="AA51" s="1"/>
    </row>
    <row r="52" spans="2:27" x14ac:dyDescent="0.25">
      <c r="B52" s="105">
        <v>21</v>
      </c>
      <c r="C52" s="106" t="s">
        <v>28</v>
      </c>
      <c r="D52" s="105" t="s">
        <v>29</v>
      </c>
      <c r="E52" s="105" t="s">
        <v>158</v>
      </c>
      <c r="F52" s="105" t="s">
        <v>215</v>
      </c>
      <c r="G52" s="105" t="s">
        <v>258</v>
      </c>
      <c r="AA52" s="1"/>
    </row>
    <row r="53" spans="2:27" x14ac:dyDescent="0.25">
      <c r="B53" s="105">
        <v>22</v>
      </c>
      <c r="C53" s="106" t="s">
        <v>31</v>
      </c>
      <c r="D53" s="105" t="s">
        <v>30</v>
      </c>
      <c r="E53" s="105" t="s">
        <v>159</v>
      </c>
      <c r="F53" s="105" t="s">
        <v>216</v>
      </c>
      <c r="G53" s="105" t="s">
        <v>259</v>
      </c>
      <c r="AA53" s="1"/>
    </row>
    <row r="54" spans="2:27" x14ac:dyDescent="0.25">
      <c r="B54" s="105">
        <v>23</v>
      </c>
      <c r="C54" s="106" t="s">
        <v>32</v>
      </c>
      <c r="D54" s="105" t="s">
        <v>321</v>
      </c>
      <c r="E54" s="105" t="s">
        <v>160</v>
      </c>
      <c r="F54" s="105" t="s">
        <v>217</v>
      </c>
      <c r="G54" s="105" t="s">
        <v>260</v>
      </c>
      <c r="AA54" s="1"/>
    </row>
    <row r="55" spans="2:27" x14ac:dyDescent="0.25">
      <c r="B55" s="105">
        <v>24</v>
      </c>
      <c r="C55" s="106" t="s">
        <v>33</v>
      </c>
      <c r="D55" s="105" t="s">
        <v>322</v>
      </c>
      <c r="E55" s="105" t="s">
        <v>161</v>
      </c>
      <c r="F55" s="105" t="s">
        <v>218</v>
      </c>
      <c r="G55" s="105" t="s">
        <v>261</v>
      </c>
      <c r="AA55" s="1"/>
    </row>
    <row r="56" spans="2:27" x14ac:dyDescent="0.25">
      <c r="B56" s="105">
        <v>25</v>
      </c>
      <c r="C56" s="106" t="s">
        <v>34</v>
      </c>
      <c r="D56" s="105" t="s">
        <v>323</v>
      </c>
      <c r="E56" s="105" t="s">
        <v>162</v>
      </c>
      <c r="F56" s="105" t="s">
        <v>219</v>
      </c>
      <c r="G56" s="105" t="s">
        <v>262</v>
      </c>
      <c r="AA56" s="1"/>
    </row>
    <row r="57" spans="2:27" x14ac:dyDescent="0.25">
      <c r="B57" s="105">
        <v>26</v>
      </c>
      <c r="C57" s="106" t="s">
        <v>82</v>
      </c>
      <c r="D57" s="105" t="s">
        <v>41</v>
      </c>
      <c r="E57" s="105" t="s">
        <v>163</v>
      </c>
      <c r="F57" s="105" t="s">
        <v>220</v>
      </c>
      <c r="G57" s="105" t="s">
        <v>264</v>
      </c>
    </row>
    <row r="58" spans="2:27" x14ac:dyDescent="0.25">
      <c r="B58" s="105">
        <v>27</v>
      </c>
      <c r="C58" s="106" t="s">
        <v>131</v>
      </c>
      <c r="D58" s="105" t="s">
        <v>132</v>
      </c>
      <c r="E58" s="105" t="s">
        <v>164</v>
      </c>
      <c r="F58" s="105" t="s">
        <v>221</v>
      </c>
      <c r="G58" s="105" t="s">
        <v>265</v>
      </c>
    </row>
    <row r="59" spans="2:27" x14ac:dyDescent="0.25">
      <c r="B59" s="105">
        <v>28</v>
      </c>
      <c r="C59" s="107" t="s">
        <v>122</v>
      </c>
      <c r="D59" s="108">
        <v>-12</v>
      </c>
      <c r="E59" s="109">
        <v>0.5</v>
      </c>
      <c r="F59" s="105"/>
      <c r="G59" s="105"/>
    </row>
    <row r="60" spans="2:27" x14ac:dyDescent="0.25">
      <c r="B60" s="105">
        <v>29</v>
      </c>
      <c r="C60" s="107" t="s">
        <v>121</v>
      </c>
      <c r="D60" s="108">
        <v>-11</v>
      </c>
      <c r="E60" s="109">
        <v>0.45833333333333331</v>
      </c>
      <c r="F60" s="105"/>
      <c r="G60" s="105"/>
    </row>
    <row r="61" spans="2:27" x14ac:dyDescent="0.25">
      <c r="B61" s="105">
        <v>30</v>
      </c>
      <c r="C61" s="107" t="s">
        <v>120</v>
      </c>
      <c r="D61" s="108">
        <v>-10</v>
      </c>
      <c r="E61" s="109">
        <v>0.41666666666666702</v>
      </c>
      <c r="F61" s="105"/>
      <c r="G61" s="105"/>
    </row>
    <row r="62" spans="2:27" x14ac:dyDescent="0.25">
      <c r="B62" s="105">
        <v>31</v>
      </c>
      <c r="C62" s="107" t="s">
        <v>119</v>
      </c>
      <c r="D62" s="108">
        <v>-9</v>
      </c>
      <c r="E62" s="109">
        <v>0.375</v>
      </c>
      <c r="F62" s="105"/>
      <c r="G62" s="105"/>
    </row>
    <row r="63" spans="2:27" x14ac:dyDescent="0.25">
      <c r="B63" s="105">
        <v>32</v>
      </c>
      <c r="C63" s="107" t="s">
        <v>118</v>
      </c>
      <c r="D63" s="108">
        <v>-8</v>
      </c>
      <c r="E63" s="109">
        <v>0.33333333333333298</v>
      </c>
      <c r="F63" s="105"/>
      <c r="G63" s="105"/>
    </row>
    <row r="64" spans="2:27" x14ac:dyDescent="0.25">
      <c r="B64" s="105">
        <v>33</v>
      </c>
      <c r="C64" s="107" t="s">
        <v>117</v>
      </c>
      <c r="D64" s="108">
        <v>-7</v>
      </c>
      <c r="E64" s="109">
        <v>0.29166666666666702</v>
      </c>
      <c r="F64" s="105"/>
      <c r="G64" s="105"/>
    </row>
    <row r="65" spans="2:7" x14ac:dyDescent="0.25">
      <c r="B65" s="105">
        <v>34</v>
      </c>
      <c r="C65" s="107" t="s">
        <v>116</v>
      </c>
      <c r="D65" s="108">
        <v>-6</v>
      </c>
      <c r="E65" s="109">
        <v>0.25</v>
      </c>
      <c r="F65" s="105"/>
      <c r="G65" s="105"/>
    </row>
    <row r="66" spans="2:7" x14ac:dyDescent="0.25">
      <c r="B66" s="105">
        <v>35</v>
      </c>
      <c r="C66" s="107" t="s">
        <v>115</v>
      </c>
      <c r="D66" s="108">
        <v>-5</v>
      </c>
      <c r="E66" s="109">
        <v>0.20833333333333301</v>
      </c>
      <c r="F66" s="105"/>
      <c r="G66" s="105"/>
    </row>
    <row r="67" spans="2:7" x14ac:dyDescent="0.25">
      <c r="B67" s="105">
        <v>36</v>
      </c>
      <c r="C67" s="107" t="s">
        <v>123</v>
      </c>
      <c r="D67" s="108">
        <v>-4.5</v>
      </c>
      <c r="E67" s="109">
        <v>0.1875</v>
      </c>
      <c r="F67" s="105"/>
      <c r="G67" s="105"/>
    </row>
    <row r="68" spans="2:7" x14ac:dyDescent="0.25">
      <c r="B68" s="105">
        <v>37</v>
      </c>
      <c r="C68" s="107" t="s">
        <v>114</v>
      </c>
      <c r="D68" s="108">
        <v>-4</v>
      </c>
      <c r="E68" s="109">
        <v>0.16666666666666666</v>
      </c>
      <c r="F68" s="105"/>
      <c r="G68" s="105"/>
    </row>
    <row r="69" spans="2:7" x14ac:dyDescent="0.25">
      <c r="B69" s="105">
        <v>38</v>
      </c>
      <c r="C69" s="107" t="s">
        <v>124</v>
      </c>
      <c r="D69" s="108">
        <v>-3.5</v>
      </c>
      <c r="E69" s="109">
        <v>0.14583333333333334</v>
      </c>
      <c r="F69" s="105"/>
      <c r="G69" s="105"/>
    </row>
    <row r="70" spans="2:7" x14ac:dyDescent="0.25">
      <c r="B70" s="105">
        <v>39</v>
      </c>
      <c r="C70" s="107" t="s">
        <v>112</v>
      </c>
      <c r="D70" s="108">
        <v>-3</v>
      </c>
      <c r="E70" s="109">
        <v>0.125</v>
      </c>
      <c r="F70" s="105"/>
      <c r="G70" s="105"/>
    </row>
    <row r="71" spans="2:7" x14ac:dyDescent="0.25">
      <c r="B71" s="105">
        <v>40</v>
      </c>
      <c r="C71" s="107" t="s">
        <v>111</v>
      </c>
      <c r="D71" s="108">
        <v>-2</v>
      </c>
      <c r="E71" s="109">
        <v>8.3333333333333329E-2</v>
      </c>
      <c r="F71" s="105"/>
      <c r="G71" s="105"/>
    </row>
    <row r="72" spans="2:7" x14ac:dyDescent="0.25">
      <c r="B72" s="105">
        <v>41</v>
      </c>
      <c r="C72" s="107" t="s">
        <v>110</v>
      </c>
      <c r="D72" s="108">
        <v>-1</v>
      </c>
      <c r="E72" s="109">
        <v>4.1666666666666699E-2</v>
      </c>
      <c r="F72" s="105"/>
      <c r="G72" s="105"/>
    </row>
    <row r="73" spans="2:7" x14ac:dyDescent="0.25">
      <c r="B73" s="105">
        <v>42</v>
      </c>
      <c r="C73" s="107" t="s">
        <v>113</v>
      </c>
      <c r="D73" s="108">
        <v>0</v>
      </c>
      <c r="E73" s="109">
        <v>0</v>
      </c>
      <c r="F73" s="105"/>
      <c r="G73" s="105"/>
    </row>
    <row r="74" spans="2:7" x14ac:dyDescent="0.25">
      <c r="B74" s="105">
        <v>43</v>
      </c>
      <c r="C74" s="107" t="s">
        <v>109</v>
      </c>
      <c r="D74" s="108">
        <v>1</v>
      </c>
      <c r="E74" s="109">
        <v>4.1666666666666664E-2</v>
      </c>
      <c r="F74" s="105"/>
      <c r="G74" s="105"/>
    </row>
    <row r="75" spans="2:7" x14ac:dyDescent="0.25">
      <c r="B75" s="105">
        <v>44</v>
      </c>
      <c r="C75" s="107" t="s">
        <v>108</v>
      </c>
      <c r="D75" s="108">
        <v>2</v>
      </c>
      <c r="E75" s="109">
        <v>8.3333333333333301E-2</v>
      </c>
      <c r="F75" s="105"/>
      <c r="G75" s="105"/>
    </row>
    <row r="76" spans="2:7" x14ac:dyDescent="0.25">
      <c r="B76" s="105">
        <v>45</v>
      </c>
      <c r="C76" s="107" t="s">
        <v>107</v>
      </c>
      <c r="D76" s="108">
        <v>3</v>
      </c>
      <c r="E76" s="109">
        <v>0.125</v>
      </c>
      <c r="F76" s="105"/>
      <c r="G76" s="105"/>
    </row>
    <row r="77" spans="2:7" x14ac:dyDescent="0.25">
      <c r="B77" s="105">
        <v>46</v>
      </c>
      <c r="C77" s="107" t="s">
        <v>125</v>
      </c>
      <c r="D77" s="108">
        <v>3.5</v>
      </c>
      <c r="E77" s="109">
        <v>0.14583333333333334</v>
      </c>
      <c r="F77" s="105"/>
      <c r="G77" s="105"/>
    </row>
    <row r="78" spans="2:7" x14ac:dyDescent="0.25">
      <c r="B78" s="105">
        <v>47</v>
      </c>
      <c r="C78" s="107" t="s">
        <v>106</v>
      </c>
      <c r="D78" s="108">
        <v>4</v>
      </c>
      <c r="E78" s="109">
        <v>0.16666666666666666</v>
      </c>
      <c r="F78" s="105"/>
      <c r="G78" s="105"/>
    </row>
    <row r="79" spans="2:7" x14ac:dyDescent="0.25">
      <c r="B79" s="105">
        <v>48</v>
      </c>
      <c r="C79" s="107" t="s">
        <v>126</v>
      </c>
      <c r="D79" s="108">
        <v>4.5</v>
      </c>
      <c r="E79" s="109">
        <v>0.1875</v>
      </c>
      <c r="F79" s="105"/>
      <c r="G79" s="105"/>
    </row>
    <row r="80" spans="2:7" x14ac:dyDescent="0.25">
      <c r="B80" s="105">
        <v>49</v>
      </c>
      <c r="C80" s="107" t="s">
        <v>105</v>
      </c>
      <c r="D80" s="108">
        <v>5</v>
      </c>
      <c r="E80" s="109">
        <v>0.20833333333333334</v>
      </c>
      <c r="F80" s="105"/>
      <c r="G80" s="105"/>
    </row>
    <row r="81" spans="2:7" x14ac:dyDescent="0.25">
      <c r="B81" s="105">
        <v>50</v>
      </c>
      <c r="C81" s="107" t="s">
        <v>127</v>
      </c>
      <c r="D81" s="108">
        <v>5.5</v>
      </c>
      <c r="E81" s="109">
        <v>0.22916666666666666</v>
      </c>
      <c r="F81" s="105"/>
      <c r="G81" s="105"/>
    </row>
    <row r="82" spans="2:7" x14ac:dyDescent="0.25">
      <c r="B82" s="105">
        <v>51</v>
      </c>
      <c r="C82" s="107" t="s">
        <v>128</v>
      </c>
      <c r="D82" s="108">
        <v>5.75</v>
      </c>
      <c r="E82" s="109">
        <v>0.23958333333333334</v>
      </c>
      <c r="F82" s="105"/>
      <c r="G82" s="105"/>
    </row>
    <row r="83" spans="2:7" x14ac:dyDescent="0.25">
      <c r="B83" s="105">
        <v>52</v>
      </c>
      <c r="C83" s="107" t="s">
        <v>104</v>
      </c>
      <c r="D83" s="108">
        <v>6</v>
      </c>
      <c r="E83" s="109">
        <v>0.25</v>
      </c>
      <c r="F83" s="105"/>
      <c r="G83" s="105"/>
    </row>
    <row r="84" spans="2:7" x14ac:dyDescent="0.25">
      <c r="B84" s="105">
        <v>53</v>
      </c>
      <c r="C84" s="107" t="s">
        <v>129</v>
      </c>
      <c r="D84" s="108">
        <v>6.5</v>
      </c>
      <c r="E84" s="109">
        <v>0.27083333333333331</v>
      </c>
      <c r="F84" s="105"/>
      <c r="G84" s="105"/>
    </row>
    <row r="85" spans="2:7" x14ac:dyDescent="0.25">
      <c r="B85" s="105">
        <v>54</v>
      </c>
      <c r="C85" s="107" t="s">
        <v>98</v>
      </c>
      <c r="D85" s="108">
        <v>7</v>
      </c>
      <c r="E85" s="109">
        <v>0.29166666666666669</v>
      </c>
      <c r="F85" s="105"/>
      <c r="G85" s="105"/>
    </row>
    <row r="86" spans="2:7" x14ac:dyDescent="0.25">
      <c r="B86" s="105">
        <v>55</v>
      </c>
      <c r="C86" s="107" t="s">
        <v>99</v>
      </c>
      <c r="D86" s="108">
        <v>8</v>
      </c>
      <c r="E86" s="109">
        <v>0.33333333333333298</v>
      </c>
      <c r="F86" s="105"/>
      <c r="G86" s="105"/>
    </row>
    <row r="87" spans="2:7" x14ac:dyDescent="0.25">
      <c r="B87" s="105">
        <v>56</v>
      </c>
      <c r="C87" s="107" t="s">
        <v>100</v>
      </c>
      <c r="D87" s="108">
        <v>9</v>
      </c>
      <c r="E87" s="109">
        <v>0.375</v>
      </c>
      <c r="F87" s="105"/>
      <c r="G87" s="105"/>
    </row>
    <row r="88" spans="2:7" x14ac:dyDescent="0.25">
      <c r="B88" s="105">
        <v>57</v>
      </c>
      <c r="C88" s="107" t="s">
        <v>130</v>
      </c>
      <c r="D88" s="108">
        <v>9.5</v>
      </c>
      <c r="E88" s="109">
        <v>0.39583333333333331</v>
      </c>
      <c r="F88" s="105"/>
      <c r="G88" s="105"/>
    </row>
    <row r="89" spans="2:7" x14ac:dyDescent="0.25">
      <c r="B89" s="105">
        <v>58</v>
      </c>
      <c r="C89" s="107" t="s">
        <v>101</v>
      </c>
      <c r="D89" s="108">
        <v>10</v>
      </c>
      <c r="E89" s="109">
        <v>0.41666666666666669</v>
      </c>
      <c r="F89" s="105"/>
      <c r="G89" s="105"/>
    </row>
    <row r="90" spans="2:7" x14ac:dyDescent="0.25">
      <c r="B90" s="105">
        <v>59</v>
      </c>
      <c r="C90" s="107" t="s">
        <v>102</v>
      </c>
      <c r="D90" s="108">
        <v>11</v>
      </c>
      <c r="E90" s="109">
        <v>0.45833333333333298</v>
      </c>
      <c r="F90" s="105"/>
      <c r="G90" s="105"/>
    </row>
    <row r="91" spans="2:7" x14ac:dyDescent="0.25">
      <c r="B91" s="105">
        <v>60</v>
      </c>
      <c r="C91" s="107" t="s">
        <v>103</v>
      </c>
      <c r="D91" s="108">
        <v>12</v>
      </c>
      <c r="E91" s="109">
        <v>0.5</v>
      </c>
      <c r="F91" s="105"/>
      <c r="G91" s="105"/>
    </row>
    <row r="92" spans="2:7" x14ac:dyDescent="0.25">
      <c r="B92" s="105">
        <v>61</v>
      </c>
      <c r="C92" s="107" t="s">
        <v>133</v>
      </c>
      <c r="D92" s="105" t="s">
        <v>96</v>
      </c>
      <c r="E92" s="105" t="s">
        <v>165</v>
      </c>
      <c r="F92" s="105" t="s">
        <v>190</v>
      </c>
      <c r="G92" s="105" t="s">
        <v>266</v>
      </c>
    </row>
    <row r="93" spans="2:7" x14ac:dyDescent="0.25">
      <c r="B93" s="105">
        <v>62</v>
      </c>
      <c r="C93" s="107" t="s">
        <v>134</v>
      </c>
      <c r="D93" s="105" t="s">
        <v>97</v>
      </c>
      <c r="E93" s="105" t="s">
        <v>166</v>
      </c>
      <c r="F93" s="105" t="s">
        <v>222</v>
      </c>
      <c r="G93" s="105" t="s">
        <v>267</v>
      </c>
    </row>
    <row r="94" spans="2:7" x14ac:dyDescent="0.25">
      <c r="B94" s="105">
        <v>63</v>
      </c>
      <c r="C94" s="107" t="s">
        <v>288</v>
      </c>
      <c r="D94" s="105" t="s">
        <v>310</v>
      </c>
      <c r="E94" s="105" t="s">
        <v>167</v>
      </c>
      <c r="F94" s="105" t="s">
        <v>223</v>
      </c>
      <c r="G94" s="105" t="s">
        <v>268</v>
      </c>
    </row>
    <row r="95" spans="2:7" x14ac:dyDescent="0.25">
      <c r="B95" s="105">
        <v>64</v>
      </c>
      <c r="C95" s="107" t="s">
        <v>135</v>
      </c>
      <c r="D95" s="105" t="s">
        <v>226</v>
      </c>
      <c r="E95" s="105" t="s">
        <v>168</v>
      </c>
      <c r="F95" s="105" t="s">
        <v>224</v>
      </c>
      <c r="G95" s="105" t="s">
        <v>269</v>
      </c>
    </row>
    <row r="96" spans="2:7" x14ac:dyDescent="0.25">
      <c r="B96" s="105">
        <v>65</v>
      </c>
      <c r="C96" s="107" t="s">
        <v>290</v>
      </c>
      <c r="D96" s="105" t="s">
        <v>93</v>
      </c>
      <c r="E96" s="105" t="s">
        <v>169</v>
      </c>
      <c r="F96" s="105" t="s">
        <v>225</v>
      </c>
      <c r="G96" s="105" t="s">
        <v>270</v>
      </c>
    </row>
    <row r="97" spans="2:7" x14ac:dyDescent="0.25">
      <c r="B97" s="105">
        <v>66</v>
      </c>
      <c r="C97" s="107" t="s">
        <v>291</v>
      </c>
      <c r="D97" s="105" t="s">
        <v>94</v>
      </c>
      <c r="E97" s="105" t="s">
        <v>170</v>
      </c>
      <c r="F97" s="105" t="s">
        <v>227</v>
      </c>
      <c r="G97" s="105" t="s">
        <v>271</v>
      </c>
    </row>
    <row r="98" spans="2:7" x14ac:dyDescent="0.25">
      <c r="B98" s="105">
        <v>67</v>
      </c>
      <c r="C98" s="107" t="s">
        <v>289</v>
      </c>
      <c r="D98" s="105" t="s">
        <v>95</v>
      </c>
      <c r="E98" s="105" t="s">
        <v>171</v>
      </c>
      <c r="F98" s="105" t="s">
        <v>228</v>
      </c>
      <c r="G98" s="105" t="s">
        <v>272</v>
      </c>
    </row>
    <row r="99" spans="2:7" x14ac:dyDescent="0.25">
      <c r="B99" s="105">
        <v>68</v>
      </c>
      <c r="C99" s="107" t="s">
        <v>292</v>
      </c>
      <c r="D99" s="105" t="s">
        <v>84</v>
      </c>
      <c r="E99" s="105" t="s">
        <v>172</v>
      </c>
      <c r="F99" s="105" t="s">
        <v>191</v>
      </c>
      <c r="G99" s="105" t="s">
        <v>273</v>
      </c>
    </row>
    <row r="100" spans="2:7" x14ac:dyDescent="0.25">
      <c r="B100" s="105">
        <v>69</v>
      </c>
      <c r="C100" s="107" t="s">
        <v>42</v>
      </c>
      <c r="D100" s="105" t="s">
        <v>35</v>
      </c>
      <c r="E100" s="105" t="s">
        <v>173</v>
      </c>
      <c r="F100" s="105" t="s">
        <v>192</v>
      </c>
      <c r="G100" s="105" t="s">
        <v>274</v>
      </c>
    </row>
    <row r="101" spans="2:7" x14ac:dyDescent="0.25">
      <c r="B101" s="105">
        <v>70</v>
      </c>
      <c r="C101" s="107" t="s">
        <v>43</v>
      </c>
      <c r="D101" s="105" t="s">
        <v>36</v>
      </c>
      <c r="E101" s="105" t="s">
        <v>174</v>
      </c>
      <c r="F101" s="105" t="s">
        <v>193</v>
      </c>
      <c r="G101" s="105" t="s">
        <v>275</v>
      </c>
    </row>
    <row r="102" spans="2:7" x14ac:dyDescent="0.25">
      <c r="B102" s="105">
        <v>71</v>
      </c>
      <c r="C102" s="107" t="s">
        <v>44</v>
      </c>
      <c r="D102" s="105" t="s">
        <v>37</v>
      </c>
      <c r="E102" s="105" t="s">
        <v>175</v>
      </c>
      <c r="F102" s="105" t="s">
        <v>194</v>
      </c>
      <c r="G102" s="105" t="s">
        <v>276</v>
      </c>
    </row>
    <row r="103" spans="2:7" x14ac:dyDescent="0.25">
      <c r="B103" s="105">
        <v>72</v>
      </c>
      <c r="C103" s="107" t="s">
        <v>136</v>
      </c>
      <c r="D103" s="105" t="s">
        <v>38</v>
      </c>
      <c r="E103" s="105" t="s">
        <v>176</v>
      </c>
      <c r="F103" s="105" t="s">
        <v>195</v>
      </c>
      <c r="G103" s="105" t="s">
        <v>277</v>
      </c>
    </row>
    <row r="104" spans="2:7" x14ac:dyDescent="0.25">
      <c r="B104" s="105">
        <v>73</v>
      </c>
      <c r="C104" s="107" t="s">
        <v>46</v>
      </c>
      <c r="D104" s="105" t="s">
        <v>39</v>
      </c>
      <c r="E104" s="105" t="s">
        <v>177</v>
      </c>
      <c r="F104" s="105" t="s">
        <v>196</v>
      </c>
      <c r="G104" s="105" t="s">
        <v>278</v>
      </c>
    </row>
    <row r="105" spans="2:7" x14ac:dyDescent="0.25">
      <c r="B105" s="105">
        <v>74</v>
      </c>
      <c r="C105" s="107" t="s">
        <v>47</v>
      </c>
      <c r="D105" s="105" t="s">
        <v>40</v>
      </c>
      <c r="E105" s="105" t="s">
        <v>178</v>
      </c>
      <c r="F105" s="105" t="s">
        <v>197</v>
      </c>
      <c r="G105" s="105" t="s">
        <v>279</v>
      </c>
    </row>
    <row r="106" spans="2:7" x14ac:dyDescent="0.25">
      <c r="B106" s="105">
        <v>75</v>
      </c>
      <c r="C106" s="107" t="s">
        <v>69</v>
      </c>
      <c r="D106" s="105" t="s">
        <v>70</v>
      </c>
      <c r="E106" s="105" t="s">
        <v>179</v>
      </c>
      <c r="F106" s="105" t="s">
        <v>229</v>
      </c>
      <c r="G106" s="105" t="s">
        <v>280</v>
      </c>
    </row>
    <row r="107" spans="2:7" x14ac:dyDescent="0.25">
      <c r="B107" s="105">
        <v>76</v>
      </c>
      <c r="C107" s="107" t="s">
        <v>71</v>
      </c>
      <c r="D107" s="105" t="s">
        <v>72</v>
      </c>
      <c r="E107" s="105" t="s">
        <v>180</v>
      </c>
      <c r="F107" s="105" t="s">
        <v>230</v>
      </c>
      <c r="G107" s="105" t="s">
        <v>281</v>
      </c>
    </row>
    <row r="108" spans="2:7" x14ac:dyDescent="0.25">
      <c r="B108" s="105">
        <v>77</v>
      </c>
      <c r="C108" s="107" t="s">
        <v>74</v>
      </c>
      <c r="D108" s="105" t="s">
        <v>73</v>
      </c>
      <c r="E108" s="105" t="s">
        <v>181</v>
      </c>
      <c r="F108" s="105" t="s">
        <v>231</v>
      </c>
      <c r="G108" s="105" t="s">
        <v>282</v>
      </c>
    </row>
    <row r="109" spans="2:7" x14ac:dyDescent="0.25">
      <c r="B109" s="105">
        <v>78</v>
      </c>
      <c r="C109" s="107" t="s">
        <v>75</v>
      </c>
      <c r="D109" s="105" t="s">
        <v>76</v>
      </c>
      <c r="E109" s="105" t="s">
        <v>182</v>
      </c>
      <c r="F109" s="105" t="s">
        <v>232</v>
      </c>
      <c r="G109" s="105" t="s">
        <v>283</v>
      </c>
    </row>
    <row r="110" spans="2:7" x14ac:dyDescent="0.25">
      <c r="B110" s="105">
        <v>79</v>
      </c>
      <c r="C110" s="107" t="s">
        <v>78</v>
      </c>
      <c r="D110" s="105" t="s">
        <v>77</v>
      </c>
      <c r="E110" s="105" t="s">
        <v>183</v>
      </c>
      <c r="F110" s="105" t="s">
        <v>233</v>
      </c>
      <c r="G110" s="105" t="s">
        <v>284</v>
      </c>
    </row>
    <row r="111" spans="2:7" x14ac:dyDescent="0.25">
      <c r="B111" s="105">
        <v>80</v>
      </c>
      <c r="C111" s="107" t="s">
        <v>79</v>
      </c>
      <c r="D111" s="105" t="s">
        <v>80</v>
      </c>
      <c r="E111" s="105" t="s">
        <v>184</v>
      </c>
      <c r="F111" s="105" t="s">
        <v>234</v>
      </c>
      <c r="G111" s="105" t="s">
        <v>285</v>
      </c>
    </row>
    <row r="112" spans="2:7" x14ac:dyDescent="0.25">
      <c r="B112" s="105">
        <v>81</v>
      </c>
      <c r="C112" s="107" t="s">
        <v>137</v>
      </c>
      <c r="D112" s="105" t="s">
        <v>81</v>
      </c>
      <c r="E112" s="105" t="s">
        <v>185</v>
      </c>
      <c r="F112" s="105" t="s">
        <v>235</v>
      </c>
      <c r="G112" s="105" t="s">
        <v>286</v>
      </c>
    </row>
    <row r="113" spans="2:7" x14ac:dyDescent="0.25">
      <c r="B113" s="105">
        <v>82</v>
      </c>
      <c r="C113" s="107" t="s">
        <v>138</v>
      </c>
      <c r="D113" s="105" t="s">
        <v>92</v>
      </c>
      <c r="E113" s="105" t="s">
        <v>186</v>
      </c>
      <c r="F113" s="105" t="s">
        <v>236</v>
      </c>
      <c r="G113" s="105" t="s">
        <v>287</v>
      </c>
    </row>
    <row r="114" spans="2:7" x14ac:dyDescent="0.25">
      <c r="B114" s="105">
        <v>83</v>
      </c>
      <c r="C114" s="107" t="s">
        <v>308</v>
      </c>
      <c r="D114" s="105" t="s">
        <v>309</v>
      </c>
      <c r="E114" s="105"/>
      <c r="F114" s="105"/>
      <c r="G114" s="105"/>
    </row>
    <row r="115" spans="2:7" x14ac:dyDescent="0.25">
      <c r="C115" s="9"/>
    </row>
    <row r="116" spans="2:7" x14ac:dyDescent="0.25">
      <c r="C116" s="9"/>
    </row>
    <row r="117" spans="2:7" x14ac:dyDescent="0.25">
      <c r="C117" s="9"/>
    </row>
  </sheetData>
  <sortState ref="AA7:AA30">
    <sortCondition ref="AA7"/>
  </sortState>
  <mergeCells count="3">
    <mergeCell ref="C2:D2"/>
    <mergeCell ref="E4:N4"/>
    <mergeCell ref="C4:D4"/>
  </mergeCells>
  <dataValidations count="2">
    <dataValidation type="list" allowBlank="1" showInputMessage="1" showErrorMessage="1" sqref="E2">
      <formula1>"English,  中文, Tiếng Việt, عربى, 한국어"</formula1>
    </dataValidation>
    <dataValidation type="list" allowBlank="1" showInputMessage="1" showErrorMessage="1" sqref="E4:N4">
      <formula1>$C$59:$C$91</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workbookViewId="0">
      <selection activeCell="B2" sqref="B2"/>
    </sheetView>
  </sheetViews>
  <sheetFormatPr defaultRowHeight="15" x14ac:dyDescent="0.25"/>
  <sheetData>
    <row r="2" spans="2:2" x14ac:dyDescent="0.25">
      <c r="B2" t="s">
        <v>293</v>
      </c>
    </row>
    <row r="4" spans="2:2" x14ac:dyDescent="0.25">
      <c r="B4" t="s">
        <v>294</v>
      </c>
    </row>
    <row r="5" spans="2:2" x14ac:dyDescent="0.25">
      <c r="B5" t="s">
        <v>295</v>
      </c>
    </row>
    <row r="6" spans="2:2" x14ac:dyDescent="0.25">
      <c r="B6" t="s">
        <v>296</v>
      </c>
    </row>
    <row r="7" spans="2:2" x14ac:dyDescent="0.25">
      <c r="B7" t="s">
        <v>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74"/>
  <sheetViews>
    <sheetView tabSelected="1" topLeftCell="U37" workbookViewId="0">
      <selection activeCell="AD4" sqref="AD4:AH4"/>
    </sheetView>
  </sheetViews>
  <sheetFormatPr defaultRowHeight="15" x14ac:dyDescent="0.25"/>
  <cols>
    <col min="2" max="2" width="11.7109375" customWidth="1"/>
    <col min="3" max="3" width="16.7109375" customWidth="1"/>
    <col min="4" max="5" width="11.7109375" customWidth="1"/>
    <col min="6" max="6" width="23.7109375" bestFit="1" customWidth="1"/>
    <col min="7" max="8" width="5.7109375" customWidth="1"/>
    <col min="9" max="9" width="23.7109375" bestFit="1" customWidth="1"/>
    <col min="10" max="10" width="52.7109375" customWidth="1"/>
    <col min="12" max="12" width="9.7109375" customWidth="1"/>
    <col min="13" max="13" width="23.7109375" bestFit="1" customWidth="1"/>
    <col min="23" max="23" width="15.7109375" customWidth="1"/>
    <col min="24" max="24" width="23.7109375" customWidth="1"/>
    <col min="25" max="27" width="5.7109375" customWidth="1"/>
    <col min="30" max="30" width="15.7109375" customWidth="1"/>
    <col min="31" max="31" width="23.7109375" customWidth="1"/>
    <col min="32" max="34" width="5.7109375" customWidth="1"/>
    <col min="37" max="37" width="15.7109375" customWidth="1"/>
    <col min="38" max="38" width="23.7109375" customWidth="1"/>
    <col min="39" max="41" width="5.7109375" customWidth="1"/>
    <col min="44" max="44" width="15.7109375" customWidth="1"/>
    <col min="45" max="45" width="23.7109375" customWidth="1"/>
    <col min="46" max="48" width="5.7109375" customWidth="1"/>
  </cols>
  <sheetData>
    <row r="1" spans="1:54" ht="15.75" thickBot="1" x14ac:dyDescent="0.3"/>
    <row r="2" spans="1:54" ht="17.25" thickTop="1" thickBot="1" x14ac:dyDescent="0.3">
      <c r="B2" s="123"/>
      <c r="D2" s="127" t="str">
        <f>HLOOKUP('CÀI ĐẶT'!E2,'CÀI ĐẶT'!C32:Z114,83,0)</f>
        <v>SELECT TEAMS</v>
      </c>
      <c r="E2" s="128"/>
      <c r="F2" s="67" t="s">
        <v>27</v>
      </c>
      <c r="I2" s="124"/>
    </row>
    <row r="3" spans="1:54" ht="16.5" thickTop="1" thickBot="1" x14ac:dyDescent="0.3">
      <c r="C3" s="1"/>
      <c r="D3" s="13"/>
      <c r="E3" s="1"/>
    </row>
    <row r="4" spans="1:54" ht="27.75" thickTop="1" thickBot="1" x14ac:dyDescent="0.3">
      <c r="B4" s="129" t="str">
        <f>HLOOKUP('CÀI ĐẶT'!E2,'CÀI ĐẶT'!C32:Z98,61,0)</f>
        <v>GROUP STAGE</v>
      </c>
      <c r="C4" s="130"/>
      <c r="D4" s="130"/>
      <c r="E4" s="130"/>
      <c r="F4" s="130"/>
      <c r="G4" s="130"/>
      <c r="H4" s="130"/>
      <c r="I4" s="130"/>
      <c r="J4" s="131"/>
      <c r="L4" s="142" t="str">
        <f>HLOOKUP('CÀI ĐẶT'!E2,'CÀI ĐẶT'!C32:Z98,62,0)</f>
        <v>TABLES</v>
      </c>
      <c r="M4" s="143"/>
      <c r="N4" s="143"/>
      <c r="O4" s="143"/>
      <c r="P4" s="143"/>
      <c r="Q4" s="143"/>
      <c r="R4" s="143"/>
      <c r="S4" s="143"/>
      <c r="T4" s="143"/>
      <c r="U4" s="144"/>
      <c r="W4" s="142" t="str">
        <f>HLOOKUP('CÀI ĐẶT'!E2,'CÀI ĐẶT'!C32:Z98,64,0)</f>
        <v>ROUND OF 16</v>
      </c>
      <c r="X4" s="143"/>
      <c r="Y4" s="143"/>
      <c r="Z4" s="143"/>
      <c r="AA4" s="144"/>
      <c r="AB4" s="68"/>
      <c r="AC4" s="68"/>
      <c r="AD4" s="142" t="str">
        <f>HLOOKUP('CÀI ĐẶT'!E2,'CÀI ĐẶT'!C32:Z98,65,0)</f>
        <v>QUARTER-FINALS</v>
      </c>
      <c r="AE4" s="143"/>
      <c r="AF4" s="143"/>
      <c r="AG4" s="143"/>
      <c r="AH4" s="144"/>
      <c r="AI4" s="68"/>
      <c r="AJ4" s="68"/>
      <c r="AK4" s="142" t="str">
        <f>HLOOKUP('CÀI ĐẶT'!E2,'CÀI ĐẶT'!C32:Z98,66,0)</f>
        <v>SEMI-FINALS</v>
      </c>
      <c r="AL4" s="143"/>
      <c r="AM4" s="143"/>
      <c r="AN4" s="143"/>
      <c r="AO4" s="144"/>
      <c r="AP4" s="68"/>
      <c r="AQ4" s="68"/>
      <c r="AR4" s="142" t="str">
        <f>HLOOKUP('CÀI ĐẶT'!E2,'CÀI ĐẶT'!C32:Z98,67,0)</f>
        <v>FINAL</v>
      </c>
      <c r="AS4" s="143"/>
      <c r="AT4" s="143"/>
      <c r="AU4" s="143"/>
      <c r="AV4" s="144"/>
      <c r="AW4" s="68"/>
      <c r="AX4" s="68"/>
      <c r="AY4" s="68"/>
      <c r="AZ4" s="68"/>
      <c r="BA4" s="68"/>
      <c r="BB4" s="68"/>
    </row>
    <row r="5" spans="1:54" ht="17.25" thickTop="1" thickBot="1" x14ac:dyDescent="0.3">
      <c r="A5" s="1"/>
      <c r="B5" s="35" t="str">
        <f>HLOOKUP('CÀI ĐẶT'!E2,'CÀI ĐẶT'!C32:Z105,68,0)</f>
        <v>MATCH</v>
      </c>
      <c r="C5" s="36" t="str">
        <f>HLOOKUP('CÀI ĐẶT'!E2,'CÀI ĐẶT'!C32:Z105,69,0)</f>
        <v>DATE</v>
      </c>
      <c r="D5" s="37" t="str">
        <f>HLOOKUP('CÀI ĐẶT'!E2,'CÀI ĐẶT'!C32:Z105,70,0)</f>
        <v>TIME</v>
      </c>
      <c r="E5" s="37" t="str">
        <f>HLOOKUP('CÀI ĐẶT'!E2,'CÀI ĐẶT'!C32:Z105,71,0)</f>
        <v>GROUP</v>
      </c>
      <c r="F5" s="37" t="str">
        <f>HLOOKUP('CÀI ĐẶT'!E2,'CÀI ĐẶT'!C32:Z105,72,0)</f>
        <v>TEAMS</v>
      </c>
      <c r="G5" s="150" t="str">
        <f>HLOOKUP('CÀI ĐẶT'!E2,'CÀI ĐẶT'!C32:Z105,73,0)</f>
        <v>SCORE</v>
      </c>
      <c r="H5" s="150"/>
      <c r="I5" s="37" t="str">
        <f>HLOOKUP('CÀI ĐẶT'!E2,'CÀI ĐẶT'!C32:Z105,72,0)</f>
        <v>TEAMS</v>
      </c>
      <c r="J5" s="38" t="str">
        <f>HLOOKUP('CÀI ĐẶT'!E2,'CÀI ĐẶT'!C32:Z105,74,0)</f>
        <v>STADIUM</v>
      </c>
      <c r="L5" s="68"/>
      <c r="M5" s="68"/>
      <c r="N5" s="68"/>
      <c r="O5" s="68"/>
      <c r="P5" s="68"/>
      <c r="Q5" s="68"/>
      <c r="R5" s="68"/>
      <c r="S5" s="68"/>
      <c r="T5" s="68"/>
      <c r="U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row>
    <row r="6" spans="1:54" ht="16.5" thickTop="1" x14ac:dyDescent="0.25">
      <c r="B6" s="39">
        <v>1</v>
      </c>
      <c r="C6" s="40">
        <f>'NHÁP 2'!C4+'NHÁP 2'!G4</f>
        <v>43470</v>
      </c>
      <c r="D6" s="41">
        <f>'NHÁP 2'!D4+IF('NHÁP 2'!$D$3&gt;0,'NHÁP 2'!$D$2,IF('NHÁP 2'!$D$3&lt;0,-'NHÁP 2'!$D$2,0))</f>
        <v>0.95833333333333326</v>
      </c>
      <c r="E6" s="42" t="s">
        <v>21</v>
      </c>
      <c r="F6" s="43" t="str">
        <f>HLOOKUP('CÀI ĐẶT'!$E$2,'CÀI ĐẶT'!$C$32:$Z$56,4,0)</f>
        <v>UNITED ARAB EMIRATES</v>
      </c>
      <c r="G6" s="42">
        <v>1</v>
      </c>
      <c r="H6" s="42">
        <v>1</v>
      </c>
      <c r="I6" s="44" t="str">
        <f>HLOOKUP('CÀI ĐẶT'!$E$2,'CÀI ĐẶT'!$C$32:$Z$56,3,0)</f>
        <v>BAHRAIN</v>
      </c>
      <c r="J6" s="45" t="s">
        <v>48</v>
      </c>
      <c r="L6" s="151" t="str">
        <f>HLOOKUP('CÀI ĐẶT'!E2,'CÀI ĐẶT'!C32:Z112,75,0)</f>
        <v>GROUP A</v>
      </c>
      <c r="M6" s="152"/>
      <c r="N6" s="152"/>
      <c r="O6" s="152"/>
      <c r="P6" s="152"/>
      <c r="Q6" s="152"/>
      <c r="R6" s="152"/>
      <c r="S6" s="152"/>
      <c r="T6" s="152"/>
      <c r="U6" s="153"/>
      <c r="W6" s="145" t="s">
        <v>55</v>
      </c>
      <c r="X6" s="146"/>
      <c r="Y6" s="146"/>
      <c r="Z6" s="146"/>
      <c r="AA6" s="147"/>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row>
    <row r="7" spans="1:54" ht="16.5" thickBot="1" x14ac:dyDescent="0.3">
      <c r="B7" s="46">
        <v>2</v>
      </c>
      <c r="C7" s="47">
        <f>'NHÁP 2'!C5+'NHÁP 2'!G5</f>
        <v>43471</v>
      </c>
      <c r="D7" s="48">
        <f>'NHÁP 2'!D5+IF('NHÁP 2'!$D$3&gt;0,'NHÁP 2'!$D$2,IF('NHÁP 2'!$D$3&lt;0,-'NHÁP 2'!$D$2,0))</f>
        <v>0.75</v>
      </c>
      <c r="E7" s="49" t="s">
        <v>22</v>
      </c>
      <c r="F7" s="50" t="str">
        <f>HLOOKUP('CÀI ĐẶT'!$E$2,'CÀI ĐẶT'!$C$32:$Z$56,6,0)</f>
        <v>AUSTRALIA</v>
      </c>
      <c r="G7" s="49">
        <v>0</v>
      </c>
      <c r="H7" s="49">
        <v>1</v>
      </c>
      <c r="I7" s="51" t="str">
        <f>HLOOKUP('CÀI ĐẶT'!$E$2,'CÀI ĐẶT'!$C$32:$Z$56,7,0)</f>
        <v>JORDAN</v>
      </c>
      <c r="J7" s="52" t="s">
        <v>49</v>
      </c>
      <c r="L7" s="69" t="str">
        <f>HLOOKUP('CÀI ĐẶT'!E2,'CÀI ĐẶT'!C32:Z112,81,0)</f>
        <v>POS.</v>
      </c>
      <c r="M7" s="70" t="str">
        <f>HLOOKUP('CÀI ĐẶT'!E2,'CÀI ĐẶT'!C32:Z105,72,0)</f>
        <v>TEAMS</v>
      </c>
      <c r="N7" s="70" t="s">
        <v>62</v>
      </c>
      <c r="O7" s="70" t="s">
        <v>63</v>
      </c>
      <c r="P7" s="70" t="s">
        <v>54</v>
      </c>
      <c r="Q7" s="70" t="s">
        <v>64</v>
      </c>
      <c r="R7" s="70" t="s">
        <v>65</v>
      </c>
      <c r="S7" s="70" t="s">
        <v>66</v>
      </c>
      <c r="T7" s="70" t="s">
        <v>67</v>
      </c>
      <c r="U7" s="71" t="s">
        <v>68</v>
      </c>
      <c r="W7" s="92">
        <f>'NHÁP 2'!W5+'NHÁP 2'!AA5</f>
        <v>43485</v>
      </c>
      <c r="X7" s="93">
        <f>'NHÁP 2'!X5+IF('NHÁP 2'!$D$3&gt;0,'NHÁP 2'!$D$2,IF('NHÁP 2'!$D$3&lt;0,-'NHÁP 2'!$D$2,0))</f>
        <v>0.75</v>
      </c>
      <c r="Y7" s="74" t="s">
        <v>89</v>
      </c>
      <c r="Z7" s="74" t="s">
        <v>90</v>
      </c>
      <c r="AA7" s="94" t="s">
        <v>91</v>
      </c>
      <c r="AB7" s="95"/>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row>
    <row r="8" spans="1:54" ht="17.25" thickTop="1" thickBot="1" x14ac:dyDescent="0.3">
      <c r="B8" s="46">
        <v>3</v>
      </c>
      <c r="C8" s="47">
        <f>'NHÁP 2'!C6+'NHÁP 2'!G6</f>
        <v>43471</v>
      </c>
      <c r="D8" s="48">
        <f>'NHÁP 2'!D6+IF('NHÁP 2'!$D$3&gt;0,'NHÁP 2'!$D$2,IF('NHÁP 2'!$D$3&lt;0,-'NHÁP 2'!$D$2,0))</f>
        <v>0.85416666666666674</v>
      </c>
      <c r="E8" s="49" t="s">
        <v>21</v>
      </c>
      <c r="F8" s="50" t="str">
        <f>HLOOKUP('CÀI ĐẶT'!$E$2,'CÀI ĐẶT'!$C$32:$Z$56,5,0)</f>
        <v>THAILAND</v>
      </c>
      <c r="G8" s="49">
        <v>1</v>
      </c>
      <c r="H8" s="49">
        <v>4</v>
      </c>
      <c r="I8" s="51" t="str">
        <f>HLOOKUP('CÀI ĐẶT'!$E$2,'CÀI ĐẶT'!$C$32:$Z$56,2,0)</f>
        <v>INDIA</v>
      </c>
      <c r="J8" s="52" t="s">
        <v>50</v>
      </c>
      <c r="L8" s="72">
        <v>1</v>
      </c>
      <c r="M8" s="73" t="str">
        <f>VLOOKUP(L8,'NHÁP 1'!$M$2:$W$6,2,0)</f>
        <v>UNITED ARAB EMIRATES</v>
      </c>
      <c r="N8" s="72">
        <f>VLOOKUP(L8,'NHÁP 1'!$M$2:$W$6,3,0)</f>
        <v>3</v>
      </c>
      <c r="O8" s="72">
        <f>VLOOKUP(L8,'NHÁP 1'!$M$2:$W$6,4,0)</f>
        <v>1</v>
      </c>
      <c r="P8" s="72">
        <f>VLOOKUP(L8,'NHÁP 1'!$M$2:$W$6,5,0)</f>
        <v>2</v>
      </c>
      <c r="Q8" s="72">
        <f>VLOOKUP(L8,'NHÁP 1'!$M$2:$W$6,6,0)</f>
        <v>0</v>
      </c>
      <c r="R8" s="72">
        <f>VLOOKUP(L8,'NHÁP 1'!$M$2:$W$6,7,0)</f>
        <v>4</v>
      </c>
      <c r="S8" s="72">
        <f>VLOOKUP(L8,'NHÁP 1'!$M$2:$W$6,8,0)</f>
        <v>2</v>
      </c>
      <c r="T8" s="72">
        <f>VLOOKUP(L8,'NHÁP 1'!$M$2:$W$6,9,0)</f>
        <v>2</v>
      </c>
      <c r="U8" s="119">
        <f>VLOOKUP(L8,'NHÁP 1'!$M$2:$W$6,10,0)</f>
        <v>5</v>
      </c>
      <c r="W8" s="148">
        <v>37</v>
      </c>
      <c r="X8" s="74" t="str">
        <f>IF(SUM(N15:N18)=12,M15,"1B")</f>
        <v>JORDAN</v>
      </c>
      <c r="Y8" s="74">
        <v>1</v>
      </c>
      <c r="Z8" s="74">
        <v>0</v>
      </c>
      <c r="AA8" s="94">
        <v>2</v>
      </c>
      <c r="AB8" s="96"/>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row>
    <row r="9" spans="1:54" ht="16.5" thickBot="1" x14ac:dyDescent="0.3">
      <c r="B9" s="46">
        <v>4</v>
      </c>
      <c r="C9" s="47">
        <f>'NHÁP 2'!C7+'NHÁP 2'!G7</f>
        <v>43471</v>
      </c>
      <c r="D9" s="48">
        <f>'NHÁP 2'!D7+IF('NHÁP 2'!$D$3&gt;0,'NHÁP 2'!$D$2,IF('NHÁP 2'!$D$3&lt;0,-'NHÁP 2'!$D$2,0))</f>
        <v>0.95833333333333326</v>
      </c>
      <c r="E9" s="49" t="s">
        <v>22</v>
      </c>
      <c r="F9" s="50" t="str">
        <f>HLOOKUP('CÀI ĐẶT'!$E$2,'CÀI ĐẶT'!$C$32:$Z$56,9,0)</f>
        <v>SYRIA</v>
      </c>
      <c r="G9" s="49">
        <v>0</v>
      </c>
      <c r="H9" s="49">
        <v>0</v>
      </c>
      <c r="I9" s="51" t="str">
        <f>HLOOKUP('CÀI ĐẶT'!$E$2,'CÀI ĐẶT'!$C$32:$Z$56,8,0)</f>
        <v>PALESTINE</v>
      </c>
      <c r="J9" s="52" t="s">
        <v>51</v>
      </c>
      <c r="L9" s="72">
        <v>2</v>
      </c>
      <c r="M9" s="73" t="str">
        <f>VLOOKUP(L9,'NHÁP 1'!$M$2:$W$6,2,0)</f>
        <v>THAILAND</v>
      </c>
      <c r="N9" s="72">
        <f>VLOOKUP(L9,'NHÁP 1'!$M$2:$W$6,3,0)</f>
        <v>3</v>
      </c>
      <c r="O9" s="72">
        <f>VLOOKUP(L9,'NHÁP 1'!$M$2:$W$6,4,0)</f>
        <v>1</v>
      </c>
      <c r="P9" s="72">
        <f>VLOOKUP(L9,'NHÁP 1'!$M$2:$W$6,5,0)</f>
        <v>1</v>
      </c>
      <c r="Q9" s="72">
        <f>VLOOKUP(L9,'NHÁP 1'!$M$2:$W$6,6,0)</f>
        <v>1</v>
      </c>
      <c r="R9" s="72">
        <f>VLOOKUP(L9,'NHÁP 1'!$M$2:$W$6,7,0)</f>
        <v>3</v>
      </c>
      <c r="S9" s="72">
        <f>VLOOKUP(L9,'NHÁP 1'!$M$2:$W$6,8,0)</f>
        <v>5</v>
      </c>
      <c r="T9" s="72">
        <f>VLOOKUP(L9,'NHÁP 1'!$M$2:$W$6,9,0)</f>
        <v>-2</v>
      </c>
      <c r="U9" s="119">
        <f>VLOOKUP(L9,'NHÁP 1'!$M$2:$W$6,10,0)</f>
        <v>4</v>
      </c>
      <c r="W9" s="149"/>
      <c r="X9" s="97" t="str">
        <f>IF(SUM(N50:N55)=18,'NHÁP 1'!AL8,"3A/C/D")</f>
        <v>VIETNAM</v>
      </c>
      <c r="Y9" s="97">
        <v>1</v>
      </c>
      <c r="Z9" s="97">
        <v>0</v>
      </c>
      <c r="AA9" s="98">
        <v>4</v>
      </c>
      <c r="AB9" s="99"/>
      <c r="AC9" s="68"/>
      <c r="AD9" s="145" t="s">
        <v>55</v>
      </c>
      <c r="AE9" s="146"/>
      <c r="AF9" s="146"/>
      <c r="AG9" s="146"/>
      <c r="AH9" s="147"/>
      <c r="AI9" s="68"/>
      <c r="AJ9" s="68"/>
      <c r="AK9" s="68"/>
      <c r="AL9" s="68"/>
      <c r="AM9" s="68"/>
      <c r="AN9" s="68"/>
      <c r="AO9" s="68"/>
      <c r="AP9" s="68"/>
      <c r="AQ9" s="68"/>
      <c r="AR9" s="68"/>
      <c r="AS9" s="68"/>
      <c r="AT9" s="68"/>
      <c r="AU9" s="68"/>
      <c r="AV9" s="68"/>
      <c r="AW9" s="68"/>
      <c r="AX9" s="68"/>
      <c r="AY9" s="68"/>
      <c r="AZ9" s="68"/>
      <c r="BA9" s="68"/>
      <c r="BB9" s="68"/>
    </row>
    <row r="10" spans="1:54" ht="16.5" thickBot="1" x14ac:dyDescent="0.3">
      <c r="B10" s="46">
        <v>5</v>
      </c>
      <c r="C10" s="47">
        <f>'NHÁP 2'!C8+'NHÁP 2'!G8</f>
        <v>43472</v>
      </c>
      <c r="D10" s="48">
        <f>'NHÁP 2'!D8+IF('NHÁP 2'!$D$3&gt;0,'NHÁP 2'!$D$2,IF('NHÁP 2'!$D$3&lt;0,-'NHÁP 2'!$D$2,0))</f>
        <v>0.75</v>
      </c>
      <c r="E10" s="49" t="s">
        <v>52</v>
      </c>
      <c r="F10" s="50" t="str">
        <f>HLOOKUP('CÀI ĐẶT'!$E$2,'CÀI ĐẶT'!$C$32:$Z$56,10,0)</f>
        <v>CHINA P.R.</v>
      </c>
      <c r="G10" s="49">
        <v>2</v>
      </c>
      <c r="H10" s="49">
        <v>1</v>
      </c>
      <c r="I10" s="51" t="str">
        <f>HLOOKUP('CÀI ĐẶT'!$E$2,'CÀI ĐẶT'!$C$32:$Z$56,12,0)</f>
        <v>KYRGYZSTAN</v>
      </c>
      <c r="J10" s="52" t="s">
        <v>53</v>
      </c>
      <c r="L10" s="74">
        <v>3</v>
      </c>
      <c r="M10" s="75" t="str">
        <f>VLOOKUP(L10,'NHÁP 1'!$M$2:$W$6,2,0)</f>
        <v>BAHRAIN</v>
      </c>
      <c r="N10" s="74">
        <f>VLOOKUP(L10,'NHÁP 1'!$M$2:$W$6,3,0)</f>
        <v>3</v>
      </c>
      <c r="O10" s="74">
        <f>VLOOKUP(L10,'NHÁP 1'!$M$2:$W$6,4,0)</f>
        <v>1</v>
      </c>
      <c r="P10" s="74">
        <f>VLOOKUP(L10,'NHÁP 1'!$M$2:$W$6,5,0)</f>
        <v>1</v>
      </c>
      <c r="Q10" s="74">
        <f>VLOOKUP(L10,'NHÁP 1'!$M$2:$W$6,6,0)</f>
        <v>1</v>
      </c>
      <c r="R10" s="74">
        <f>VLOOKUP(L10,'NHÁP 1'!$M$2:$W$6,7,0)</f>
        <v>2</v>
      </c>
      <c r="S10" s="74">
        <f>VLOOKUP(L10,'NHÁP 1'!$M$2:$W$6,8,0)</f>
        <v>2</v>
      </c>
      <c r="T10" s="74">
        <f>VLOOKUP(L10,'NHÁP 1'!$M$2:$W$6,9,0)</f>
        <v>0</v>
      </c>
      <c r="U10" s="120">
        <f>VLOOKUP(L10,'NHÁP 1'!$M$2:$W$6,10,0)</f>
        <v>4</v>
      </c>
      <c r="W10" s="68"/>
      <c r="X10" s="68"/>
      <c r="Y10" s="68"/>
      <c r="Z10" s="68"/>
      <c r="AA10" s="68"/>
      <c r="AB10" s="99"/>
      <c r="AC10" s="100"/>
      <c r="AD10" s="92">
        <f>'NHÁP 2'!AD8+'NHÁP 2'!AH8</f>
        <v>43489</v>
      </c>
      <c r="AE10" s="93">
        <f>'NHÁP 2'!AE8+IF('NHÁP 2'!$D$3&gt;0,'NHÁP 2'!$D$2,IF('NHÁP 2'!$D$3&lt;0,-'NHÁP 2'!$D$2,0))</f>
        <v>0.83333333333333326</v>
      </c>
      <c r="AF10" s="74" t="s">
        <v>89</v>
      </c>
      <c r="AG10" s="74" t="s">
        <v>90</v>
      </c>
      <c r="AH10" s="94" t="s">
        <v>91</v>
      </c>
      <c r="AI10" s="95"/>
      <c r="AJ10" s="68"/>
      <c r="AK10" s="68"/>
      <c r="AL10" s="68"/>
      <c r="AM10" s="68"/>
      <c r="AN10" s="68"/>
      <c r="AO10" s="68"/>
      <c r="AP10" s="68"/>
      <c r="AQ10" s="68"/>
      <c r="AR10" s="68"/>
      <c r="AS10" s="68"/>
      <c r="AT10" s="68"/>
      <c r="AU10" s="68"/>
      <c r="AV10" s="68"/>
      <c r="AW10" s="68"/>
      <c r="AX10" s="68"/>
      <c r="AY10" s="68"/>
      <c r="AZ10" s="68"/>
      <c r="BA10" s="68"/>
      <c r="BB10" s="68"/>
    </row>
    <row r="11" spans="1:54" ht="17.25" thickTop="1" thickBot="1" x14ac:dyDescent="0.3">
      <c r="B11" s="46">
        <v>6</v>
      </c>
      <c r="C11" s="47">
        <f>'NHÁP 2'!C9+'NHÁP 2'!G9</f>
        <v>43472</v>
      </c>
      <c r="D11" s="48">
        <f>'NHÁP 2'!D9+IF('NHÁP 2'!$D$3&gt;0,'NHÁP 2'!$D$2,IF('NHÁP 2'!$D$3&lt;0,-'NHÁP 2'!$D$2,0))</f>
        <v>0.85416666666666674</v>
      </c>
      <c r="E11" s="49" t="s">
        <v>52</v>
      </c>
      <c r="F11" s="50" t="str">
        <f>HLOOKUP('CÀI ĐẶT'!$E$2,'CÀI ĐẶT'!$C$32:$Z$56,11,0)</f>
        <v>KOREA REPUBLIC</v>
      </c>
      <c r="G11" s="49">
        <v>1</v>
      </c>
      <c r="H11" s="49">
        <v>0</v>
      </c>
      <c r="I11" s="51" t="str">
        <f>HLOOKUP('CÀI ĐẶT'!$E$2,'CÀI ĐẶT'!$C$32:$Z$56,13,0)</f>
        <v>PHILIPPINES</v>
      </c>
      <c r="J11" s="52" t="s">
        <v>55</v>
      </c>
      <c r="L11" s="49">
        <v>4</v>
      </c>
      <c r="M11" s="64" t="str">
        <f>VLOOKUP(L11,'NHÁP 1'!$M$2:$W$6,2,0)</f>
        <v>INDIA</v>
      </c>
      <c r="N11" s="49">
        <f>VLOOKUP(L11,'NHÁP 1'!$M$2:$W$6,3,0)</f>
        <v>3</v>
      </c>
      <c r="O11" s="49">
        <f>VLOOKUP(L11,'NHÁP 1'!$M$2:$W$6,4,0)</f>
        <v>1</v>
      </c>
      <c r="P11" s="49">
        <f>VLOOKUP(L11,'NHÁP 1'!$M$2:$W$6,5,0)</f>
        <v>0</v>
      </c>
      <c r="Q11" s="49">
        <f>VLOOKUP(L11,'NHÁP 1'!$M$2:$W$6,6,0)</f>
        <v>2</v>
      </c>
      <c r="R11" s="49">
        <f>VLOOKUP(L11,'NHÁP 1'!$M$2:$W$6,7,0)</f>
        <v>4</v>
      </c>
      <c r="S11" s="49">
        <f>VLOOKUP(L11,'NHÁP 1'!$M$2:$W$6,8,0)</f>
        <v>4</v>
      </c>
      <c r="T11" s="49">
        <f>VLOOKUP(L11,'NHÁP 1'!$M$2:$W$6,9,0)</f>
        <v>0</v>
      </c>
      <c r="U11" s="121">
        <f>VLOOKUP(L11,'NHÁP 1'!$M$2:$W$6,10,0)</f>
        <v>3</v>
      </c>
      <c r="W11" s="101"/>
      <c r="X11" s="101"/>
      <c r="Y11" s="101"/>
      <c r="Z11" s="101"/>
      <c r="AA11" s="101"/>
      <c r="AB11" s="99"/>
      <c r="AC11" s="68"/>
      <c r="AD11" s="148">
        <v>45</v>
      </c>
      <c r="AE11" s="74" t="str">
        <f>IF('NHÁP 1'!AT6="","W37",'NHÁP 1'!AT6)</f>
        <v>VIETNAM</v>
      </c>
      <c r="AF11" s="74">
        <v>0</v>
      </c>
      <c r="AG11" s="74"/>
      <c r="AH11" s="94"/>
      <c r="AI11" s="96"/>
      <c r="AJ11" s="68"/>
      <c r="AK11" s="68"/>
      <c r="AL11" s="68"/>
      <c r="AM11" s="68"/>
      <c r="AN11" s="68"/>
      <c r="AO11" s="68"/>
      <c r="AP11" s="68"/>
      <c r="AQ11" s="68"/>
      <c r="AR11" s="68"/>
      <c r="AS11" s="68"/>
      <c r="AT11" s="68"/>
      <c r="AU11" s="68"/>
      <c r="AV11" s="68"/>
      <c r="AW11" s="68"/>
      <c r="AX11" s="68"/>
      <c r="AY11" s="68"/>
      <c r="AZ11" s="68"/>
      <c r="BA11" s="68"/>
      <c r="BB11" s="68"/>
    </row>
    <row r="12" spans="1:54" ht="16.5" thickBot="1" x14ac:dyDescent="0.3">
      <c r="B12" s="46">
        <v>7</v>
      </c>
      <c r="C12" s="47">
        <f>'NHÁP 2'!C10+'NHÁP 2'!G10</f>
        <v>43472</v>
      </c>
      <c r="D12" s="48">
        <f>'NHÁP 2'!D10+IF('NHÁP 2'!$D$3&gt;0,'NHÁP 2'!$D$2,IF('NHÁP 2'!$D$3&lt;0,-'NHÁP 2'!$D$2,0))</f>
        <v>0.95833333333333326</v>
      </c>
      <c r="E12" s="49" t="s">
        <v>54</v>
      </c>
      <c r="F12" s="50" t="str">
        <f>HLOOKUP('CÀI ĐẶT'!$E$2,'CÀI ĐẶT'!$C$32:$Z$56,15,0)</f>
        <v>IRAN</v>
      </c>
      <c r="G12" s="49">
        <v>5</v>
      </c>
      <c r="H12" s="49">
        <v>0</v>
      </c>
      <c r="I12" s="51" t="str">
        <f>HLOOKUP('CÀI ĐẶT'!$E$2,'CÀI ĐẶT'!$C$32:$Z$56,17,0)</f>
        <v>YEMEN</v>
      </c>
      <c r="J12" s="52" t="s">
        <v>56</v>
      </c>
      <c r="L12" s="68"/>
      <c r="M12" s="68"/>
      <c r="N12" s="68"/>
      <c r="O12" s="68"/>
      <c r="P12" s="68"/>
      <c r="Q12" s="68"/>
      <c r="R12" s="68"/>
      <c r="S12" s="68"/>
      <c r="T12" s="68"/>
      <c r="U12" s="68"/>
      <c r="W12" s="145" t="s">
        <v>51</v>
      </c>
      <c r="X12" s="146"/>
      <c r="Y12" s="146"/>
      <c r="Z12" s="146"/>
      <c r="AA12" s="147"/>
      <c r="AB12" s="99"/>
      <c r="AC12" s="68"/>
      <c r="AD12" s="149"/>
      <c r="AE12" s="97" t="str">
        <f>IF('NHÁP 1'!AT12="","W40",'NHÁP 1'!AT12)</f>
        <v>JAPAN</v>
      </c>
      <c r="AF12" s="97">
        <v>1</v>
      </c>
      <c r="AG12" s="97"/>
      <c r="AH12" s="98"/>
      <c r="AI12" s="99"/>
      <c r="AJ12" s="68"/>
      <c r="AK12" s="68"/>
      <c r="AL12" s="68"/>
      <c r="AM12" s="68"/>
      <c r="AN12" s="68"/>
      <c r="AO12" s="68"/>
      <c r="AP12" s="68"/>
      <c r="AQ12" s="68"/>
      <c r="AR12" s="68"/>
      <c r="AS12" s="68"/>
      <c r="AT12" s="68"/>
      <c r="AU12" s="68"/>
      <c r="AV12" s="68"/>
      <c r="AW12" s="68"/>
      <c r="AX12" s="68"/>
      <c r="AY12" s="68"/>
      <c r="AZ12" s="68"/>
      <c r="BA12" s="68"/>
      <c r="BB12" s="68"/>
    </row>
    <row r="13" spans="1:54" ht="16.5" thickBot="1" x14ac:dyDescent="0.3">
      <c r="B13" s="46">
        <v>8</v>
      </c>
      <c r="C13" s="47">
        <f>'NHÁP 2'!C11+'NHÁP 2'!G11</f>
        <v>43473</v>
      </c>
      <c r="D13" s="48">
        <f>'NHÁP 2'!D11+IF('NHÁP 2'!$D$3&gt;0,'NHÁP 2'!$D$2,IF('NHÁP 2'!$D$3&lt;0,-'NHÁP 2'!$D$2,0))</f>
        <v>0.85416666666666674</v>
      </c>
      <c r="E13" s="49" t="s">
        <v>54</v>
      </c>
      <c r="F13" s="50" t="str">
        <f>HLOOKUP('CÀI ĐẶT'!$E$2,'CÀI ĐẶT'!$C$32:$Z$56,14,0)</f>
        <v>IRAQ</v>
      </c>
      <c r="G13" s="49">
        <v>3</v>
      </c>
      <c r="H13" s="49">
        <v>2</v>
      </c>
      <c r="I13" s="51" t="str">
        <f>HLOOKUP('CÀI ĐẶT'!$E$2,'CÀI ĐẶT'!$C$32:$Z$56,16,0)</f>
        <v>VIETNAM</v>
      </c>
      <c r="J13" s="52" t="s">
        <v>48</v>
      </c>
      <c r="L13" s="151" t="str">
        <f>HLOOKUP('CÀI ĐẶT'!E2,'CÀI ĐẶT'!C32:Z112,76,0)</f>
        <v>GROUP B</v>
      </c>
      <c r="M13" s="152"/>
      <c r="N13" s="152"/>
      <c r="O13" s="152"/>
      <c r="P13" s="152"/>
      <c r="Q13" s="152"/>
      <c r="R13" s="152"/>
      <c r="S13" s="152"/>
      <c r="T13" s="152"/>
      <c r="U13" s="153"/>
      <c r="W13" s="92">
        <f>'NHÁP 2'!W11+'NHÁP 2'!AA11</f>
        <v>43486</v>
      </c>
      <c r="X13" s="93">
        <f>'NHÁP 2'!X11+IF('NHÁP 2'!$D$3&gt;0,'NHÁP 2'!$D$2,IF('NHÁP 2'!$D$3&lt;0,-'NHÁP 2'!$D$2,0))</f>
        <v>0.75</v>
      </c>
      <c r="Y13" s="74" t="s">
        <v>89</v>
      </c>
      <c r="Z13" s="74" t="s">
        <v>90</v>
      </c>
      <c r="AA13" s="94" t="s">
        <v>91</v>
      </c>
      <c r="AB13" s="102"/>
      <c r="AC13" s="68"/>
      <c r="AD13" s="68"/>
      <c r="AE13" s="68"/>
      <c r="AF13" s="68"/>
      <c r="AG13" s="68"/>
      <c r="AH13" s="68"/>
      <c r="AI13" s="99"/>
      <c r="AJ13" s="68"/>
      <c r="AK13" s="68"/>
      <c r="AL13" s="68"/>
      <c r="AM13" s="68"/>
      <c r="AN13" s="68"/>
      <c r="AO13" s="68"/>
      <c r="AP13" s="68"/>
      <c r="AQ13" s="68"/>
      <c r="AR13" s="68"/>
      <c r="AS13" s="68"/>
      <c r="AT13" s="68"/>
      <c r="AU13" s="68"/>
      <c r="AV13" s="68"/>
      <c r="AW13" s="68"/>
      <c r="AX13" s="68"/>
      <c r="AY13" s="68"/>
      <c r="AZ13" s="68"/>
      <c r="BA13" s="68"/>
      <c r="BB13" s="68"/>
    </row>
    <row r="14" spans="1:54" ht="17.25" thickTop="1" thickBot="1" x14ac:dyDescent="0.3">
      <c r="B14" s="46">
        <v>9</v>
      </c>
      <c r="C14" s="47">
        <f>'NHÁP 2'!C12+'NHÁP 2'!G12</f>
        <v>43473</v>
      </c>
      <c r="D14" s="48">
        <f>'NHÁP 2'!D12+IF('NHÁP 2'!$D$3&gt;0,'NHÁP 2'!$D$2,IF('NHÁP 2'!$D$3&lt;0,-'NHÁP 2'!$D$2,0))</f>
        <v>0.95833333333333326</v>
      </c>
      <c r="E14" s="49" t="s">
        <v>57</v>
      </c>
      <c r="F14" s="50" t="str">
        <f>HLOOKUP('CÀI ĐẶT'!$E$2,'CÀI ĐẶT'!$C$32:$Z$56,21,0)</f>
        <v>SAUDI ARABIA</v>
      </c>
      <c r="G14" s="49">
        <v>4</v>
      </c>
      <c r="H14" s="49">
        <v>0</v>
      </c>
      <c r="I14" s="51" t="str">
        <f>HLOOKUP('CÀI ĐẶT'!$E$2,'CÀI ĐẶT'!$C$32:$Z$56,18,0)</f>
        <v>DPR KOREA</v>
      </c>
      <c r="J14" s="52" t="s">
        <v>58</v>
      </c>
      <c r="L14" s="69" t="str">
        <f>HLOOKUP('CÀI ĐẶT'!E2,'CÀI ĐẶT'!C32:Z112,81,0)</f>
        <v>POS.</v>
      </c>
      <c r="M14" s="70" t="str">
        <f>HLOOKUP('CÀI ĐẶT'!E2,'CÀI ĐẶT'!C32:Z105,72,0)</f>
        <v>TEAMS</v>
      </c>
      <c r="N14" s="70" t="s">
        <v>62</v>
      </c>
      <c r="O14" s="70" t="s">
        <v>63</v>
      </c>
      <c r="P14" s="70" t="s">
        <v>54</v>
      </c>
      <c r="Q14" s="70" t="s">
        <v>64</v>
      </c>
      <c r="R14" s="70" t="s">
        <v>65</v>
      </c>
      <c r="S14" s="70" t="s">
        <v>66</v>
      </c>
      <c r="T14" s="70" t="s">
        <v>67</v>
      </c>
      <c r="U14" s="71" t="s">
        <v>68</v>
      </c>
      <c r="W14" s="148">
        <v>40</v>
      </c>
      <c r="X14" s="74" t="str">
        <f>IF(SUM(N43:N46)=12,M43,"1F")</f>
        <v>JAPAN</v>
      </c>
      <c r="Y14" s="74">
        <v>1</v>
      </c>
      <c r="Z14" s="74"/>
      <c r="AA14" s="94"/>
      <c r="AB14" s="68"/>
      <c r="AC14" s="68"/>
      <c r="AD14" s="68"/>
      <c r="AE14" s="68"/>
      <c r="AF14" s="68"/>
      <c r="AG14" s="68"/>
      <c r="AH14" s="68"/>
      <c r="AI14" s="99"/>
      <c r="AJ14" s="68"/>
      <c r="AK14" s="68"/>
      <c r="AL14" s="68"/>
      <c r="AM14" s="68"/>
      <c r="AN14" s="68"/>
      <c r="AO14" s="68"/>
      <c r="AP14" s="68"/>
      <c r="AQ14" s="68"/>
      <c r="AR14" s="68"/>
      <c r="AS14" s="68"/>
      <c r="AT14" s="68"/>
      <c r="AU14" s="68"/>
      <c r="AV14" s="68"/>
      <c r="AW14" s="68"/>
      <c r="AX14" s="68"/>
      <c r="AY14" s="68"/>
      <c r="AZ14" s="68"/>
      <c r="BA14" s="68"/>
      <c r="BB14" s="68"/>
    </row>
    <row r="15" spans="1:54" ht="16.5" thickBot="1" x14ac:dyDescent="0.3">
      <c r="B15" s="46">
        <v>10</v>
      </c>
      <c r="C15" s="47">
        <f>'NHÁP 2'!C13+'NHÁP 2'!G13</f>
        <v>43474</v>
      </c>
      <c r="D15" s="48">
        <f>'NHÁP 2'!D13+IF('NHÁP 2'!$D$3&gt;0,'NHÁP 2'!$D$2,IF('NHÁP 2'!$D$3&lt;0,-'NHÁP 2'!$D$2,0))</f>
        <v>0.75</v>
      </c>
      <c r="E15" s="49" t="s">
        <v>59</v>
      </c>
      <c r="F15" s="50" t="str">
        <f>HLOOKUP('CÀI ĐẶT'!$E$2,'CÀI ĐẶT'!$C$32:$Z$56,22,0)</f>
        <v>JAPAN</v>
      </c>
      <c r="G15" s="49">
        <v>3</v>
      </c>
      <c r="H15" s="49">
        <v>2</v>
      </c>
      <c r="I15" s="51" t="str">
        <f>HLOOKUP('CÀI ĐẶT'!$E$2,'CÀI ĐẶT'!$C$32:$Z$56,24,0)</f>
        <v>TURKMENISTAN</v>
      </c>
      <c r="J15" s="52" t="s">
        <v>50</v>
      </c>
      <c r="L15" s="72">
        <v>1</v>
      </c>
      <c r="M15" s="73" t="str">
        <f>VLOOKUP(L15,'NHÁP 1'!$M$8:$W$12,2,0)</f>
        <v>JORDAN</v>
      </c>
      <c r="N15" s="72">
        <f>VLOOKUP(L15,'NHÁP 1'!$M$8:$W$12,3,0)</f>
        <v>3</v>
      </c>
      <c r="O15" s="72">
        <f>VLOOKUP(L15,'NHÁP 1'!$M$8:$W$12,4,0)</f>
        <v>2</v>
      </c>
      <c r="P15" s="72">
        <f>VLOOKUP(L15,'NHÁP 1'!$M$8:$W$12,5,0)</f>
        <v>1</v>
      </c>
      <c r="Q15" s="72">
        <f>VLOOKUP(L15,'NHÁP 1'!$M$8:$W$12,6,0)</f>
        <v>0</v>
      </c>
      <c r="R15" s="72">
        <f>VLOOKUP(L15,'NHÁP 1'!$M$8:$W$12,7,0)</f>
        <v>3</v>
      </c>
      <c r="S15" s="72">
        <f>VLOOKUP(L15,'NHÁP 1'!$M$8:$W$12,8,0)</f>
        <v>0</v>
      </c>
      <c r="T15" s="72">
        <f>VLOOKUP(L15,'NHÁP 1'!$M$8:$W$12,9,0)</f>
        <v>3</v>
      </c>
      <c r="U15" s="119">
        <f>VLOOKUP(L15,'NHÁP 1'!$M$8:$W$12,10,0)</f>
        <v>7</v>
      </c>
      <c r="W15" s="149"/>
      <c r="X15" s="97" t="str">
        <f>IF(SUM(N36:N39)=12,M37,"2E")</f>
        <v>SAUDI ARABIA</v>
      </c>
      <c r="Y15" s="97">
        <v>0</v>
      </c>
      <c r="Z15" s="97"/>
      <c r="AA15" s="98"/>
      <c r="AB15" s="68"/>
      <c r="AC15" s="68"/>
      <c r="AD15" s="68"/>
      <c r="AE15" s="68"/>
      <c r="AF15" s="68"/>
      <c r="AG15" s="68"/>
      <c r="AH15" s="68"/>
      <c r="AI15" s="99"/>
      <c r="AJ15" s="68"/>
      <c r="AK15" s="145" t="s">
        <v>49</v>
      </c>
      <c r="AL15" s="146"/>
      <c r="AM15" s="146"/>
      <c r="AN15" s="146"/>
      <c r="AO15" s="147"/>
      <c r="AP15" s="68"/>
      <c r="AQ15" s="68"/>
      <c r="AR15" s="68"/>
      <c r="AS15" s="68"/>
      <c r="AT15" s="68"/>
      <c r="AU15" s="68"/>
      <c r="AV15" s="68"/>
      <c r="AW15" s="68"/>
      <c r="AX15" s="68"/>
      <c r="AY15" s="68"/>
      <c r="AZ15" s="68"/>
      <c r="BA15" s="68"/>
      <c r="BB15" s="68"/>
    </row>
    <row r="16" spans="1:54" ht="16.5" thickBot="1" x14ac:dyDescent="0.3">
      <c r="B16" s="46">
        <v>11</v>
      </c>
      <c r="C16" s="47">
        <f>'NHÁP 2'!C14+'NHÁP 2'!G14</f>
        <v>43474</v>
      </c>
      <c r="D16" s="48">
        <f>'NHÁP 2'!D14+IF('NHÁP 2'!$D$3&gt;0,'NHÁP 2'!$D$2,IF('NHÁP 2'!$D$3&lt;0,-'NHÁP 2'!$D$2,0))</f>
        <v>0.85416666666666674</v>
      </c>
      <c r="E16" s="49" t="s">
        <v>59</v>
      </c>
      <c r="F16" s="50" t="str">
        <f>HLOOKUP('CÀI ĐẶT'!$E$2,'CÀI ĐẶT'!$C$32:$Z$56,25,0)</f>
        <v>UZBEKISTAN</v>
      </c>
      <c r="G16" s="49">
        <v>2</v>
      </c>
      <c r="H16" s="49">
        <v>1</v>
      </c>
      <c r="I16" s="51" t="str">
        <f>HLOOKUP('CÀI ĐẶT'!$E$2,'CÀI ĐẶT'!$C$32:$Z$56,23,0)</f>
        <v>OMAN</v>
      </c>
      <c r="J16" s="52" t="s">
        <v>51</v>
      </c>
      <c r="L16" s="72">
        <v>2</v>
      </c>
      <c r="M16" s="73" t="str">
        <f>VLOOKUP(L16,'NHÁP 1'!$M$8:$W$12,2,0)</f>
        <v>AUSTRALIA</v>
      </c>
      <c r="N16" s="72">
        <f>VLOOKUP(L16,'NHÁP 1'!$M$8:$W$12,3,0)</f>
        <v>3</v>
      </c>
      <c r="O16" s="72">
        <f>VLOOKUP(L16,'NHÁP 1'!$M$8:$W$12,4,0)</f>
        <v>2</v>
      </c>
      <c r="P16" s="72">
        <f>VLOOKUP(L16,'NHÁP 1'!$M$8:$W$12,5,0)</f>
        <v>0</v>
      </c>
      <c r="Q16" s="72">
        <f>VLOOKUP(L16,'NHÁP 1'!$M$8:$W$12,6,0)</f>
        <v>1</v>
      </c>
      <c r="R16" s="72">
        <f>VLOOKUP(L16,'NHÁP 1'!$M$8:$W$12,7,0)</f>
        <v>6</v>
      </c>
      <c r="S16" s="72">
        <f>VLOOKUP(L16,'NHÁP 1'!$M$8:$W$12,8,0)</f>
        <v>3</v>
      </c>
      <c r="T16" s="72">
        <f>VLOOKUP(L16,'NHÁP 1'!$M$8:$W$12,9,0)</f>
        <v>3</v>
      </c>
      <c r="U16" s="119">
        <f>VLOOKUP(L16,'NHÁP 1'!$M$8:$W$12,10,0)</f>
        <v>6</v>
      </c>
      <c r="W16" s="68"/>
      <c r="X16" s="68"/>
      <c r="Y16" s="68"/>
      <c r="Z16" s="68"/>
      <c r="AA16" s="68"/>
      <c r="AB16" s="68"/>
      <c r="AC16" s="68"/>
      <c r="AD16" s="68"/>
      <c r="AE16" s="68"/>
      <c r="AF16" s="68"/>
      <c r="AG16" s="68"/>
      <c r="AH16" s="68"/>
      <c r="AI16" s="99"/>
      <c r="AJ16" s="100"/>
      <c r="AK16" s="92">
        <f>'NHÁP 2'!AK14+'NHÁP 2'!AO14</f>
        <v>43493</v>
      </c>
      <c r="AL16" s="93">
        <f>'NHÁP 2'!AL14+IF('NHÁP 2'!$D$3&gt;0,'NHÁP 2'!$D$2,IF('NHÁP 2'!$D$3&lt;0,-'NHÁP 2'!$D$2,0))</f>
        <v>0.875</v>
      </c>
      <c r="AM16" s="74" t="s">
        <v>89</v>
      </c>
      <c r="AN16" s="74" t="s">
        <v>90</v>
      </c>
      <c r="AO16" s="94" t="s">
        <v>91</v>
      </c>
      <c r="AP16" s="95"/>
      <c r="AQ16" s="68"/>
      <c r="AR16" s="68"/>
      <c r="AS16" s="68"/>
      <c r="AT16" s="68"/>
      <c r="AU16" s="68"/>
      <c r="AV16" s="68"/>
      <c r="AW16" s="68"/>
      <c r="AX16" s="68"/>
      <c r="AY16" s="68"/>
      <c r="AZ16" s="68"/>
      <c r="BA16" s="68"/>
      <c r="BB16" s="68"/>
    </row>
    <row r="17" spans="1:54" ht="17.25" thickTop="1" thickBot="1" x14ac:dyDescent="0.3">
      <c r="B17" s="53">
        <v>12</v>
      </c>
      <c r="C17" s="54">
        <f>'NHÁP 2'!C15+'NHÁP 2'!G15</f>
        <v>43474</v>
      </c>
      <c r="D17" s="55">
        <f>'NHÁP 2'!D15+IF('NHÁP 2'!$D$3&gt;0,'NHÁP 2'!$D$2,IF('NHÁP 2'!$D$3&lt;0,-'NHÁP 2'!$D$2,0))</f>
        <v>0.95833333333333326</v>
      </c>
      <c r="E17" s="56" t="s">
        <v>57</v>
      </c>
      <c r="F17" s="57" t="str">
        <f>HLOOKUP('CÀI ĐẶT'!$E$2,'CÀI ĐẶT'!$C$32:$Z$56,20,0)</f>
        <v>QATAR</v>
      </c>
      <c r="G17" s="56">
        <v>2</v>
      </c>
      <c r="H17" s="56">
        <v>0</v>
      </c>
      <c r="I17" s="58" t="str">
        <f>HLOOKUP('CÀI ĐẶT'!$E$2,'CÀI ĐẶT'!$C$32:$Z$56,19,0)</f>
        <v>LEBANON</v>
      </c>
      <c r="J17" s="59" t="s">
        <v>49</v>
      </c>
      <c r="L17" s="74">
        <v>3</v>
      </c>
      <c r="M17" s="75" t="str">
        <f>VLOOKUP(L17,'NHÁP 1'!$M$8:$W$12,2,0)</f>
        <v>PALESTINE</v>
      </c>
      <c r="N17" s="74">
        <f>VLOOKUP(L17,'NHÁP 1'!$M$8:$W$12,3,0)</f>
        <v>3</v>
      </c>
      <c r="O17" s="74">
        <f>VLOOKUP(L17,'NHÁP 1'!$M$8:$W$12,4,0)</f>
        <v>0</v>
      </c>
      <c r="P17" s="74">
        <f>VLOOKUP(L17,'NHÁP 1'!$M$8:$W$12,5,0)</f>
        <v>2</v>
      </c>
      <c r="Q17" s="74">
        <f>VLOOKUP(L17,'NHÁP 1'!$M$8:$W$12,6,0)</f>
        <v>1</v>
      </c>
      <c r="R17" s="74">
        <f>VLOOKUP(L17,'NHÁP 1'!$M$8:$W$12,7,0)</f>
        <v>0</v>
      </c>
      <c r="S17" s="74">
        <f>VLOOKUP(L17,'NHÁP 1'!$M$8:$W$12,8,0)</f>
        <v>3</v>
      </c>
      <c r="T17" s="74">
        <f>VLOOKUP(L17,'NHÁP 1'!$M$8:$W$12,9,0)</f>
        <v>-3</v>
      </c>
      <c r="U17" s="120">
        <f>VLOOKUP(L17,'NHÁP 1'!$M$8:$W$12,10,0)</f>
        <v>2</v>
      </c>
      <c r="W17" s="68"/>
      <c r="X17" s="68"/>
      <c r="Y17" s="68"/>
      <c r="Z17" s="68"/>
      <c r="AA17" s="68"/>
      <c r="AB17" s="68"/>
      <c r="AC17" s="68"/>
      <c r="AD17" s="68"/>
      <c r="AE17" s="68"/>
      <c r="AF17" s="68"/>
      <c r="AG17" s="68"/>
      <c r="AH17" s="68"/>
      <c r="AI17" s="99"/>
      <c r="AJ17" s="68"/>
      <c r="AK17" s="148">
        <v>49</v>
      </c>
      <c r="AL17" s="74" t="str">
        <f>IF('NHÁP 1'!BA9="","W45",'NHÁP 1'!BA9)</f>
        <v>JAPAN</v>
      </c>
      <c r="AM17" s="74">
        <v>3</v>
      </c>
      <c r="AN17" s="74"/>
      <c r="AO17" s="94"/>
      <c r="AP17" s="99"/>
      <c r="AQ17" s="68"/>
      <c r="AR17" s="68"/>
      <c r="AS17" s="68"/>
      <c r="AT17" s="68"/>
      <c r="AU17" s="68"/>
      <c r="AV17" s="68"/>
      <c r="AW17" s="68"/>
      <c r="AX17" s="68"/>
      <c r="AY17" s="68"/>
      <c r="AZ17" s="68"/>
      <c r="BA17" s="68"/>
      <c r="BB17" s="68"/>
    </row>
    <row r="18" spans="1:54" ht="17.25" thickTop="1" thickBot="1" x14ac:dyDescent="0.3">
      <c r="B18" s="60">
        <v>13</v>
      </c>
      <c r="C18" s="40">
        <f>'NHÁP 2'!C16+'NHÁP 2'!G16</f>
        <v>43475</v>
      </c>
      <c r="D18" s="41">
        <f>'NHÁP 2'!D16+IF('NHÁP 2'!$D$3&gt;0,'NHÁP 2'!$D$2,IF('NHÁP 2'!$D$3&lt;0,-'NHÁP 2'!$D$2,0))</f>
        <v>0.75</v>
      </c>
      <c r="E18" s="42" t="s">
        <v>21</v>
      </c>
      <c r="F18" s="61" t="str">
        <f>HLOOKUP('CÀI ĐẶT'!$E$2,'CÀI ĐẶT'!$C$32:$Z$56,3,0)</f>
        <v>BAHRAIN</v>
      </c>
      <c r="G18" s="42">
        <v>0</v>
      </c>
      <c r="H18" s="42">
        <v>1</v>
      </c>
      <c r="I18" s="62" t="str">
        <f>HLOOKUP('CÀI ĐẶT'!$E$2,'CÀI ĐẶT'!$C$32:$Z$56,5,0)</f>
        <v>THAILAND</v>
      </c>
      <c r="J18" s="45" t="s">
        <v>55</v>
      </c>
      <c r="L18" s="49">
        <v>4</v>
      </c>
      <c r="M18" s="64" t="str">
        <f>VLOOKUP(L18,'NHÁP 1'!$M$8:$W$12,2,0)</f>
        <v>SYRIA</v>
      </c>
      <c r="N18" s="49">
        <f>VLOOKUP(L18,'NHÁP 1'!$M$8:$W$12,3,0)</f>
        <v>3</v>
      </c>
      <c r="O18" s="49">
        <f>VLOOKUP(L18,'NHÁP 1'!$M$8:$W$12,4,0)</f>
        <v>0</v>
      </c>
      <c r="P18" s="49">
        <f>VLOOKUP(L18,'NHÁP 1'!$M$8:$W$12,5,0)</f>
        <v>1</v>
      </c>
      <c r="Q18" s="49">
        <f>VLOOKUP(L18,'NHÁP 1'!$M$8:$W$12,6,0)</f>
        <v>2</v>
      </c>
      <c r="R18" s="49">
        <f>VLOOKUP(L18,'NHÁP 1'!$M$8:$W$12,7,0)</f>
        <v>2</v>
      </c>
      <c r="S18" s="49">
        <f>VLOOKUP(L18,'NHÁP 1'!$M$8:$W$12,8,0)</f>
        <v>5</v>
      </c>
      <c r="T18" s="49">
        <f>VLOOKUP(L18,'NHÁP 1'!$M$8:$W$12,9,0)</f>
        <v>-3</v>
      </c>
      <c r="U18" s="121">
        <f>VLOOKUP(L18,'NHÁP 1'!$M$8:$W$12,10,0)</f>
        <v>1</v>
      </c>
      <c r="W18" s="145" t="s">
        <v>49</v>
      </c>
      <c r="X18" s="146"/>
      <c r="Y18" s="146"/>
      <c r="Z18" s="146"/>
      <c r="AA18" s="147"/>
      <c r="AB18" s="68"/>
      <c r="AC18" s="68"/>
      <c r="AD18" s="68"/>
      <c r="AE18" s="68"/>
      <c r="AF18" s="68"/>
      <c r="AG18" s="68"/>
      <c r="AH18" s="68"/>
      <c r="AI18" s="99"/>
      <c r="AJ18" s="68"/>
      <c r="AK18" s="149"/>
      <c r="AL18" s="97" t="str">
        <f>IF('NHÁP 1'!BA21="","W46",'NHÁP 1'!BA21)</f>
        <v>IRAN</v>
      </c>
      <c r="AM18" s="97">
        <v>0</v>
      </c>
      <c r="AN18" s="97"/>
      <c r="AO18" s="98"/>
      <c r="AP18" s="99"/>
      <c r="AQ18" s="68"/>
      <c r="AR18" s="68"/>
      <c r="AS18" s="68"/>
      <c r="AT18" s="68"/>
      <c r="AU18" s="68"/>
      <c r="AV18" s="68"/>
      <c r="AW18" s="68"/>
      <c r="AX18" s="68"/>
      <c r="AY18" s="68"/>
      <c r="AZ18" s="68"/>
      <c r="BA18" s="68"/>
      <c r="BB18" s="68"/>
    </row>
    <row r="19" spans="1:54" ht="15.75" thickBot="1" x14ac:dyDescent="0.3">
      <c r="B19" s="46">
        <v>14</v>
      </c>
      <c r="C19" s="47">
        <f>'NHÁP 2'!C17+'NHÁP 2'!G17</f>
        <v>43475</v>
      </c>
      <c r="D19" s="48">
        <f>'NHÁP 2'!D17+IF('NHÁP 2'!$D$3&gt;0,'NHÁP 2'!$D$2,IF('NHÁP 2'!$D$3&lt;0,-'NHÁP 2'!$D$2,0))</f>
        <v>0.85416666666666674</v>
      </c>
      <c r="E19" s="49" t="s">
        <v>22</v>
      </c>
      <c r="F19" s="63" t="str">
        <f>HLOOKUP('CÀI ĐẶT'!$E$2,'CÀI ĐẶT'!$C$32:$Z$56,7,0)</f>
        <v>JORDAN</v>
      </c>
      <c r="G19" s="49">
        <v>2</v>
      </c>
      <c r="H19" s="49">
        <v>0</v>
      </c>
      <c r="I19" s="64" t="str">
        <f>HLOOKUP('CÀI ĐẶT'!$E$2,'CÀI ĐẶT'!$C$32:$Z$56,9,0)</f>
        <v>SYRIA</v>
      </c>
      <c r="J19" s="52" t="s">
        <v>53</v>
      </c>
      <c r="L19" s="68"/>
      <c r="M19" s="68"/>
      <c r="N19" s="68"/>
      <c r="O19" s="68"/>
      <c r="P19" s="68"/>
      <c r="Q19" s="68"/>
      <c r="R19" s="68"/>
      <c r="S19" s="68"/>
      <c r="T19" s="68"/>
      <c r="U19" s="68"/>
      <c r="W19" s="92">
        <f>'NHÁP 2'!W17+'NHÁP 2'!AA17</f>
        <v>43485</v>
      </c>
      <c r="X19" s="93">
        <f>'NHÁP 2'!X17+IF('NHÁP 2'!$D$3&gt;0,'NHÁP 2'!$D$2,IF('NHÁP 2'!$D$3&lt;0,-'NHÁP 2'!$D$2,0))</f>
        <v>0.875</v>
      </c>
      <c r="Y19" s="74" t="s">
        <v>89</v>
      </c>
      <c r="Z19" s="74" t="s">
        <v>90</v>
      </c>
      <c r="AA19" s="94" t="s">
        <v>91</v>
      </c>
      <c r="AB19" s="95"/>
      <c r="AC19" s="68"/>
      <c r="AD19" s="68"/>
      <c r="AE19" s="68"/>
      <c r="AF19" s="68"/>
      <c r="AG19" s="68"/>
      <c r="AH19" s="68"/>
      <c r="AI19" s="99"/>
      <c r="AJ19" s="68"/>
      <c r="AK19" s="68"/>
      <c r="AL19" s="68"/>
      <c r="AM19" s="68"/>
      <c r="AN19" s="68"/>
      <c r="AO19" s="68"/>
      <c r="AP19" s="99"/>
      <c r="AQ19" s="68"/>
      <c r="AR19" s="68"/>
      <c r="AS19" s="68"/>
      <c r="AT19" s="68"/>
      <c r="AU19" s="68"/>
      <c r="AV19" s="68"/>
      <c r="AW19" s="68"/>
      <c r="AX19" s="68"/>
      <c r="AY19" s="68"/>
      <c r="AZ19" s="68"/>
      <c r="BA19" s="68"/>
      <c r="BB19" s="68"/>
    </row>
    <row r="20" spans="1:54" ht="17.25" thickTop="1" thickBot="1" x14ac:dyDescent="0.3">
      <c r="B20" s="46">
        <v>15</v>
      </c>
      <c r="C20" s="47">
        <f>'NHÁP 2'!C18+'NHÁP 2'!G18</f>
        <v>43475</v>
      </c>
      <c r="D20" s="48">
        <f>'NHÁP 2'!D18+IF('NHÁP 2'!$D$3&gt;0,'NHÁP 2'!$D$2,IF('NHÁP 2'!$D$3&lt;0,-'NHÁP 2'!$D$2,0))</f>
        <v>0.95833333333333326</v>
      </c>
      <c r="E20" s="49" t="s">
        <v>21</v>
      </c>
      <c r="F20" s="63" t="str">
        <f>HLOOKUP('CÀI ĐẶT'!$E$2,'CÀI ĐẶT'!$C$32:$Z$56,2,0)</f>
        <v>INDIA</v>
      </c>
      <c r="G20" s="49">
        <v>0</v>
      </c>
      <c r="H20" s="49">
        <v>2</v>
      </c>
      <c r="I20" s="64" t="str">
        <f>HLOOKUP('CÀI ĐẶT'!$E$2,'CÀI ĐẶT'!$C$32:$Z$56,4,0)</f>
        <v>UNITED ARAB EMIRATES</v>
      </c>
      <c r="J20" s="52" t="s">
        <v>48</v>
      </c>
      <c r="L20" s="151" t="str">
        <f>HLOOKUP('CÀI ĐẶT'!E2,'CÀI ĐẶT'!C32:Z112,77,0)</f>
        <v>GROUP C</v>
      </c>
      <c r="M20" s="152"/>
      <c r="N20" s="152"/>
      <c r="O20" s="152"/>
      <c r="P20" s="152"/>
      <c r="Q20" s="152"/>
      <c r="R20" s="152"/>
      <c r="S20" s="152"/>
      <c r="T20" s="152"/>
      <c r="U20" s="153"/>
      <c r="W20" s="148">
        <v>38</v>
      </c>
      <c r="X20" s="74" t="str">
        <f>IF(SUM(N8:N11)=12,M9,"2A")</f>
        <v>THAILAND</v>
      </c>
      <c r="Y20" s="74">
        <v>1</v>
      </c>
      <c r="Z20" s="74"/>
      <c r="AA20" s="94"/>
      <c r="AB20" s="96"/>
      <c r="AC20" s="68"/>
      <c r="AD20" s="68"/>
      <c r="AE20" s="68"/>
      <c r="AF20" s="68"/>
      <c r="AG20" s="68"/>
      <c r="AH20" s="68"/>
      <c r="AI20" s="99"/>
      <c r="AJ20" s="68"/>
      <c r="AK20" s="68"/>
      <c r="AL20" s="68"/>
      <c r="AM20" s="68"/>
      <c r="AN20" s="68"/>
      <c r="AO20" s="68"/>
      <c r="AP20" s="99"/>
      <c r="AQ20" s="68"/>
      <c r="AR20" s="68"/>
      <c r="AS20" s="68"/>
      <c r="AT20" s="68"/>
      <c r="AU20" s="68"/>
      <c r="AV20" s="68"/>
      <c r="AW20" s="68"/>
      <c r="AX20" s="68"/>
      <c r="AY20" s="68"/>
      <c r="AZ20" s="68"/>
      <c r="BA20" s="68"/>
      <c r="BB20" s="68"/>
    </row>
    <row r="21" spans="1:54" ht="16.5" thickBot="1" x14ac:dyDescent="0.3">
      <c r="B21" s="46">
        <v>16</v>
      </c>
      <c r="C21" s="47">
        <f>'NHÁP 2'!C19+'NHÁP 2'!G19</f>
        <v>43476</v>
      </c>
      <c r="D21" s="48">
        <f>'NHÁP 2'!D19+IF('NHÁP 2'!$D$3&gt;0,'NHÁP 2'!$D$2,IF('NHÁP 2'!$D$3&lt;0,-'NHÁP 2'!$D$2,0))</f>
        <v>0.75</v>
      </c>
      <c r="E21" s="49" t="s">
        <v>22</v>
      </c>
      <c r="F21" s="63" t="str">
        <f>HLOOKUP('CÀI ĐẶT'!$E$2,'CÀI ĐẶT'!$C$32:$Z$56,8,0)</f>
        <v>PALESTINE</v>
      </c>
      <c r="G21" s="49">
        <v>0</v>
      </c>
      <c r="H21" s="49">
        <v>3</v>
      </c>
      <c r="I21" s="64" t="str">
        <f>HLOOKUP('CÀI ĐẶT'!$E$2,'CÀI ĐẶT'!$C$32:$Z$56,6,0)</f>
        <v>AUSTRALIA</v>
      </c>
      <c r="J21" s="52" t="s">
        <v>58</v>
      </c>
      <c r="L21" s="69" t="str">
        <f>HLOOKUP('CÀI ĐẶT'!E2,'CÀI ĐẶT'!C32:Z112,81,0)</f>
        <v>POS.</v>
      </c>
      <c r="M21" s="70" t="str">
        <f>HLOOKUP('CÀI ĐẶT'!E2,'CÀI ĐẶT'!C32:Z105,72,0)</f>
        <v>TEAMS</v>
      </c>
      <c r="N21" s="70" t="s">
        <v>62</v>
      </c>
      <c r="O21" s="70" t="s">
        <v>63</v>
      </c>
      <c r="P21" s="70" t="s">
        <v>54</v>
      </c>
      <c r="Q21" s="70" t="s">
        <v>64</v>
      </c>
      <c r="R21" s="70" t="s">
        <v>65</v>
      </c>
      <c r="S21" s="70" t="s">
        <v>66</v>
      </c>
      <c r="T21" s="70" t="s">
        <v>67</v>
      </c>
      <c r="U21" s="71" t="s">
        <v>68</v>
      </c>
      <c r="W21" s="149"/>
      <c r="X21" s="97" t="str">
        <f>IF(SUM(N22:N25)=12,M23,"2C")</f>
        <v>CHINA P.R.</v>
      </c>
      <c r="Y21" s="97">
        <v>2</v>
      </c>
      <c r="Z21" s="97"/>
      <c r="AA21" s="98"/>
      <c r="AB21" s="99"/>
      <c r="AC21" s="68"/>
      <c r="AD21" s="145" t="s">
        <v>56</v>
      </c>
      <c r="AE21" s="146"/>
      <c r="AF21" s="146"/>
      <c r="AG21" s="146"/>
      <c r="AH21" s="147"/>
      <c r="AI21" s="99"/>
      <c r="AJ21" s="68"/>
      <c r="AK21" s="68"/>
      <c r="AL21" s="68"/>
      <c r="AM21" s="68"/>
      <c r="AN21" s="68"/>
      <c r="AO21" s="68"/>
      <c r="AP21" s="99"/>
      <c r="AQ21" s="68"/>
      <c r="AR21" s="68"/>
      <c r="AS21" s="68"/>
      <c r="AT21" s="68"/>
      <c r="AU21" s="68"/>
      <c r="AV21" s="68"/>
      <c r="AW21" s="68"/>
      <c r="AX21" s="68"/>
      <c r="AY21" s="68"/>
      <c r="AZ21" s="68"/>
      <c r="BA21" s="68"/>
      <c r="BB21" s="68"/>
    </row>
    <row r="22" spans="1:54" ht="16.5" thickBot="1" x14ac:dyDescent="0.3">
      <c r="B22" s="46">
        <v>17</v>
      </c>
      <c r="C22" s="47">
        <f>'NHÁP 2'!C20+'NHÁP 2'!G20</f>
        <v>43476</v>
      </c>
      <c r="D22" s="48">
        <f>'NHÁP 2'!D20+IF('NHÁP 2'!$D$3&gt;0,'NHÁP 2'!$D$2,IF('NHÁP 2'!$D$3&lt;0,-'NHÁP 2'!$D$2,0))</f>
        <v>0.85416666666666674</v>
      </c>
      <c r="E22" s="49" t="s">
        <v>52</v>
      </c>
      <c r="F22" s="63" t="str">
        <f>HLOOKUP('CÀI ĐẶT'!$E$2,'CÀI ĐẶT'!$C$32:$Z$56,13,0)</f>
        <v>PHILIPPINES</v>
      </c>
      <c r="G22" s="49">
        <v>0</v>
      </c>
      <c r="H22" s="49">
        <v>3</v>
      </c>
      <c r="I22" s="64" t="str">
        <f>HLOOKUP('CÀI ĐẶT'!$E$2,'CÀI ĐẶT'!$C$32:$Z$56,10,0)</f>
        <v>CHINA P.R.</v>
      </c>
      <c r="J22" s="52" t="s">
        <v>56</v>
      </c>
      <c r="L22" s="72">
        <v>1</v>
      </c>
      <c r="M22" s="73" t="str">
        <f>VLOOKUP(L22,'NHÁP 1'!$M$14:$W$18,2,0)</f>
        <v>KOREA REPUBLIC</v>
      </c>
      <c r="N22" s="72">
        <f>VLOOKUP(L22,'NHÁP 1'!$M$14:$W$18,3,0)</f>
        <v>3</v>
      </c>
      <c r="O22" s="72">
        <f>VLOOKUP(L22,'NHÁP 1'!$M$14:$W$18,4,0)</f>
        <v>3</v>
      </c>
      <c r="P22" s="72">
        <f>VLOOKUP(L22,'NHÁP 1'!$M$14:$W$18,5,0)</f>
        <v>0</v>
      </c>
      <c r="Q22" s="72">
        <f>VLOOKUP(L22,'NHÁP 1'!$M$14:$W$18,6,0)</f>
        <v>0</v>
      </c>
      <c r="R22" s="72">
        <f>VLOOKUP(L22,'NHÁP 1'!$M$14:$W$18,7,0)</f>
        <v>4</v>
      </c>
      <c r="S22" s="72">
        <f>VLOOKUP(L22,'NHÁP 1'!$M$14:$W$18,8,0)</f>
        <v>0</v>
      </c>
      <c r="T22" s="72">
        <f>VLOOKUP(L22,'NHÁP 1'!$M$14:$W$18,9,0)</f>
        <v>4</v>
      </c>
      <c r="U22" s="119">
        <f>VLOOKUP(L22,'NHÁP 1'!$M$14:$W$18,10,0)</f>
        <v>9</v>
      </c>
      <c r="W22" s="68"/>
      <c r="X22" s="68"/>
      <c r="Y22" s="68"/>
      <c r="Z22" s="68"/>
      <c r="AA22" s="68"/>
      <c r="AB22" s="99"/>
      <c r="AC22" s="100"/>
      <c r="AD22" s="92">
        <f>'NHÁP 2'!AD20+'NHÁP 2'!AH20</f>
        <v>43489</v>
      </c>
      <c r="AE22" s="93">
        <f>'NHÁP 2'!AE20+IF('NHÁP 2'!$D$3&gt;0,'NHÁP 2'!$D$2,IF('NHÁP 2'!$D$3&lt;0,-'NHÁP 2'!$D$2,0))</f>
        <v>0.95833333333333326</v>
      </c>
      <c r="AF22" s="74" t="s">
        <v>89</v>
      </c>
      <c r="AG22" s="74" t="s">
        <v>90</v>
      </c>
      <c r="AH22" s="94" t="s">
        <v>91</v>
      </c>
      <c r="AI22" s="102"/>
      <c r="AJ22" s="68"/>
      <c r="AK22" s="68"/>
      <c r="AL22" s="68"/>
      <c r="AM22" s="68"/>
      <c r="AN22" s="68"/>
      <c r="AO22" s="68"/>
      <c r="AP22" s="99"/>
      <c r="AQ22" s="68"/>
      <c r="AR22" s="68"/>
      <c r="AS22" s="68"/>
      <c r="AT22" s="68"/>
      <c r="AU22" s="68"/>
      <c r="AV22" s="68"/>
      <c r="AW22" s="68"/>
      <c r="AX22" s="68"/>
      <c r="AY22" s="68"/>
      <c r="AZ22" s="68"/>
      <c r="BA22" s="68"/>
      <c r="BB22" s="68"/>
    </row>
    <row r="23" spans="1:54" ht="17.25" thickTop="1" thickBot="1" x14ac:dyDescent="0.3">
      <c r="B23" s="46">
        <v>18</v>
      </c>
      <c r="C23" s="47">
        <f>'NHÁP 2'!C21+'NHÁP 2'!G21</f>
        <v>43476</v>
      </c>
      <c r="D23" s="48">
        <f>'NHÁP 2'!D21+IF('NHÁP 2'!$D$3&gt;0,'NHÁP 2'!$D$2,IF('NHÁP 2'!$D$3&lt;0,-'NHÁP 2'!$D$2,0))</f>
        <v>0.95833333333333326</v>
      </c>
      <c r="E23" s="49" t="s">
        <v>52</v>
      </c>
      <c r="F23" s="63" t="str">
        <f>HLOOKUP('CÀI ĐẶT'!$E$2,'CÀI ĐẶT'!$C$32:$Z$56,12,0)</f>
        <v>KYRGYZSTAN</v>
      </c>
      <c r="G23" s="49">
        <v>0</v>
      </c>
      <c r="H23" s="49">
        <v>1</v>
      </c>
      <c r="I23" s="64" t="str">
        <f>HLOOKUP('CÀI ĐẶT'!$E$2,'CÀI ĐẶT'!$C$32:$Z$56,11,0)</f>
        <v>KOREA REPUBLIC</v>
      </c>
      <c r="J23" s="52" t="s">
        <v>49</v>
      </c>
      <c r="L23" s="72">
        <v>2</v>
      </c>
      <c r="M23" s="73" t="str">
        <f>VLOOKUP(L23,'NHÁP 1'!$M$14:$W$18,2,0)</f>
        <v>CHINA P.R.</v>
      </c>
      <c r="N23" s="72">
        <f>VLOOKUP(L23,'NHÁP 1'!$M$14:$W$18,3,0)</f>
        <v>3</v>
      </c>
      <c r="O23" s="72">
        <f>VLOOKUP(L23,'NHÁP 1'!$M$14:$W$18,4,0)</f>
        <v>2</v>
      </c>
      <c r="P23" s="72">
        <f>VLOOKUP(L23,'NHÁP 1'!$M$14:$W$18,5,0)</f>
        <v>0</v>
      </c>
      <c r="Q23" s="72">
        <f>VLOOKUP(L23,'NHÁP 1'!$M$14:$W$18,6,0)</f>
        <v>1</v>
      </c>
      <c r="R23" s="72">
        <f>VLOOKUP(L23,'NHÁP 1'!$M$14:$W$18,7,0)</f>
        <v>5</v>
      </c>
      <c r="S23" s="72">
        <f>VLOOKUP(L23,'NHÁP 1'!$M$14:$W$18,8,0)</f>
        <v>3</v>
      </c>
      <c r="T23" s="72">
        <f>VLOOKUP(L23,'NHÁP 1'!$M$14:$W$18,9,0)</f>
        <v>2</v>
      </c>
      <c r="U23" s="119">
        <f>VLOOKUP(L23,'NHÁP 1'!$M$14:$W$18,10,0)</f>
        <v>6</v>
      </c>
      <c r="W23" s="68"/>
      <c r="X23" s="68"/>
      <c r="Y23" s="68"/>
      <c r="Z23" s="68"/>
      <c r="AA23" s="68"/>
      <c r="AB23" s="99"/>
      <c r="AC23" s="68"/>
      <c r="AD23" s="148">
        <v>46</v>
      </c>
      <c r="AE23" s="74" t="str">
        <f>IF('NHÁP 1'!AT18="","W38",'NHÁP 1'!AT18)</f>
        <v>CHINA P.R.</v>
      </c>
      <c r="AF23" s="74">
        <v>0</v>
      </c>
      <c r="AG23" s="74"/>
      <c r="AH23" s="94"/>
      <c r="AI23" s="68"/>
      <c r="AJ23" s="68"/>
      <c r="AK23" s="68"/>
      <c r="AL23" s="68"/>
      <c r="AM23" s="68"/>
      <c r="AN23" s="68"/>
      <c r="AO23" s="68"/>
      <c r="AP23" s="99"/>
      <c r="AQ23" s="68"/>
      <c r="AR23" s="68"/>
      <c r="AS23" s="68"/>
      <c r="AT23" s="68"/>
      <c r="AU23" s="68"/>
      <c r="AV23" s="68"/>
      <c r="AW23" s="68"/>
      <c r="AX23" s="68"/>
      <c r="AY23" s="68"/>
      <c r="AZ23" s="68"/>
      <c r="BA23" s="68"/>
      <c r="BB23" s="68"/>
    </row>
    <row r="24" spans="1:54" ht="16.5" thickBot="1" x14ac:dyDescent="0.3">
      <c r="B24" s="46">
        <v>19</v>
      </c>
      <c r="C24" s="47">
        <f>'NHÁP 2'!C22+'NHÁP 2'!G22</f>
        <v>43477</v>
      </c>
      <c r="D24" s="48">
        <f>'NHÁP 2'!D22+IF('NHÁP 2'!$D$3&gt;0,'NHÁP 2'!$D$2,IF('NHÁP 2'!$D$3&lt;0,-'NHÁP 2'!$D$2,0))</f>
        <v>0.75</v>
      </c>
      <c r="E24" s="49" t="s">
        <v>54</v>
      </c>
      <c r="F24" s="63" t="str">
        <f>HLOOKUP('CÀI ĐẶT'!$E$2,'CÀI ĐẶT'!$C$32:$Z$56,16,0)</f>
        <v>VIETNAM</v>
      </c>
      <c r="G24" s="49">
        <v>0</v>
      </c>
      <c r="H24" s="49">
        <v>2</v>
      </c>
      <c r="I24" s="64" t="str">
        <f>HLOOKUP('CÀI ĐẶT'!$E$2,'CÀI ĐẶT'!$C$32:$Z$56,15,0)</f>
        <v>IRAN</v>
      </c>
      <c r="J24" s="52" t="s">
        <v>50</v>
      </c>
      <c r="L24" s="74">
        <v>3</v>
      </c>
      <c r="M24" s="75" t="str">
        <f>VLOOKUP(L24,'NHÁP 1'!$M$14:$W$18,2,0)</f>
        <v>KYRGYZSTAN</v>
      </c>
      <c r="N24" s="74">
        <f>VLOOKUP(L24,'NHÁP 1'!$M$14:$W$18,3,0)</f>
        <v>3</v>
      </c>
      <c r="O24" s="74">
        <f>VLOOKUP(L24,'NHÁP 1'!$M$14:$W$18,4,0)</f>
        <v>1</v>
      </c>
      <c r="P24" s="74">
        <f>VLOOKUP(L24,'NHÁP 1'!$M$14:$W$18,5,0)</f>
        <v>0</v>
      </c>
      <c r="Q24" s="74">
        <f>VLOOKUP(L24,'NHÁP 1'!$M$14:$W$18,6,0)</f>
        <v>2</v>
      </c>
      <c r="R24" s="74">
        <f>VLOOKUP(L24,'NHÁP 1'!$M$14:$W$18,7,0)</f>
        <v>4</v>
      </c>
      <c r="S24" s="74">
        <f>VLOOKUP(L24,'NHÁP 1'!$M$14:$W$18,8,0)</f>
        <v>4</v>
      </c>
      <c r="T24" s="74">
        <f>VLOOKUP(L24,'NHÁP 1'!$M$14:$W$18,9,0)</f>
        <v>0</v>
      </c>
      <c r="U24" s="120">
        <f>VLOOKUP(L24,'NHÁP 1'!$M$14:$W$18,10,0)</f>
        <v>3</v>
      </c>
      <c r="W24" s="145" t="s">
        <v>56</v>
      </c>
      <c r="X24" s="146"/>
      <c r="Y24" s="146"/>
      <c r="Z24" s="146"/>
      <c r="AA24" s="147"/>
      <c r="AB24" s="99"/>
      <c r="AC24" s="68"/>
      <c r="AD24" s="149"/>
      <c r="AE24" s="97" t="str">
        <f>IF('NHÁP 1'!AT24="","W39",'NHÁP 1'!AT24)</f>
        <v>IRAN</v>
      </c>
      <c r="AF24" s="97">
        <v>3</v>
      </c>
      <c r="AG24" s="97"/>
      <c r="AH24" s="98"/>
      <c r="AI24" s="68"/>
      <c r="AJ24" s="68"/>
      <c r="AK24" s="68"/>
      <c r="AL24" s="68"/>
      <c r="AM24" s="68"/>
      <c r="AN24" s="68"/>
      <c r="AO24" s="68"/>
      <c r="AP24" s="99"/>
      <c r="AQ24" s="68"/>
      <c r="AR24" s="68"/>
      <c r="AS24" s="68"/>
      <c r="AT24" s="68"/>
      <c r="AU24" s="68"/>
      <c r="AV24" s="68"/>
      <c r="AW24" s="68"/>
      <c r="AX24" s="68"/>
      <c r="AY24" s="68"/>
      <c r="AZ24" s="68"/>
      <c r="BA24" s="68"/>
      <c r="BB24" s="68"/>
    </row>
    <row r="25" spans="1:54" ht="16.5" thickBot="1" x14ac:dyDescent="0.3">
      <c r="B25" s="46">
        <v>20</v>
      </c>
      <c r="C25" s="47">
        <f>'NHÁP 2'!C23+'NHÁP 2'!G23</f>
        <v>43477</v>
      </c>
      <c r="D25" s="48">
        <f>'NHÁP 2'!D23+IF('NHÁP 2'!$D$3&gt;0,'NHÁP 2'!$D$2,IF('NHÁP 2'!$D$3&lt;0,-'NHÁP 2'!$D$2,0))</f>
        <v>0.85416666666666674</v>
      </c>
      <c r="E25" s="49" t="s">
        <v>54</v>
      </c>
      <c r="F25" s="63" t="str">
        <f>HLOOKUP('CÀI ĐẶT'!$E$2,'CÀI ĐẶT'!$C$32:$Z$56,17,0)</f>
        <v>YEMEN</v>
      </c>
      <c r="G25" s="49">
        <v>0</v>
      </c>
      <c r="H25" s="49">
        <v>3</v>
      </c>
      <c r="I25" s="64" t="str">
        <f>HLOOKUP('CÀI ĐẶT'!$E$2,'CÀI ĐẶT'!$C$32:$Z$56,14,0)</f>
        <v>IRAQ</v>
      </c>
      <c r="J25" s="52" t="s">
        <v>51</v>
      </c>
      <c r="L25" s="49">
        <v>4</v>
      </c>
      <c r="M25" s="64" t="str">
        <f>VLOOKUP(L25,'NHÁP 1'!$M$14:$W$18,2,0)</f>
        <v>PHILIPPINES</v>
      </c>
      <c r="N25" s="49">
        <f>VLOOKUP(L25,'NHÁP 1'!$M$14:$W$18,3,0)</f>
        <v>3</v>
      </c>
      <c r="O25" s="49">
        <f>VLOOKUP(L25,'NHÁP 1'!$M$14:$W$18,4,0)</f>
        <v>0</v>
      </c>
      <c r="P25" s="49">
        <f>VLOOKUP(L25,'NHÁP 1'!$M$14:$W$18,5,0)</f>
        <v>0</v>
      </c>
      <c r="Q25" s="49">
        <f>VLOOKUP(L25,'NHÁP 1'!$M$14:$W$18,6,0)</f>
        <v>3</v>
      </c>
      <c r="R25" s="49">
        <f>VLOOKUP(L25,'NHÁP 1'!$M$14:$W$18,7,0)</f>
        <v>1</v>
      </c>
      <c r="S25" s="49">
        <f>VLOOKUP(L25,'NHÁP 1'!$M$14:$W$18,8,0)</f>
        <v>7</v>
      </c>
      <c r="T25" s="49">
        <f>VLOOKUP(L25,'NHÁP 1'!$M$14:$W$18,9,0)</f>
        <v>-6</v>
      </c>
      <c r="U25" s="121">
        <f>VLOOKUP(L25,'NHÁP 1'!$M$14:$W$18,10,0)</f>
        <v>0</v>
      </c>
      <c r="W25" s="92">
        <f>'NHÁP 2'!W23+'NHÁP 2'!AA23</f>
        <v>43486</v>
      </c>
      <c r="X25" s="93">
        <f>'NHÁP 2'!X23+IF('NHÁP 2'!$D$3&gt;0,'NHÁP 2'!$D$2,IF('NHÁP 2'!$D$3&lt;0,-'NHÁP 2'!$D$2,0))</f>
        <v>1</v>
      </c>
      <c r="Y25" s="74" t="s">
        <v>89</v>
      </c>
      <c r="Z25" s="74" t="s">
        <v>90</v>
      </c>
      <c r="AA25" s="94" t="s">
        <v>91</v>
      </c>
      <c r="AB25" s="102"/>
      <c r="AC25" s="68"/>
      <c r="AD25" s="68"/>
      <c r="AE25" s="68"/>
      <c r="AF25" s="68"/>
      <c r="AG25" s="68"/>
      <c r="AH25" s="68"/>
      <c r="AI25" s="68"/>
      <c r="AJ25" s="68"/>
      <c r="AK25" s="68"/>
      <c r="AL25" s="68"/>
      <c r="AM25" s="68"/>
      <c r="AN25" s="68"/>
      <c r="AO25" s="68"/>
      <c r="AP25" s="99"/>
      <c r="AQ25" s="68"/>
      <c r="AR25" s="68"/>
      <c r="AS25" s="68"/>
      <c r="AT25" s="68"/>
      <c r="AU25" s="68"/>
      <c r="AV25" s="68"/>
      <c r="AW25" s="68"/>
      <c r="AX25" s="68"/>
      <c r="AY25" s="68"/>
      <c r="AZ25" s="68"/>
      <c r="BA25" s="68"/>
      <c r="BB25" s="68"/>
    </row>
    <row r="26" spans="1:54" ht="17.25" thickTop="1" thickBot="1" x14ac:dyDescent="0.3">
      <c r="B26" s="46">
        <v>21</v>
      </c>
      <c r="C26" s="47">
        <f>'NHÁP 2'!C24+'NHÁP 2'!G24</f>
        <v>43477</v>
      </c>
      <c r="D26" s="48">
        <f>'NHÁP 2'!D24+IF('NHÁP 2'!$D$3&gt;0,'NHÁP 2'!$D$2,IF('NHÁP 2'!$D$3&lt;0,-'NHÁP 2'!$D$2,0))</f>
        <v>0.95833333333333326</v>
      </c>
      <c r="E26" s="49" t="s">
        <v>57</v>
      </c>
      <c r="F26" s="63" t="str">
        <f>HLOOKUP('CÀI ĐẶT'!$E$2,'CÀI ĐẶT'!$C$32:$Z$56,19,0)</f>
        <v>LEBANON</v>
      </c>
      <c r="G26" s="49">
        <v>0</v>
      </c>
      <c r="H26" s="49">
        <v>2</v>
      </c>
      <c r="I26" s="64" t="str">
        <f>HLOOKUP('CÀI ĐẶT'!$E$2,'CÀI ĐẶT'!$C$32:$Z$56,21,0)</f>
        <v>SAUDI ARABIA</v>
      </c>
      <c r="J26" s="52" t="s">
        <v>60</v>
      </c>
      <c r="L26" s="68"/>
      <c r="M26" s="68"/>
      <c r="N26" s="68"/>
      <c r="O26" s="68"/>
      <c r="P26" s="68"/>
      <c r="Q26" s="68"/>
      <c r="R26" s="68"/>
      <c r="S26" s="68"/>
      <c r="T26" s="68"/>
      <c r="U26" s="68"/>
      <c r="W26" s="148">
        <v>39</v>
      </c>
      <c r="X26" s="74" t="str">
        <f>IF(SUM(N29:N32)=12,M29,"1D")</f>
        <v>IRAN</v>
      </c>
      <c r="Y26" s="74">
        <v>2</v>
      </c>
      <c r="Z26" s="74"/>
      <c r="AA26" s="94"/>
      <c r="AB26" s="68"/>
      <c r="AC26" s="68"/>
      <c r="AD26" s="68"/>
      <c r="AE26" s="68"/>
      <c r="AF26" s="68"/>
      <c r="AG26" s="68"/>
      <c r="AH26" s="68"/>
      <c r="AI26" s="68"/>
      <c r="AJ26" s="68"/>
      <c r="AK26" s="68"/>
      <c r="AL26" s="68"/>
      <c r="AM26" s="68"/>
      <c r="AN26" s="68"/>
      <c r="AO26" s="68"/>
      <c r="AP26" s="99"/>
      <c r="AQ26" s="68"/>
      <c r="AR26" s="68"/>
      <c r="AS26" s="68"/>
      <c r="AT26" s="68"/>
      <c r="AU26" s="68"/>
      <c r="AV26" s="68"/>
      <c r="AW26" s="68"/>
      <c r="AX26" s="127" t="str">
        <f>HLOOKUP('CÀI ĐẶT'!E2,'CÀI ĐẶT'!C32:Z113,82,0)</f>
        <v>AFC ASIAN CUP 2019 CHAMPION</v>
      </c>
      <c r="AY26" s="141"/>
      <c r="AZ26" s="141"/>
      <c r="BA26" s="141"/>
      <c r="BB26" s="128"/>
    </row>
    <row r="27" spans="1:54" ht="17.25" thickTop="1" thickBot="1" x14ac:dyDescent="0.3">
      <c r="B27" s="46">
        <v>22</v>
      </c>
      <c r="C27" s="47">
        <f>'NHÁP 2'!C25+'NHÁP 2'!G25</f>
        <v>43478</v>
      </c>
      <c r="D27" s="48">
        <f>'NHÁP 2'!D25+IF('NHÁP 2'!$D$3&gt;0,'NHÁP 2'!$D$2,IF('NHÁP 2'!$D$3&lt;0,-'NHÁP 2'!$D$2,0))</f>
        <v>0.75</v>
      </c>
      <c r="E27" s="49" t="s">
        <v>57</v>
      </c>
      <c r="F27" s="63" t="str">
        <f>HLOOKUP('CÀI ĐẶT'!$E$2,'CÀI ĐẶT'!$C$32:$Z$56,18,0)</f>
        <v>DPR KOREA</v>
      </c>
      <c r="G27" s="49">
        <v>0</v>
      </c>
      <c r="H27" s="49">
        <v>6</v>
      </c>
      <c r="I27" s="64" t="str">
        <f>HLOOKUP('CÀI ĐẶT'!$E$2,'CÀI ĐẶT'!$C$32:$Z$56,20,0)</f>
        <v>QATAR</v>
      </c>
      <c r="J27" s="52" t="s">
        <v>53</v>
      </c>
      <c r="L27" s="151" t="str">
        <f>HLOOKUP('CÀI ĐẶT'!E2,'CÀI ĐẶT'!C32:Z112,78,0)</f>
        <v>GROUP D</v>
      </c>
      <c r="M27" s="152"/>
      <c r="N27" s="152"/>
      <c r="O27" s="152"/>
      <c r="P27" s="152"/>
      <c r="Q27" s="152"/>
      <c r="R27" s="152"/>
      <c r="S27" s="152"/>
      <c r="T27" s="152"/>
      <c r="U27" s="153"/>
      <c r="W27" s="149"/>
      <c r="X27" s="97" t="str">
        <f>IF(SUM(N50:N55)=18,'NHÁP 1'!AN8,"3B/E/F")</f>
        <v>OMAN</v>
      </c>
      <c r="Y27" s="97">
        <v>0</v>
      </c>
      <c r="Z27" s="97"/>
      <c r="AA27" s="98"/>
      <c r="AB27" s="68"/>
      <c r="AC27" s="68"/>
      <c r="AD27" s="68"/>
      <c r="AE27" s="68"/>
      <c r="AF27" s="68"/>
      <c r="AG27" s="68"/>
      <c r="AH27" s="68"/>
      <c r="AI27" s="68"/>
      <c r="AJ27" s="68"/>
      <c r="AK27" s="68"/>
      <c r="AL27" s="68"/>
      <c r="AM27" s="68"/>
      <c r="AN27" s="68"/>
      <c r="AO27" s="68"/>
      <c r="AP27" s="99"/>
      <c r="AQ27" s="68"/>
      <c r="AR27" s="145" t="s">
        <v>48</v>
      </c>
      <c r="AS27" s="146"/>
      <c r="AT27" s="146"/>
      <c r="AU27" s="146"/>
      <c r="AV27" s="147"/>
      <c r="AW27" s="68"/>
      <c r="AX27" s="132" t="str">
        <f>IF('NHÁP 1'!BO27="","",'NHÁP 1'!BO27)</f>
        <v>QATAR</v>
      </c>
      <c r="AY27" s="133"/>
      <c r="AZ27" s="133"/>
      <c r="BA27" s="133"/>
      <c r="BB27" s="134"/>
    </row>
    <row r="28" spans="1:54" ht="15.75" customHeight="1" thickBot="1" x14ac:dyDescent="0.3">
      <c r="B28" s="46">
        <v>23</v>
      </c>
      <c r="C28" s="47">
        <f>'NHÁP 2'!C26+'NHÁP 2'!G26</f>
        <v>43478</v>
      </c>
      <c r="D28" s="48">
        <f>'NHÁP 2'!D26+IF('NHÁP 2'!$D$3&gt;0,'NHÁP 2'!$D$2,IF('NHÁP 2'!$D$3&lt;0,-'NHÁP 2'!$D$2,0))</f>
        <v>0.85416666666666674</v>
      </c>
      <c r="E28" s="49" t="s">
        <v>59</v>
      </c>
      <c r="F28" s="63" t="str">
        <f>HLOOKUP('CÀI ĐẶT'!$E$2,'CÀI ĐẶT'!$C$32:$Z$56,23,0)</f>
        <v>OMAN</v>
      </c>
      <c r="G28" s="49">
        <v>0</v>
      </c>
      <c r="H28" s="49">
        <v>1</v>
      </c>
      <c r="I28" s="64" t="str">
        <f>HLOOKUP('CÀI ĐẶT'!$E$2,'CÀI ĐẶT'!$C$32:$Z$56,22,0)</f>
        <v>JAPAN</v>
      </c>
      <c r="J28" s="52" t="s">
        <v>48</v>
      </c>
      <c r="L28" s="69" t="str">
        <f>HLOOKUP('CÀI ĐẶT'!E2,'CÀI ĐẶT'!C32:Z112,81,0)</f>
        <v>POS.</v>
      </c>
      <c r="M28" s="70" t="str">
        <f>HLOOKUP('CÀI ĐẶT'!E2,'CÀI ĐẶT'!C32:Z105,72,0)</f>
        <v>TEAMS</v>
      </c>
      <c r="N28" s="70" t="s">
        <v>62</v>
      </c>
      <c r="O28" s="70" t="s">
        <v>63</v>
      </c>
      <c r="P28" s="70" t="s">
        <v>54</v>
      </c>
      <c r="Q28" s="70" t="s">
        <v>64</v>
      </c>
      <c r="R28" s="70" t="s">
        <v>65</v>
      </c>
      <c r="S28" s="70" t="s">
        <v>66</v>
      </c>
      <c r="T28" s="70" t="s">
        <v>67</v>
      </c>
      <c r="U28" s="71" t="s">
        <v>68</v>
      </c>
      <c r="W28" s="68"/>
      <c r="X28" s="68"/>
      <c r="Y28" s="68"/>
      <c r="Z28" s="68"/>
      <c r="AA28" s="68"/>
      <c r="AB28" s="68"/>
      <c r="AC28" s="68"/>
      <c r="AD28" s="68"/>
      <c r="AE28" s="68"/>
      <c r="AF28" s="68"/>
      <c r="AG28" s="68"/>
      <c r="AH28" s="68"/>
      <c r="AI28" s="68"/>
      <c r="AJ28" s="68"/>
      <c r="AK28" s="68"/>
      <c r="AL28" s="68"/>
      <c r="AM28" s="68"/>
      <c r="AN28" s="68"/>
      <c r="AO28" s="68"/>
      <c r="AP28" s="99"/>
      <c r="AQ28" s="100"/>
      <c r="AR28" s="92">
        <f>'NHÁP 2'!AR26+'NHÁP 2'!AV26</f>
        <v>43497</v>
      </c>
      <c r="AS28" s="93">
        <f>'NHÁP 2'!AS26+IF('NHÁP 2'!$D$3&gt;0,'NHÁP 2'!$D$2,IF('NHÁP 2'!$D$3&lt;0,-'NHÁP 2'!$D$2,0))</f>
        <v>0.875</v>
      </c>
      <c r="AT28" s="74" t="s">
        <v>89</v>
      </c>
      <c r="AU28" s="74" t="s">
        <v>90</v>
      </c>
      <c r="AV28" s="94" t="s">
        <v>91</v>
      </c>
      <c r="AW28" s="68"/>
      <c r="AX28" s="135"/>
      <c r="AY28" s="136"/>
      <c r="AZ28" s="136"/>
      <c r="BA28" s="136"/>
      <c r="BB28" s="137"/>
    </row>
    <row r="29" spans="1:54" ht="16.5" customHeight="1" thickTop="1" thickBot="1" x14ac:dyDescent="0.3">
      <c r="B29" s="53">
        <v>24</v>
      </c>
      <c r="C29" s="54">
        <f>'NHÁP 2'!C27+'NHÁP 2'!G27</f>
        <v>43478</v>
      </c>
      <c r="D29" s="55">
        <f>'NHÁP 2'!D27+IF('NHÁP 2'!$D$3&gt;0,'NHÁP 2'!$D$2,IF('NHÁP 2'!$D$3&lt;0,-'NHÁP 2'!$D$2,0))</f>
        <v>0.95833333333333326</v>
      </c>
      <c r="E29" s="56" t="s">
        <v>59</v>
      </c>
      <c r="F29" s="65" t="str">
        <f>HLOOKUP('CÀI ĐẶT'!$E$2,'CÀI ĐẶT'!$C$32:$Z$56,24,0)</f>
        <v>TURKMENISTAN</v>
      </c>
      <c r="G29" s="56">
        <v>0</v>
      </c>
      <c r="H29" s="56">
        <v>4</v>
      </c>
      <c r="I29" s="66" t="str">
        <f>HLOOKUP('CÀI ĐẶT'!$E$2,'CÀI ĐẶT'!$C$32:$Z$56,25,0)</f>
        <v>UZBEKISTAN</v>
      </c>
      <c r="J29" s="59" t="s">
        <v>58</v>
      </c>
      <c r="L29" s="72">
        <v>1</v>
      </c>
      <c r="M29" s="73" t="str">
        <f>VLOOKUP(L29,'NHÁP 1'!$M$20:$W$24,2,0)</f>
        <v>IRAN</v>
      </c>
      <c r="N29" s="72">
        <f>VLOOKUP(L29,'NHÁP 1'!$M$20:$W$24,3,0)</f>
        <v>3</v>
      </c>
      <c r="O29" s="72">
        <f>VLOOKUP(L29,'NHÁP 1'!$M$20:$W$24,4,0)</f>
        <v>2</v>
      </c>
      <c r="P29" s="72">
        <f>VLOOKUP(L29,'NHÁP 1'!$M$20:$W$24,5,0)</f>
        <v>1</v>
      </c>
      <c r="Q29" s="72">
        <f>VLOOKUP(L29,'NHÁP 1'!$M$20:$W$24,6,0)</f>
        <v>0</v>
      </c>
      <c r="R29" s="72">
        <f>VLOOKUP(L29,'NHÁP 1'!$M$20:$W$24,7,0)</f>
        <v>7</v>
      </c>
      <c r="S29" s="72">
        <f>VLOOKUP(L29,'NHÁP 1'!$M$20:$W$24,8,0)</f>
        <v>0</v>
      </c>
      <c r="T29" s="72">
        <f>VLOOKUP(L29,'NHÁP 1'!$M$20:$W$24,9,0)</f>
        <v>7</v>
      </c>
      <c r="U29" s="119">
        <f>VLOOKUP(L29,'NHÁP 1'!$M$20:$W$24,10,0)</f>
        <v>7</v>
      </c>
      <c r="W29" s="68"/>
      <c r="X29" s="68"/>
      <c r="Y29" s="68"/>
      <c r="Z29" s="68"/>
      <c r="AA29" s="68"/>
      <c r="AB29" s="68"/>
      <c r="AC29" s="68"/>
      <c r="AD29" s="68"/>
      <c r="AE29" s="68"/>
      <c r="AF29" s="68"/>
      <c r="AG29" s="68"/>
      <c r="AH29" s="68"/>
      <c r="AI29" s="68"/>
      <c r="AJ29" s="68"/>
      <c r="AK29" s="68"/>
      <c r="AL29" s="68"/>
      <c r="AM29" s="68"/>
      <c r="AN29" s="68"/>
      <c r="AO29" s="68"/>
      <c r="AP29" s="99"/>
      <c r="AQ29" s="68"/>
      <c r="AR29" s="148">
        <v>51</v>
      </c>
      <c r="AS29" s="74" t="str">
        <f>IF('NHÁP 1'!BH15="","W49",'NHÁP 1'!BH15)</f>
        <v>JAPAN</v>
      </c>
      <c r="AT29" s="74">
        <v>1</v>
      </c>
      <c r="AU29" s="74"/>
      <c r="AV29" s="94"/>
      <c r="AW29" s="68"/>
      <c r="AX29" s="135"/>
      <c r="AY29" s="136"/>
      <c r="AZ29" s="136"/>
      <c r="BA29" s="136"/>
      <c r="BB29" s="137"/>
    </row>
    <row r="30" spans="1:54" ht="16.5" customHeight="1" thickTop="1" thickBot="1" x14ac:dyDescent="0.3">
      <c r="A30" s="1"/>
      <c r="B30" s="60">
        <v>25</v>
      </c>
      <c r="C30" s="113">
        <f>'NHÁP 2'!C28+'NHÁP 2'!G28</f>
        <v>43479</v>
      </c>
      <c r="D30" s="41">
        <f>'NHÁP 2'!D28+IF('NHÁP 2'!$D$3&gt;0,'NHÁP 2'!$D$2,IF('NHÁP 2'!$D$3&lt;0,-'NHÁP 2'!$D$2,0))</f>
        <v>0.95833333333333326</v>
      </c>
      <c r="E30" s="42" t="s">
        <v>21</v>
      </c>
      <c r="F30" s="61" t="str">
        <f>HLOOKUP('CÀI ĐẶT'!$E$2,'CÀI ĐẶT'!$C$32:$Z$56,4,0)</f>
        <v>UNITED ARAB EMIRATES</v>
      </c>
      <c r="G30" s="42">
        <v>1</v>
      </c>
      <c r="H30" s="42">
        <v>1</v>
      </c>
      <c r="I30" s="62" t="str">
        <f>HLOOKUP('CÀI ĐẶT'!$E$2,'CÀI ĐẶT'!$C$32:$Z$56,5,0)</f>
        <v>THAILAND</v>
      </c>
      <c r="J30" s="45" t="s">
        <v>49</v>
      </c>
      <c r="L30" s="72">
        <v>2</v>
      </c>
      <c r="M30" s="73" t="str">
        <f>VLOOKUP(L30,'NHÁP 1'!$M$20:$W$24,2,0)</f>
        <v>IRAQ</v>
      </c>
      <c r="N30" s="72">
        <f>VLOOKUP(L30,'NHÁP 1'!$M$20:$W$24,3,0)</f>
        <v>3</v>
      </c>
      <c r="O30" s="72">
        <f>VLOOKUP(L30,'NHÁP 1'!$M$20:$W$24,4,0)</f>
        <v>2</v>
      </c>
      <c r="P30" s="72">
        <f>VLOOKUP(L30,'NHÁP 1'!$M$20:$W$24,5,0)</f>
        <v>1</v>
      </c>
      <c r="Q30" s="72">
        <f>VLOOKUP(L30,'NHÁP 1'!$M$20:$W$24,6,0)</f>
        <v>0</v>
      </c>
      <c r="R30" s="72">
        <f>VLOOKUP(L30,'NHÁP 1'!$M$20:$W$24,7,0)</f>
        <v>6</v>
      </c>
      <c r="S30" s="72">
        <f>VLOOKUP(L30,'NHÁP 1'!$M$20:$W$24,8,0)</f>
        <v>2</v>
      </c>
      <c r="T30" s="72">
        <f>VLOOKUP(L30,'NHÁP 1'!$M$20:$W$24,9,0)</f>
        <v>4</v>
      </c>
      <c r="U30" s="119">
        <f>VLOOKUP(L30,'NHÁP 1'!$M$20:$W$24,10,0)</f>
        <v>7</v>
      </c>
      <c r="W30" s="145" t="s">
        <v>53</v>
      </c>
      <c r="X30" s="146"/>
      <c r="Y30" s="146"/>
      <c r="Z30" s="146"/>
      <c r="AA30" s="147"/>
      <c r="AB30" s="68"/>
      <c r="AC30" s="68"/>
      <c r="AD30" s="68"/>
      <c r="AE30" s="68"/>
      <c r="AF30" s="68"/>
      <c r="AG30" s="68"/>
      <c r="AH30" s="68"/>
      <c r="AI30" s="68"/>
      <c r="AJ30" s="68"/>
      <c r="AK30" s="68"/>
      <c r="AL30" s="68"/>
      <c r="AM30" s="68"/>
      <c r="AN30" s="68"/>
      <c r="AO30" s="68"/>
      <c r="AP30" s="99"/>
      <c r="AQ30" s="68"/>
      <c r="AR30" s="149"/>
      <c r="AS30" s="97" t="str">
        <f>IF('NHÁP 1'!BH39="","W50",'NHÁP 1'!BH39)</f>
        <v>QATAR</v>
      </c>
      <c r="AT30" s="97">
        <v>3</v>
      </c>
      <c r="AU30" s="97"/>
      <c r="AV30" s="98"/>
      <c r="AW30" s="68"/>
      <c r="AX30" s="138"/>
      <c r="AY30" s="139"/>
      <c r="AZ30" s="139"/>
      <c r="BA30" s="139"/>
      <c r="BB30" s="140"/>
    </row>
    <row r="31" spans="1:54" ht="16.5" thickBot="1" x14ac:dyDescent="0.3">
      <c r="B31" s="46">
        <v>26</v>
      </c>
      <c r="C31" s="111">
        <f>'NHÁP 2'!C29+'NHÁP 2'!G29</f>
        <v>43479</v>
      </c>
      <c r="D31" s="48">
        <f>'NHÁP 2'!D29+IF('NHÁP 2'!$D$3&gt;0,'NHÁP 2'!$D$2,IF('NHÁP 2'!$D$3&lt;0,-'NHÁP 2'!$D$2,0))</f>
        <v>0.95833333333333326</v>
      </c>
      <c r="E31" s="49" t="s">
        <v>21</v>
      </c>
      <c r="F31" s="63" t="str">
        <f>HLOOKUP('CÀI ĐẶT'!$E$2,'CÀI ĐẶT'!$C$32:$Z$56,2,0)</f>
        <v>INDIA</v>
      </c>
      <c r="G31" s="49">
        <v>0</v>
      </c>
      <c r="H31" s="49">
        <v>1</v>
      </c>
      <c r="I31" s="64" t="str">
        <f>HLOOKUP('CÀI ĐẶT'!$E$2,'CÀI ĐẶT'!$C$32:$Z$56,3,0)</f>
        <v>BAHRAIN</v>
      </c>
      <c r="J31" s="52" t="s">
        <v>51</v>
      </c>
      <c r="L31" s="49">
        <v>3</v>
      </c>
      <c r="M31" s="64" t="str">
        <f>VLOOKUP(L31,'NHÁP 1'!$M$20:$W$24,2,0)</f>
        <v>VIETNAM</v>
      </c>
      <c r="N31" s="49">
        <f>VLOOKUP(L31,'NHÁP 1'!$M$20:$W$24,3,0)</f>
        <v>3</v>
      </c>
      <c r="O31" s="49">
        <f>VLOOKUP(L31,'NHÁP 1'!$M$20:$W$24,4,0)</f>
        <v>1</v>
      </c>
      <c r="P31" s="49">
        <f>VLOOKUP(L31,'NHÁP 1'!$M$20:$W$24,5,0)</f>
        <v>0</v>
      </c>
      <c r="Q31" s="49">
        <f>VLOOKUP(L31,'NHÁP 1'!$M$20:$W$24,6,0)</f>
        <v>2</v>
      </c>
      <c r="R31" s="49">
        <f>VLOOKUP(L31,'NHÁP 1'!$M$20:$W$24,7,0)</f>
        <v>4</v>
      </c>
      <c r="S31" s="49">
        <f>VLOOKUP(L31,'NHÁP 1'!$M$20:$W$24,8,0)</f>
        <v>5</v>
      </c>
      <c r="T31" s="49">
        <f>VLOOKUP(L31,'NHÁP 1'!$M$20:$W$24,9,0)</f>
        <v>-1</v>
      </c>
      <c r="U31" s="121">
        <f>VLOOKUP(L31,'NHÁP 1'!$M$20:$W$24,10,0)</f>
        <v>3</v>
      </c>
      <c r="W31" s="92">
        <f>'NHÁP 2'!W29+'NHÁP 2'!AA29</f>
        <v>43486</v>
      </c>
      <c r="X31" s="93">
        <f>'NHÁP 2'!X29+IF('NHÁP 2'!$D$3&gt;0,'NHÁP 2'!$D$2,IF('NHÁP 2'!$D$3&lt;0,-'NHÁP 2'!$D$2,0))</f>
        <v>0.875</v>
      </c>
      <c r="Y31" s="74" t="s">
        <v>89</v>
      </c>
      <c r="Z31" s="74" t="s">
        <v>90</v>
      </c>
      <c r="AA31" s="94" t="s">
        <v>91</v>
      </c>
      <c r="AB31" s="95"/>
      <c r="AC31" s="68"/>
      <c r="AD31" s="68"/>
      <c r="AE31" s="68"/>
      <c r="AF31" s="68"/>
      <c r="AG31" s="68"/>
      <c r="AH31" s="68"/>
      <c r="AI31" s="68"/>
      <c r="AJ31" s="68"/>
      <c r="AK31" s="68"/>
      <c r="AL31" s="68"/>
      <c r="AM31" s="68"/>
      <c r="AN31" s="68"/>
      <c r="AO31" s="68"/>
      <c r="AP31" s="99"/>
      <c r="AQ31" s="68"/>
      <c r="AR31" s="68"/>
      <c r="AS31" s="68"/>
      <c r="AT31" s="68"/>
      <c r="AU31" s="68"/>
      <c r="AV31" s="68"/>
      <c r="AW31" s="68"/>
      <c r="AX31" s="68"/>
      <c r="AY31" s="68"/>
      <c r="AZ31" s="68"/>
      <c r="BA31" s="68"/>
      <c r="BB31" s="68"/>
    </row>
    <row r="32" spans="1:54" ht="17.25" thickTop="1" thickBot="1" x14ac:dyDescent="0.3">
      <c r="B32" s="46">
        <v>27</v>
      </c>
      <c r="C32" s="111">
        <f>'NHÁP 2'!C30+'NHÁP 2'!G30</f>
        <v>43480</v>
      </c>
      <c r="D32" s="48">
        <f>'NHÁP 2'!D30+IF('NHÁP 2'!$D$3&gt;0,'NHÁP 2'!$D$2,IF('NHÁP 2'!$D$3&lt;0,-'NHÁP 2'!$D$2,0))</f>
        <v>0.85416666666666674</v>
      </c>
      <c r="E32" s="49" t="s">
        <v>22</v>
      </c>
      <c r="F32" s="63" t="str">
        <f>HLOOKUP('CÀI ĐẶT'!$E$2,'CÀI ĐẶT'!$C$32:$Z$56,6,0)</f>
        <v>AUSTRALIA</v>
      </c>
      <c r="G32" s="49">
        <v>3</v>
      </c>
      <c r="H32" s="49">
        <v>2</v>
      </c>
      <c r="I32" s="64" t="str">
        <f>HLOOKUP('CÀI ĐẶT'!$E$2,'CÀI ĐẶT'!$C$32:$Z$56,9,0)</f>
        <v>SYRIA</v>
      </c>
      <c r="J32" s="52" t="s">
        <v>53</v>
      </c>
      <c r="L32" s="49">
        <v>4</v>
      </c>
      <c r="M32" s="64" t="str">
        <f>VLOOKUP(L32,'NHÁP 1'!$M$20:$W$24,2,0)</f>
        <v>YEMEN</v>
      </c>
      <c r="N32" s="49">
        <f>VLOOKUP(L32,'NHÁP 1'!$M$20:$W$24,3,0)</f>
        <v>3</v>
      </c>
      <c r="O32" s="49">
        <f>VLOOKUP(L32,'NHÁP 1'!$M$20:$W$24,4,0)</f>
        <v>0</v>
      </c>
      <c r="P32" s="49">
        <f>VLOOKUP(L32,'NHÁP 1'!$M$20:$W$24,5,0)</f>
        <v>0</v>
      </c>
      <c r="Q32" s="49">
        <f>VLOOKUP(L32,'NHÁP 1'!$M$20:$W$24,6,0)</f>
        <v>3</v>
      </c>
      <c r="R32" s="49">
        <f>VLOOKUP(L32,'NHÁP 1'!$M$20:$W$24,7,0)</f>
        <v>0</v>
      </c>
      <c r="S32" s="49">
        <f>VLOOKUP(L32,'NHÁP 1'!$M$20:$W$24,8,0)</f>
        <v>10</v>
      </c>
      <c r="T32" s="49">
        <f>VLOOKUP(L32,'NHÁP 1'!$M$20:$W$24,9,0)</f>
        <v>-10</v>
      </c>
      <c r="U32" s="121">
        <f>VLOOKUP(L32,'NHÁP 1'!$M$20:$W$24,10,0)</f>
        <v>0</v>
      </c>
      <c r="W32" s="148">
        <v>41</v>
      </c>
      <c r="X32" s="74" t="str">
        <f>IF(SUM(N15:N18)=12,M16,"2B")</f>
        <v>AUSTRALIA</v>
      </c>
      <c r="Y32" s="74">
        <v>0</v>
      </c>
      <c r="Z32" s="74">
        <v>0</v>
      </c>
      <c r="AA32" s="94">
        <v>4</v>
      </c>
      <c r="AB32" s="96"/>
      <c r="AC32" s="68"/>
      <c r="AD32" s="68"/>
      <c r="AE32" s="68"/>
      <c r="AF32" s="68"/>
      <c r="AG32" s="68"/>
      <c r="AH32" s="68"/>
      <c r="AI32" s="68"/>
      <c r="AJ32" s="68"/>
      <c r="AK32" s="68"/>
      <c r="AL32" s="68"/>
      <c r="AM32" s="68"/>
      <c r="AN32" s="68"/>
      <c r="AO32" s="68"/>
      <c r="AP32" s="99"/>
      <c r="AQ32" s="68"/>
      <c r="AR32" s="68"/>
      <c r="AS32" s="68"/>
      <c r="AT32" s="68"/>
      <c r="AU32" s="68"/>
      <c r="AV32" s="68"/>
      <c r="AW32" s="68"/>
      <c r="AX32" s="68"/>
      <c r="AY32" s="68"/>
      <c r="AZ32" s="68"/>
      <c r="BA32" s="68"/>
      <c r="BB32" s="68"/>
    </row>
    <row r="33" spans="2:54" ht="15.75" thickBot="1" x14ac:dyDescent="0.3">
      <c r="B33" s="46">
        <v>28</v>
      </c>
      <c r="C33" s="111">
        <f>'NHÁP 2'!C31+'NHÁP 2'!G31</f>
        <v>43480</v>
      </c>
      <c r="D33" s="48">
        <f>'NHÁP 2'!D31+IF('NHÁP 2'!$D$3&gt;0,'NHÁP 2'!$D$2,IF('NHÁP 2'!$D$3&lt;0,-'NHÁP 2'!$D$2,0))</f>
        <v>0.85416666666666674</v>
      </c>
      <c r="E33" s="49" t="s">
        <v>22</v>
      </c>
      <c r="F33" s="63" t="str">
        <f>HLOOKUP('CÀI ĐẶT'!$E$2,'CÀI ĐẶT'!$C$32:$Z$56,8,0)</f>
        <v>PALESTINE</v>
      </c>
      <c r="G33" s="49">
        <v>0</v>
      </c>
      <c r="H33" s="49">
        <v>0</v>
      </c>
      <c r="I33" s="64" t="str">
        <f>HLOOKUP('CÀI ĐẶT'!$E$2,'CÀI ĐẶT'!$C$32:$Z$56,7,0)</f>
        <v>JORDAN</v>
      </c>
      <c r="J33" s="52" t="s">
        <v>56</v>
      </c>
      <c r="L33" s="68"/>
      <c r="M33" s="68"/>
      <c r="N33" s="68"/>
      <c r="O33" s="68"/>
      <c r="P33" s="68"/>
      <c r="Q33" s="68"/>
      <c r="R33" s="68"/>
      <c r="S33" s="68"/>
      <c r="T33" s="68"/>
      <c r="U33" s="68"/>
      <c r="W33" s="149"/>
      <c r="X33" s="97" t="str">
        <f>IF(SUM(N43:N46)=12,M44,"2F")</f>
        <v>UZBEKISTAN</v>
      </c>
      <c r="Y33" s="97">
        <v>0</v>
      </c>
      <c r="Z33" s="97">
        <v>0</v>
      </c>
      <c r="AA33" s="98">
        <v>2</v>
      </c>
      <c r="AB33" s="99"/>
      <c r="AC33" s="68"/>
      <c r="AD33" s="145" t="s">
        <v>49</v>
      </c>
      <c r="AE33" s="146"/>
      <c r="AF33" s="146"/>
      <c r="AG33" s="146"/>
      <c r="AH33" s="147"/>
      <c r="AI33" s="68"/>
      <c r="AJ33" s="68"/>
      <c r="AK33" s="68"/>
      <c r="AL33" s="68"/>
      <c r="AM33" s="68"/>
      <c r="AN33" s="68"/>
      <c r="AO33" s="68"/>
      <c r="AP33" s="99"/>
      <c r="AQ33" s="68"/>
      <c r="AR33" s="68"/>
      <c r="AS33" s="68"/>
      <c r="AT33" s="68"/>
      <c r="AU33" s="68"/>
      <c r="AV33" s="68"/>
      <c r="AW33" s="68"/>
      <c r="AX33" s="68"/>
      <c r="AY33" s="68"/>
      <c r="AZ33" s="68"/>
      <c r="BA33" s="68"/>
      <c r="BB33" s="68"/>
    </row>
    <row r="34" spans="2:54" ht="16.5" thickBot="1" x14ac:dyDescent="0.3">
      <c r="B34" s="46">
        <v>29</v>
      </c>
      <c r="C34" s="111">
        <f>'NHÁP 2'!C32+'NHÁP 2'!G32</f>
        <v>43481</v>
      </c>
      <c r="D34" s="48">
        <f>'NHÁP 2'!D32+IF('NHÁP 2'!$D$3&gt;0,'NHÁP 2'!$D$2,IF('NHÁP 2'!$D$3&lt;0,-'NHÁP 2'!$D$2,0))</f>
        <v>0.85416666666666674</v>
      </c>
      <c r="E34" s="49" t="s">
        <v>52</v>
      </c>
      <c r="F34" s="63" t="str">
        <f>HLOOKUP('CÀI ĐẶT'!$E$2,'CÀI ĐẶT'!$C$32:$Z$56,11,0)</f>
        <v>KOREA REPUBLIC</v>
      </c>
      <c r="G34" s="49">
        <v>2</v>
      </c>
      <c r="H34" s="49">
        <v>0</v>
      </c>
      <c r="I34" s="64" t="str">
        <f>HLOOKUP('CÀI ĐẶT'!$E$2,'CÀI ĐẶT'!$C$32:$Z$56,10,0)</f>
        <v>CHINA P.R.</v>
      </c>
      <c r="J34" s="52" t="s">
        <v>50</v>
      </c>
      <c r="L34" s="151" t="str">
        <f>HLOOKUP('CÀI ĐẶT'!E2,'CÀI ĐẶT'!C32:Z112,79,0)</f>
        <v>GROUP E</v>
      </c>
      <c r="M34" s="152"/>
      <c r="N34" s="152"/>
      <c r="O34" s="152"/>
      <c r="P34" s="152"/>
      <c r="Q34" s="152"/>
      <c r="R34" s="152"/>
      <c r="S34" s="152"/>
      <c r="T34" s="152"/>
      <c r="U34" s="153"/>
      <c r="W34" s="68"/>
      <c r="X34" s="68"/>
      <c r="Y34" s="68"/>
      <c r="Z34" s="68"/>
      <c r="AA34" s="68"/>
      <c r="AB34" s="99"/>
      <c r="AC34" s="100"/>
      <c r="AD34" s="92">
        <f>'NHÁP 2'!AD32+'NHÁP 2'!AH32</f>
        <v>43490</v>
      </c>
      <c r="AE34" s="93">
        <f>'NHÁP 2'!AE32+IF('NHÁP 2'!$D$3&gt;0,'NHÁP 2'!$D$2,IF('NHÁP 2'!$D$3&lt;0,-'NHÁP 2'!$D$2,0))</f>
        <v>0.95833333333333326</v>
      </c>
      <c r="AF34" s="74" t="s">
        <v>89</v>
      </c>
      <c r="AG34" s="74" t="s">
        <v>90</v>
      </c>
      <c r="AH34" s="94" t="s">
        <v>91</v>
      </c>
      <c r="AI34" s="103"/>
      <c r="AJ34" s="68"/>
      <c r="AK34" s="68"/>
      <c r="AL34" s="68"/>
      <c r="AM34" s="68"/>
      <c r="AN34" s="68"/>
      <c r="AO34" s="68"/>
      <c r="AP34" s="99"/>
      <c r="AQ34" s="68"/>
      <c r="AR34" s="68"/>
      <c r="AS34" s="68"/>
      <c r="AT34" s="68"/>
      <c r="AU34" s="68"/>
      <c r="AV34" s="68"/>
      <c r="AW34" s="68"/>
      <c r="AX34" s="68"/>
      <c r="AY34" s="68"/>
      <c r="AZ34" s="68"/>
      <c r="BA34" s="68"/>
      <c r="BB34" s="68"/>
    </row>
    <row r="35" spans="2:54" ht="17.25" thickTop="1" thickBot="1" x14ac:dyDescent="0.3">
      <c r="B35" s="46">
        <v>30</v>
      </c>
      <c r="C35" s="111">
        <f>'NHÁP 2'!C33+'NHÁP 2'!G33</f>
        <v>43481</v>
      </c>
      <c r="D35" s="48">
        <v>0.95833333333333326</v>
      </c>
      <c r="E35" s="49" t="s">
        <v>52</v>
      </c>
      <c r="F35" s="63" t="str">
        <f>HLOOKUP('CÀI ĐẶT'!$E$2,'CÀI ĐẶT'!$C$32:$Z$56,12,0)</f>
        <v>KYRGYZSTAN</v>
      </c>
      <c r="G35" s="49">
        <v>3</v>
      </c>
      <c r="H35" s="49">
        <v>1</v>
      </c>
      <c r="I35" s="64" t="str">
        <f>HLOOKUP('CÀI ĐẶT'!$E$2,'CÀI ĐẶT'!$C$32:$Z$56,13,0)</f>
        <v>PHILIPPINES</v>
      </c>
      <c r="J35" s="52" t="s">
        <v>58</v>
      </c>
      <c r="L35" s="69" t="str">
        <f>HLOOKUP('CÀI ĐẶT'!E2,'CÀI ĐẶT'!C32:Z112,81,0)</f>
        <v>POS.</v>
      </c>
      <c r="M35" s="70" t="str">
        <f>HLOOKUP('CÀI ĐẶT'!E2,'CÀI ĐẶT'!C32:Z105,72,0)</f>
        <v>TEAMS</v>
      </c>
      <c r="N35" s="70" t="s">
        <v>62</v>
      </c>
      <c r="O35" s="70" t="s">
        <v>63</v>
      </c>
      <c r="P35" s="70" t="s">
        <v>54</v>
      </c>
      <c r="Q35" s="70" t="s">
        <v>64</v>
      </c>
      <c r="R35" s="70" t="s">
        <v>65</v>
      </c>
      <c r="S35" s="70" t="s">
        <v>66</v>
      </c>
      <c r="T35" s="70" t="s">
        <v>67</v>
      </c>
      <c r="U35" s="71" t="s">
        <v>68</v>
      </c>
      <c r="W35" s="68"/>
      <c r="X35" s="68"/>
      <c r="Y35" s="68"/>
      <c r="Z35" s="68"/>
      <c r="AA35" s="68"/>
      <c r="AB35" s="99"/>
      <c r="AC35" s="68"/>
      <c r="AD35" s="148">
        <v>48</v>
      </c>
      <c r="AE35" s="74" t="str">
        <f>IF('NHÁP 1'!AT30="","W41",'NHÁP 1'!AT30)</f>
        <v>AUSTRALIA</v>
      </c>
      <c r="AF35" s="74">
        <v>0</v>
      </c>
      <c r="AG35" s="74"/>
      <c r="AH35" s="94"/>
      <c r="AI35" s="96"/>
      <c r="AJ35" s="68"/>
      <c r="AK35" s="68"/>
      <c r="AL35" s="68"/>
      <c r="AM35" s="68"/>
      <c r="AN35" s="68"/>
      <c r="AO35" s="68"/>
      <c r="AP35" s="99"/>
      <c r="AQ35" s="68"/>
      <c r="AR35" s="68"/>
      <c r="AS35" s="68"/>
      <c r="AT35" s="68"/>
      <c r="AU35" s="68"/>
      <c r="AV35" s="68"/>
      <c r="AW35" s="68"/>
      <c r="AX35" s="68"/>
      <c r="AY35" s="68"/>
      <c r="AZ35" s="68"/>
      <c r="BA35" s="68"/>
      <c r="BB35" s="68"/>
    </row>
    <row r="36" spans="2:54" ht="16.5" thickBot="1" x14ac:dyDescent="0.3">
      <c r="B36" s="46">
        <v>31</v>
      </c>
      <c r="C36" s="111">
        <f>'NHÁP 2'!C34+'NHÁP 2'!G34</f>
        <v>43481</v>
      </c>
      <c r="D36" s="48">
        <f>'NHÁP 2'!D34+IF('NHÁP 2'!$D$3&gt;0,'NHÁP 2'!$D$2,IF('NHÁP 2'!$D$3&lt;0,-'NHÁP 2'!$D$2,0))</f>
        <v>0.95833333333333326</v>
      </c>
      <c r="E36" s="49" t="s">
        <v>54</v>
      </c>
      <c r="F36" s="63" t="str">
        <f>HLOOKUP('CÀI ĐẶT'!$E$2,'CÀI ĐẶT'!$C$32:$Z$56,16,0)</f>
        <v>VIETNAM</v>
      </c>
      <c r="G36" s="49">
        <v>2</v>
      </c>
      <c r="H36" s="49">
        <v>0</v>
      </c>
      <c r="I36" s="64" t="str">
        <f>HLOOKUP('CÀI ĐẶT'!$E$2,'CÀI ĐẶT'!$C$32:$Z$56,17,0)</f>
        <v>YEMEN</v>
      </c>
      <c r="J36" s="52" t="s">
        <v>49</v>
      </c>
      <c r="L36" s="72">
        <v>1</v>
      </c>
      <c r="M36" s="73" t="str">
        <f>VLOOKUP(L36,'NHÁP 1'!$M$26:$W$30,2,0)</f>
        <v>QATAR</v>
      </c>
      <c r="N36" s="72">
        <f>VLOOKUP(L36,'NHÁP 1'!$M$26:$W$30,3,0)</f>
        <v>3</v>
      </c>
      <c r="O36" s="72">
        <f>VLOOKUP(L36,'NHÁP 1'!$M$26:$W$30,4,0)</f>
        <v>3</v>
      </c>
      <c r="P36" s="72">
        <f>VLOOKUP(L36,'NHÁP 1'!$M$26:$W$30,5,0)</f>
        <v>0</v>
      </c>
      <c r="Q36" s="72">
        <f>VLOOKUP(L36,'NHÁP 1'!$M$26:$W$30,6,0)</f>
        <v>0</v>
      </c>
      <c r="R36" s="72">
        <f>VLOOKUP(L36,'NHÁP 1'!$M$26:$W$30,7,0)</f>
        <v>10</v>
      </c>
      <c r="S36" s="72">
        <f>VLOOKUP(L36,'NHÁP 1'!$M$26:$W$30,8,0)</f>
        <v>0</v>
      </c>
      <c r="T36" s="72">
        <f>VLOOKUP(L36,'NHÁP 1'!$M$26:$W$30,9,0)</f>
        <v>10</v>
      </c>
      <c r="U36" s="119">
        <f>VLOOKUP(L36,'NHÁP 1'!$M$26:$W$30,10,0)</f>
        <v>9</v>
      </c>
      <c r="W36" s="145" t="s">
        <v>48</v>
      </c>
      <c r="X36" s="146"/>
      <c r="Y36" s="146"/>
      <c r="Z36" s="146"/>
      <c r="AA36" s="147"/>
      <c r="AB36" s="99"/>
      <c r="AC36" s="68"/>
      <c r="AD36" s="149"/>
      <c r="AE36" s="97" t="str">
        <f>IF('NHÁP 1'!AT36="","W42",'NHÁP 1'!AT36)</f>
        <v>UNITED ARAB EMIRATES</v>
      </c>
      <c r="AF36" s="97">
        <v>1</v>
      </c>
      <c r="AG36" s="97"/>
      <c r="AH36" s="98"/>
      <c r="AI36" s="99"/>
      <c r="AJ36" s="68"/>
      <c r="AK36" s="68"/>
      <c r="AL36" s="68"/>
      <c r="AM36" s="68"/>
      <c r="AN36" s="68"/>
      <c r="AO36" s="68"/>
      <c r="AP36" s="99"/>
      <c r="AQ36" s="68"/>
      <c r="AR36" s="68"/>
      <c r="AS36" s="68"/>
      <c r="AT36" s="68"/>
      <c r="AU36" s="68"/>
      <c r="AV36" s="68"/>
      <c r="AW36" s="68"/>
      <c r="AX36" s="68"/>
      <c r="AY36" s="68"/>
      <c r="AZ36" s="68"/>
      <c r="BA36" s="68"/>
      <c r="BB36" s="68"/>
    </row>
    <row r="37" spans="2:54" ht="16.5" thickBot="1" x14ac:dyDescent="0.3">
      <c r="B37" s="46">
        <v>32</v>
      </c>
      <c r="C37" s="111">
        <f>'NHÁP 2'!C35+'NHÁP 2'!G35</f>
        <v>43481</v>
      </c>
      <c r="D37" s="48">
        <f>'NHÁP 2'!D35+IF('NHÁP 2'!$D$3&gt;0,'NHÁP 2'!$D$2,IF('NHÁP 2'!$D$3&lt;0,-'NHÁP 2'!$D$2,0))</f>
        <v>0.95833333333333326</v>
      </c>
      <c r="E37" s="49" t="s">
        <v>54</v>
      </c>
      <c r="F37" s="63" t="str">
        <f>HLOOKUP('CÀI ĐẶT'!$E$2,'CÀI ĐẶT'!$C$32:$Z$56,15,0)</f>
        <v>IRAN</v>
      </c>
      <c r="G37" s="49">
        <v>0</v>
      </c>
      <c r="H37" s="49">
        <v>0</v>
      </c>
      <c r="I37" s="64" t="str">
        <f>HLOOKUP('CÀI ĐẶT'!$E$2,'CÀI ĐẶT'!$C$32:$Z$56,14,0)</f>
        <v>IRAQ</v>
      </c>
      <c r="J37" s="52" t="s">
        <v>55</v>
      </c>
      <c r="L37" s="72">
        <v>2</v>
      </c>
      <c r="M37" s="73" t="str">
        <f>VLOOKUP(L37,'NHÁP 1'!$M$26:$W$30,2,0)</f>
        <v>SAUDI ARABIA</v>
      </c>
      <c r="N37" s="72">
        <f>VLOOKUP(L37,'NHÁP 1'!$M$26:$W$30,3,0)</f>
        <v>3</v>
      </c>
      <c r="O37" s="72">
        <f>VLOOKUP(L37,'NHÁP 1'!$M$26:$W$30,4,0)</f>
        <v>2</v>
      </c>
      <c r="P37" s="72">
        <f>VLOOKUP(L37,'NHÁP 1'!$M$26:$W$30,5,0)</f>
        <v>0</v>
      </c>
      <c r="Q37" s="72">
        <f>VLOOKUP(L37,'NHÁP 1'!$M$26:$W$30,6,0)</f>
        <v>1</v>
      </c>
      <c r="R37" s="72">
        <f>VLOOKUP(L37,'NHÁP 1'!$M$26:$W$30,7,0)</f>
        <v>6</v>
      </c>
      <c r="S37" s="72">
        <f>VLOOKUP(L37,'NHÁP 1'!$M$26:$W$30,8,0)</f>
        <v>2</v>
      </c>
      <c r="T37" s="72">
        <f>VLOOKUP(L37,'NHÁP 1'!$M$26:$W$30,9,0)</f>
        <v>4</v>
      </c>
      <c r="U37" s="119">
        <f>VLOOKUP(L37,'NHÁP 1'!$M$26:$W$30,10,0)</f>
        <v>6</v>
      </c>
      <c r="W37" s="92">
        <f>'NHÁP 2'!W35+'NHÁP 2'!AA35</f>
        <v>43487</v>
      </c>
      <c r="X37" s="93">
        <f>'NHÁP 2'!X35+IF('NHÁP 2'!$D$3&gt;0,'NHÁP 2'!$D$2,IF('NHÁP 2'!$D$3&lt;0,-'NHÁP 2'!$D$2,0))</f>
        <v>1</v>
      </c>
      <c r="Y37" s="74" t="s">
        <v>89</v>
      </c>
      <c r="Z37" s="74" t="s">
        <v>90</v>
      </c>
      <c r="AA37" s="94" t="s">
        <v>91</v>
      </c>
      <c r="AB37" s="102"/>
      <c r="AC37" s="68"/>
      <c r="AD37" s="68"/>
      <c r="AE37" s="68"/>
      <c r="AF37" s="68"/>
      <c r="AG37" s="68"/>
      <c r="AH37" s="68"/>
      <c r="AI37" s="99"/>
      <c r="AJ37" s="68"/>
      <c r="AK37" s="68"/>
      <c r="AL37" s="68"/>
      <c r="AM37" s="68"/>
      <c r="AN37" s="68"/>
      <c r="AO37" s="68"/>
      <c r="AP37" s="99"/>
      <c r="AQ37" s="68"/>
      <c r="AR37" s="68"/>
      <c r="AS37" s="68"/>
      <c r="AT37" s="68"/>
      <c r="AU37" s="68"/>
      <c r="AV37" s="68"/>
      <c r="AW37" s="68"/>
      <c r="AX37" s="68"/>
      <c r="AY37" s="68"/>
      <c r="AZ37" s="68"/>
      <c r="BA37" s="68"/>
      <c r="BB37" s="68"/>
    </row>
    <row r="38" spans="2:54" ht="17.25" thickTop="1" thickBot="1" x14ac:dyDescent="0.3">
      <c r="B38" s="46">
        <v>33</v>
      </c>
      <c r="C38" s="111">
        <f>'NHÁP 2'!C36+'NHÁP 2'!G36</f>
        <v>43482</v>
      </c>
      <c r="D38" s="48">
        <f>'NHÁP 2'!D36+IF('NHÁP 2'!$D$3&gt;0,'NHÁP 2'!$D$2,IF('NHÁP 2'!$D$3&lt;0,-'NHÁP 2'!$D$2,0))</f>
        <v>0.85416666666666674</v>
      </c>
      <c r="E38" s="49" t="s">
        <v>59</v>
      </c>
      <c r="F38" s="63" t="str">
        <f>HLOOKUP('CÀI ĐẶT'!$E$2,'CÀI ĐẶT'!$C$32:$Z$56,23,0)</f>
        <v>OMAN</v>
      </c>
      <c r="G38" s="49">
        <v>3</v>
      </c>
      <c r="H38" s="49">
        <v>1</v>
      </c>
      <c r="I38" s="64" t="str">
        <f>HLOOKUP('CÀI ĐẶT'!$E$2,'CÀI ĐẶT'!$C$32:$Z$56,24,0)</f>
        <v>TURKMENISTAN</v>
      </c>
      <c r="J38" s="52" t="s">
        <v>56</v>
      </c>
      <c r="L38" s="49">
        <v>3</v>
      </c>
      <c r="M38" s="64" t="str">
        <f>VLOOKUP(L38,'NHÁP 1'!$M$26:$W$30,2,0)</f>
        <v>LEBANON</v>
      </c>
      <c r="N38" s="49">
        <f>VLOOKUP(L38,'NHÁP 1'!$M$26:$W$30,3,0)</f>
        <v>3</v>
      </c>
      <c r="O38" s="49">
        <f>VLOOKUP(L38,'NHÁP 1'!$M$26:$W$30,4,0)</f>
        <v>1</v>
      </c>
      <c r="P38" s="49">
        <f>VLOOKUP(L38,'NHÁP 1'!$M$26:$W$30,5,0)</f>
        <v>0</v>
      </c>
      <c r="Q38" s="49">
        <f>VLOOKUP(L38,'NHÁP 1'!$M$26:$W$30,6,0)</f>
        <v>2</v>
      </c>
      <c r="R38" s="49">
        <f>VLOOKUP(L38,'NHÁP 1'!$M$26:$W$30,7,0)</f>
        <v>4</v>
      </c>
      <c r="S38" s="49">
        <f>VLOOKUP(L38,'NHÁP 1'!$M$26:$W$30,8,0)</f>
        <v>5</v>
      </c>
      <c r="T38" s="49">
        <f>VLOOKUP(L38,'NHÁP 1'!$M$26:$W$30,9,0)</f>
        <v>-1</v>
      </c>
      <c r="U38" s="121">
        <f>VLOOKUP(L38,'NHÁP 1'!$M$26:$W$30,10,0)</f>
        <v>3</v>
      </c>
      <c r="W38" s="148">
        <v>42</v>
      </c>
      <c r="X38" s="74" t="str">
        <f>IF(SUM(N8:N11)=12,M8,"1A")</f>
        <v>UNITED ARAB EMIRATES</v>
      </c>
      <c r="Y38" s="74">
        <v>2</v>
      </c>
      <c r="Z38" s="74">
        <v>1</v>
      </c>
      <c r="AA38" s="94"/>
      <c r="AB38" s="68"/>
      <c r="AC38" s="68"/>
      <c r="AD38" s="68"/>
      <c r="AE38" s="68"/>
      <c r="AF38" s="68"/>
      <c r="AG38" s="68"/>
      <c r="AH38" s="68"/>
      <c r="AI38" s="99"/>
      <c r="AJ38" s="68"/>
      <c r="AK38" s="68"/>
      <c r="AL38" s="68"/>
      <c r="AM38" s="68"/>
      <c r="AN38" s="68"/>
      <c r="AO38" s="68"/>
      <c r="AP38" s="99"/>
      <c r="AQ38" s="68"/>
      <c r="AR38" s="68"/>
      <c r="AS38" s="68"/>
      <c r="AT38" s="68"/>
      <c r="AU38" s="68"/>
      <c r="AV38" s="68"/>
      <c r="AW38" s="68"/>
      <c r="AX38" s="68"/>
      <c r="AY38" s="68"/>
      <c r="AZ38" s="68"/>
      <c r="BA38" s="68"/>
      <c r="BB38" s="68"/>
    </row>
    <row r="39" spans="2:54" ht="16.5" thickBot="1" x14ac:dyDescent="0.3">
      <c r="B39" s="46">
        <v>34</v>
      </c>
      <c r="C39" s="111">
        <f>'NHÁP 2'!C37+'NHÁP 2'!G37</f>
        <v>43482</v>
      </c>
      <c r="D39" s="48">
        <f>'NHÁP 2'!D37+IF('NHÁP 2'!$D$3&gt;0,'NHÁP 2'!$D$2,IF('NHÁP 2'!$D$3&lt;0,-'NHÁP 2'!$D$2,0))</f>
        <v>0.85416666666666674</v>
      </c>
      <c r="E39" s="49" t="s">
        <v>59</v>
      </c>
      <c r="F39" s="63" t="str">
        <f>HLOOKUP('CÀI ĐẶT'!$E$2,'CÀI ĐẶT'!$C$32:$Z$56,22,0)</f>
        <v>JAPAN</v>
      </c>
      <c r="G39" s="49">
        <v>2</v>
      </c>
      <c r="H39" s="49">
        <v>1</v>
      </c>
      <c r="I39" s="64" t="str">
        <f>HLOOKUP('CÀI ĐẶT'!$E$2,'CÀI ĐẶT'!$C$32:$Z$56,25,0)</f>
        <v>UZBEKISTAN</v>
      </c>
      <c r="J39" s="52" t="s">
        <v>53</v>
      </c>
      <c r="L39" s="49">
        <v>4</v>
      </c>
      <c r="M39" s="64" t="str">
        <f>VLOOKUP(L39,'NHÁP 1'!$M$26:$W$30,2,0)</f>
        <v>DPR KOREA</v>
      </c>
      <c r="N39" s="49">
        <f>VLOOKUP(L39,'NHÁP 1'!$M$26:$W$30,3,0)</f>
        <v>3</v>
      </c>
      <c r="O39" s="49">
        <f>VLOOKUP(L39,'NHÁP 1'!$M$26:$W$30,4,0)</f>
        <v>0</v>
      </c>
      <c r="P39" s="49">
        <f>VLOOKUP(L39,'NHÁP 1'!$M$26:$W$30,5,0)</f>
        <v>0</v>
      </c>
      <c r="Q39" s="49">
        <f>VLOOKUP(L39,'NHÁP 1'!$M$26:$W$30,6,0)</f>
        <v>3</v>
      </c>
      <c r="R39" s="49">
        <f>VLOOKUP(L39,'NHÁP 1'!$M$26:$W$30,7,0)</f>
        <v>1</v>
      </c>
      <c r="S39" s="49">
        <f>VLOOKUP(L39,'NHÁP 1'!$M$26:$W$30,8,0)</f>
        <v>14</v>
      </c>
      <c r="T39" s="49">
        <f>VLOOKUP(L39,'NHÁP 1'!$M$26:$W$30,9,0)</f>
        <v>-13</v>
      </c>
      <c r="U39" s="121">
        <f>VLOOKUP(L39,'NHÁP 1'!$M$26:$W$30,10,0)</f>
        <v>0</v>
      </c>
      <c r="W39" s="149"/>
      <c r="X39" s="97" t="str">
        <f>IF(SUM(N50:N55)=18,'NHÁP 1'!AK8,"3C/D/E")</f>
        <v>KYRGYZSTAN</v>
      </c>
      <c r="Y39" s="97">
        <v>2</v>
      </c>
      <c r="Z39" s="97">
        <v>0</v>
      </c>
      <c r="AA39" s="98"/>
      <c r="AB39" s="68"/>
      <c r="AC39" s="68"/>
      <c r="AD39" s="68"/>
      <c r="AE39" s="68"/>
      <c r="AF39" s="68"/>
      <c r="AG39" s="68"/>
      <c r="AH39" s="68"/>
      <c r="AI39" s="99"/>
      <c r="AJ39" s="68"/>
      <c r="AK39" s="145" t="s">
        <v>56</v>
      </c>
      <c r="AL39" s="146"/>
      <c r="AM39" s="146"/>
      <c r="AN39" s="146"/>
      <c r="AO39" s="147"/>
      <c r="AP39" s="99"/>
      <c r="AQ39" s="68"/>
      <c r="AR39" s="68"/>
      <c r="AS39" s="68"/>
      <c r="AT39" s="68"/>
      <c r="AU39" s="68"/>
      <c r="AV39" s="68"/>
      <c r="AW39" s="68"/>
      <c r="AX39" s="68"/>
      <c r="AY39" s="68"/>
      <c r="AZ39" s="68"/>
      <c r="BA39" s="68"/>
      <c r="BB39" s="68"/>
    </row>
    <row r="40" spans="2:54" ht="15.75" thickBot="1" x14ac:dyDescent="0.3">
      <c r="B40" s="46">
        <v>35</v>
      </c>
      <c r="C40" s="111">
        <f>'NHÁP 2'!C38+'NHÁP 2'!G38</f>
        <v>43482</v>
      </c>
      <c r="D40" s="48">
        <f>'NHÁP 2'!D38+IF('NHÁP 2'!$D$3&gt;0,'NHÁP 2'!$D$2,IF('NHÁP 2'!$D$3&lt;0,-'NHÁP 2'!$D$2,0))</f>
        <v>0.95833333333333326</v>
      </c>
      <c r="E40" s="49" t="s">
        <v>57</v>
      </c>
      <c r="F40" s="63" t="str">
        <f>HLOOKUP('CÀI ĐẶT'!$E$2,'CÀI ĐẶT'!$C$32:$Z$56,21,0)</f>
        <v>SAUDI ARABIA</v>
      </c>
      <c r="G40" s="49">
        <v>0</v>
      </c>
      <c r="H40" s="49">
        <v>2</v>
      </c>
      <c r="I40" s="64" t="str">
        <f>HLOOKUP('CÀI ĐẶT'!$E$2,'CÀI ĐẶT'!$C$32:$Z$56,20,0)</f>
        <v>QATAR</v>
      </c>
      <c r="J40" s="52" t="s">
        <v>48</v>
      </c>
      <c r="L40" s="68"/>
      <c r="M40" s="68"/>
      <c r="N40" s="68"/>
      <c r="O40" s="68"/>
      <c r="P40" s="68"/>
      <c r="Q40" s="68"/>
      <c r="R40" s="68"/>
      <c r="S40" s="68"/>
      <c r="T40" s="68"/>
      <c r="U40" s="68"/>
      <c r="W40" s="68"/>
      <c r="X40" s="68"/>
      <c r="Y40" s="68"/>
      <c r="Z40" s="68"/>
      <c r="AA40" s="68"/>
      <c r="AB40" s="68"/>
      <c r="AC40" s="68"/>
      <c r="AD40" s="68"/>
      <c r="AE40" s="68"/>
      <c r="AF40" s="68"/>
      <c r="AG40" s="68"/>
      <c r="AH40" s="68"/>
      <c r="AI40" s="99"/>
      <c r="AJ40" s="100"/>
      <c r="AK40" s="92">
        <f>'NHÁP 2'!AK38+'NHÁP 2'!AO38</f>
        <v>43494</v>
      </c>
      <c r="AL40" s="93">
        <f>'NHÁP 2'!AL38+IF('NHÁP 2'!$D$3&gt;0,'NHÁP 2'!$D$2,IF('NHÁP 2'!$D$3&lt;0,-'NHÁP 2'!$D$2,0))</f>
        <v>0.875</v>
      </c>
      <c r="AM40" s="74" t="s">
        <v>89</v>
      </c>
      <c r="AN40" s="74" t="s">
        <v>90</v>
      </c>
      <c r="AO40" s="94" t="s">
        <v>91</v>
      </c>
      <c r="AP40" s="102"/>
      <c r="AQ40" s="68"/>
      <c r="AR40" s="68"/>
      <c r="AS40" s="68"/>
      <c r="AT40" s="68"/>
      <c r="AU40" s="68"/>
      <c r="AV40" s="68"/>
      <c r="AW40" s="68"/>
      <c r="AX40" s="68"/>
      <c r="AY40" s="68"/>
      <c r="AZ40" s="68"/>
      <c r="BA40" s="68"/>
      <c r="BB40" s="68"/>
    </row>
    <row r="41" spans="2:54" ht="17.25" thickTop="1" thickBot="1" x14ac:dyDescent="0.3">
      <c r="B41" s="53">
        <v>36</v>
      </c>
      <c r="C41" s="112">
        <f>'NHÁP 2'!C39+'NHÁP 2'!G39</f>
        <v>43482</v>
      </c>
      <c r="D41" s="55">
        <f>'NHÁP 2'!D39+IF('NHÁP 2'!$D$3&gt;0,'NHÁP 2'!$D$2,IF('NHÁP 2'!$D$3&lt;0,-'NHÁP 2'!$D$2,0))</f>
        <v>0.95833333333333326</v>
      </c>
      <c r="E41" s="56" t="s">
        <v>57</v>
      </c>
      <c r="F41" s="65" t="str">
        <f>HLOOKUP('CÀI ĐẶT'!$E$2,'CÀI ĐẶT'!$C$32:$Z$56,19,0)</f>
        <v>LEBANON</v>
      </c>
      <c r="G41" s="56">
        <v>4</v>
      </c>
      <c r="H41" s="56">
        <v>1</v>
      </c>
      <c r="I41" s="66" t="str">
        <f>HLOOKUP('CÀI ĐẶT'!$E$2,'CÀI ĐẶT'!$C$32:$Z$56,18,0)</f>
        <v>DPR KOREA</v>
      </c>
      <c r="J41" s="59" t="s">
        <v>51</v>
      </c>
      <c r="L41" s="151" t="str">
        <f>HLOOKUP('CÀI ĐẶT'!E2,'CÀI ĐẶT'!C32:Z112,80,0)</f>
        <v>GROUP F</v>
      </c>
      <c r="M41" s="152"/>
      <c r="N41" s="152"/>
      <c r="O41" s="152"/>
      <c r="P41" s="152"/>
      <c r="Q41" s="152"/>
      <c r="R41" s="152"/>
      <c r="S41" s="152"/>
      <c r="T41" s="152"/>
      <c r="U41" s="153"/>
      <c r="W41" s="68"/>
      <c r="X41" s="68"/>
      <c r="Y41" s="68"/>
      <c r="Z41" s="68"/>
      <c r="AA41" s="68"/>
      <c r="AB41" s="68"/>
      <c r="AC41" s="68"/>
      <c r="AD41" s="68"/>
      <c r="AE41" s="68"/>
      <c r="AF41" s="68"/>
      <c r="AG41" s="68"/>
      <c r="AH41" s="68"/>
      <c r="AI41" s="99"/>
      <c r="AJ41" s="68"/>
      <c r="AK41" s="148">
        <v>50</v>
      </c>
      <c r="AL41" s="74" t="str">
        <f>IF('NHÁP 1'!BA33="","W48",'NHÁP 1'!BA33)</f>
        <v>UNITED ARAB EMIRATES</v>
      </c>
      <c r="AM41" s="74">
        <v>0</v>
      </c>
      <c r="AN41" s="74"/>
      <c r="AO41" s="94"/>
      <c r="AP41" s="68"/>
      <c r="AQ41" s="68"/>
      <c r="AR41" s="68"/>
      <c r="AS41" s="68"/>
      <c r="AT41" s="68"/>
      <c r="AU41" s="68"/>
      <c r="AV41" s="68"/>
      <c r="AW41" s="68"/>
      <c r="AX41" s="68"/>
      <c r="AY41" s="68"/>
      <c r="AZ41" s="68"/>
      <c r="BA41" s="68"/>
      <c r="BB41" s="68"/>
    </row>
    <row r="42" spans="2:54" ht="17.25" thickTop="1" thickBot="1" x14ac:dyDescent="0.3">
      <c r="B42" s="4"/>
      <c r="L42" s="69" t="str">
        <f>HLOOKUP('CÀI ĐẶT'!E2,'CÀI ĐẶT'!C32:Z112,81,0)</f>
        <v>POS.</v>
      </c>
      <c r="M42" s="70" t="str">
        <f>HLOOKUP('CÀI ĐẶT'!E2,'CÀI ĐẶT'!C32:Z105,72,0)</f>
        <v>TEAMS</v>
      </c>
      <c r="N42" s="70" t="s">
        <v>62</v>
      </c>
      <c r="O42" s="70" t="s">
        <v>63</v>
      </c>
      <c r="P42" s="70" t="s">
        <v>54</v>
      </c>
      <c r="Q42" s="70" t="s">
        <v>64</v>
      </c>
      <c r="R42" s="70" t="s">
        <v>65</v>
      </c>
      <c r="S42" s="70" t="s">
        <v>66</v>
      </c>
      <c r="T42" s="70" t="s">
        <v>67</v>
      </c>
      <c r="U42" s="71" t="s">
        <v>68</v>
      </c>
      <c r="W42" s="145" t="s">
        <v>58</v>
      </c>
      <c r="X42" s="146"/>
      <c r="Y42" s="146"/>
      <c r="Z42" s="146"/>
      <c r="AA42" s="147"/>
      <c r="AB42" s="68"/>
      <c r="AC42" s="68"/>
      <c r="AD42" s="68"/>
      <c r="AE42" s="68"/>
      <c r="AF42" s="68"/>
      <c r="AG42" s="68"/>
      <c r="AH42" s="68"/>
      <c r="AI42" s="99"/>
      <c r="AJ42" s="68"/>
      <c r="AK42" s="149"/>
      <c r="AL42" s="97" t="str">
        <f>IF('NHÁP 1'!BA45="","W47",'NHÁP 1'!BA45)</f>
        <v>QATAR</v>
      </c>
      <c r="AM42" s="97">
        <v>4</v>
      </c>
      <c r="AN42" s="97"/>
      <c r="AO42" s="98"/>
      <c r="AP42" s="68"/>
      <c r="AQ42" s="68"/>
      <c r="AR42" s="68"/>
      <c r="AS42" s="68"/>
      <c r="AT42" s="68"/>
      <c r="AU42" s="68"/>
      <c r="AV42" s="68"/>
      <c r="AW42" s="68"/>
      <c r="AX42" s="68"/>
      <c r="AY42" s="68"/>
      <c r="AZ42" s="68"/>
      <c r="BA42" s="68"/>
      <c r="BB42" s="68"/>
    </row>
    <row r="43" spans="2:54" ht="16.5" thickBot="1" x14ac:dyDescent="0.3">
      <c r="L43" s="72">
        <v>1</v>
      </c>
      <c r="M43" s="73" t="str">
        <f>VLOOKUP(L43,'NHÁP 1'!$M$32:$W$36,2,0)</f>
        <v>JAPAN</v>
      </c>
      <c r="N43" s="72">
        <f>VLOOKUP(L43,'NHÁP 1'!$M$32:$W$36,3,0)</f>
        <v>3</v>
      </c>
      <c r="O43" s="72">
        <f>VLOOKUP(L43,'NHÁP 1'!$M$32:$W$36,4,0)</f>
        <v>3</v>
      </c>
      <c r="P43" s="72">
        <f>VLOOKUP(L43,'NHÁP 1'!$M$32:$W$36,5,0)</f>
        <v>0</v>
      </c>
      <c r="Q43" s="72">
        <f>VLOOKUP(L43,'NHÁP 1'!$M$32:$W$36,6,0)</f>
        <v>0</v>
      </c>
      <c r="R43" s="72">
        <f>VLOOKUP(L43,'NHÁP 1'!$M$32:$W$36,7,0)</f>
        <v>6</v>
      </c>
      <c r="S43" s="72">
        <f>VLOOKUP(L43,'NHÁP 1'!$M$32:$W$36,8,0)</f>
        <v>3</v>
      </c>
      <c r="T43" s="72">
        <f>VLOOKUP(L43,'NHÁP 1'!$M$32:$W$36,9,0)</f>
        <v>3</v>
      </c>
      <c r="U43" s="119">
        <f>VLOOKUP(L43,'NHÁP 1'!$M$32:$W$36,10,0)</f>
        <v>9</v>
      </c>
      <c r="W43" s="92">
        <f>'NHÁP 2'!W41+'NHÁP 2'!AA41</f>
        <v>43487</v>
      </c>
      <c r="X43" s="93">
        <f>'NHÁP 2'!X41+IF('NHÁP 2'!$D$3&gt;0,'NHÁP 2'!$D$2,IF('NHÁP 2'!$D$3&lt;0,-'NHÁP 2'!$D$2,0))</f>
        <v>0.83333333333333326</v>
      </c>
      <c r="Y43" s="74" t="s">
        <v>89</v>
      </c>
      <c r="Z43" s="74" t="s">
        <v>90</v>
      </c>
      <c r="AA43" s="94" t="s">
        <v>91</v>
      </c>
      <c r="AB43" s="95"/>
      <c r="AC43" s="68"/>
      <c r="AD43" s="68"/>
      <c r="AE43" s="68"/>
      <c r="AF43" s="68"/>
      <c r="AG43" s="68"/>
      <c r="AH43" s="68"/>
      <c r="AI43" s="99"/>
      <c r="AJ43" s="68"/>
      <c r="AK43" s="68"/>
      <c r="AL43" s="68"/>
      <c r="AM43" s="68"/>
      <c r="AN43" s="68"/>
      <c r="AO43" s="68"/>
      <c r="AP43" s="68"/>
      <c r="AQ43" s="68"/>
      <c r="AR43" s="68"/>
      <c r="AS43" s="68"/>
      <c r="AT43" s="68"/>
      <c r="AU43" s="68"/>
      <c r="AV43" s="68"/>
      <c r="AW43" s="68"/>
      <c r="AX43" s="68"/>
      <c r="AY43" s="68"/>
      <c r="AZ43" s="68"/>
      <c r="BA43" s="68"/>
      <c r="BB43" s="68"/>
    </row>
    <row r="44" spans="2:54" ht="17.25" thickTop="1" thickBot="1" x14ac:dyDescent="0.3">
      <c r="L44" s="72">
        <v>2</v>
      </c>
      <c r="M44" s="73" t="str">
        <f>VLOOKUP(L44,'NHÁP 1'!$M$32:$W$36,2,0)</f>
        <v>UZBEKISTAN</v>
      </c>
      <c r="N44" s="72">
        <f>VLOOKUP(L44,'NHÁP 1'!$M$32:$W$36,3,0)</f>
        <v>3</v>
      </c>
      <c r="O44" s="72">
        <f>VLOOKUP(L44,'NHÁP 1'!$M$32:$W$36,4,0)</f>
        <v>2</v>
      </c>
      <c r="P44" s="72">
        <f>VLOOKUP(L44,'NHÁP 1'!$M$32:$W$36,5,0)</f>
        <v>0</v>
      </c>
      <c r="Q44" s="72">
        <f>VLOOKUP(L44,'NHÁP 1'!$M$32:$W$36,6,0)</f>
        <v>1</v>
      </c>
      <c r="R44" s="72">
        <f>VLOOKUP(L44,'NHÁP 1'!$M$32:$W$36,7,0)</f>
        <v>7</v>
      </c>
      <c r="S44" s="72">
        <f>VLOOKUP(L44,'NHÁP 1'!$M$32:$W$36,8,0)</f>
        <v>3</v>
      </c>
      <c r="T44" s="72">
        <f>VLOOKUP(L44,'NHÁP 1'!$M$32:$W$36,9,0)</f>
        <v>4</v>
      </c>
      <c r="U44" s="119">
        <f>VLOOKUP(L44,'NHÁP 1'!$M$32:$W$36,10,0)</f>
        <v>6</v>
      </c>
      <c r="W44" s="148">
        <v>43</v>
      </c>
      <c r="X44" s="74" t="str">
        <f>IF(SUM(N22:N25)=12,M22,"1C")</f>
        <v>KOREA REPUBLIC</v>
      </c>
      <c r="Y44" s="74">
        <v>1</v>
      </c>
      <c r="Z44" s="74">
        <v>1</v>
      </c>
      <c r="AA44" s="94"/>
      <c r="AB44" s="96"/>
      <c r="AC44" s="68"/>
      <c r="AD44" s="68"/>
      <c r="AE44" s="68"/>
      <c r="AF44" s="68"/>
      <c r="AG44" s="68"/>
      <c r="AH44" s="68"/>
      <c r="AI44" s="99"/>
      <c r="AJ44" s="68"/>
      <c r="AK44" s="68"/>
      <c r="AL44" s="68"/>
      <c r="AM44" s="68"/>
      <c r="AN44" s="68"/>
      <c r="AO44" s="68"/>
      <c r="AP44" s="68"/>
      <c r="AQ44" s="68"/>
      <c r="AR44" s="68"/>
      <c r="AS44" s="68"/>
      <c r="AT44" s="68"/>
      <c r="AU44" s="68"/>
      <c r="AV44" s="68"/>
      <c r="AW44" s="68"/>
      <c r="AX44" s="68"/>
      <c r="AY44" s="68"/>
      <c r="AZ44" s="68"/>
      <c r="BA44" s="68"/>
      <c r="BB44" s="68"/>
    </row>
    <row r="45" spans="2:54" ht="16.5" thickBot="1" x14ac:dyDescent="0.3">
      <c r="L45" s="49">
        <v>3</v>
      </c>
      <c r="M45" s="64" t="str">
        <f>VLOOKUP(L45,'NHÁP 1'!$M$32:$W$36,2,0)</f>
        <v>OMAN</v>
      </c>
      <c r="N45" s="49">
        <f>VLOOKUP(L45,'NHÁP 1'!$M$32:$W$36,3,0)</f>
        <v>3</v>
      </c>
      <c r="O45" s="49">
        <f>VLOOKUP(L45,'NHÁP 1'!$M$32:$W$36,4,0)</f>
        <v>1</v>
      </c>
      <c r="P45" s="49">
        <f>VLOOKUP(L45,'NHÁP 1'!$M$32:$W$36,5,0)</f>
        <v>0</v>
      </c>
      <c r="Q45" s="49">
        <f>VLOOKUP(L45,'NHÁP 1'!$M$32:$W$36,6,0)</f>
        <v>2</v>
      </c>
      <c r="R45" s="49">
        <f>VLOOKUP(L45,'NHÁP 1'!$M$32:$W$36,7,0)</f>
        <v>4</v>
      </c>
      <c r="S45" s="49">
        <f>VLOOKUP(L45,'NHÁP 1'!$M$32:$W$36,8,0)</f>
        <v>4</v>
      </c>
      <c r="T45" s="49">
        <f>VLOOKUP(L45,'NHÁP 1'!$M$32:$W$36,9,0)</f>
        <v>0</v>
      </c>
      <c r="U45" s="121">
        <f>VLOOKUP(L45,'NHÁP 1'!$M$32:$W$36,10,0)</f>
        <v>3</v>
      </c>
      <c r="W45" s="149"/>
      <c r="X45" s="97" t="str">
        <f>IF(SUM(N50:N55)=18,'NHÁP 1'!AM8,"3A/B/F")</f>
        <v>BAHRAIN</v>
      </c>
      <c r="Y45" s="97">
        <v>1</v>
      </c>
      <c r="Z45" s="97">
        <v>0</v>
      </c>
      <c r="AA45" s="98"/>
      <c r="AB45" s="99"/>
      <c r="AC45" s="68"/>
      <c r="AD45" s="145" t="s">
        <v>48</v>
      </c>
      <c r="AE45" s="146"/>
      <c r="AF45" s="146"/>
      <c r="AG45" s="146"/>
      <c r="AH45" s="147"/>
      <c r="AI45" s="99"/>
      <c r="AJ45" s="68"/>
      <c r="AK45" s="68"/>
      <c r="AL45" s="68"/>
      <c r="AM45" s="68"/>
      <c r="AN45" s="68"/>
      <c r="AO45" s="68"/>
      <c r="AP45" s="68"/>
      <c r="AQ45" s="68"/>
      <c r="AR45" s="68"/>
      <c r="AS45" s="68"/>
      <c r="AT45" s="68"/>
      <c r="AU45" s="68"/>
      <c r="AV45" s="68"/>
      <c r="AW45" s="68"/>
      <c r="AX45" s="68"/>
      <c r="AY45" s="68"/>
      <c r="AZ45" s="68"/>
      <c r="BA45" s="68"/>
      <c r="BB45" s="68"/>
    </row>
    <row r="46" spans="2:54" ht="16.5" thickBot="1" x14ac:dyDescent="0.3">
      <c r="L46" s="49">
        <v>4</v>
      </c>
      <c r="M46" s="64" t="str">
        <f>VLOOKUP(L46,'NHÁP 1'!$M$32:$W$36,2,0)</f>
        <v>TURKMENISTAN</v>
      </c>
      <c r="N46" s="49">
        <f>VLOOKUP(L46,'NHÁP 1'!$M$32:$W$36,3,0)</f>
        <v>3</v>
      </c>
      <c r="O46" s="49">
        <f>VLOOKUP(L46,'NHÁP 1'!$M$32:$W$36,4,0)</f>
        <v>0</v>
      </c>
      <c r="P46" s="49">
        <f>VLOOKUP(L46,'NHÁP 1'!$M$32:$W$36,5,0)</f>
        <v>0</v>
      </c>
      <c r="Q46" s="49">
        <f>VLOOKUP(L46,'NHÁP 1'!$M$32:$W$36,6,0)</f>
        <v>3</v>
      </c>
      <c r="R46" s="49">
        <f>VLOOKUP(L46,'NHÁP 1'!$M$32:$W$36,7,0)</f>
        <v>3</v>
      </c>
      <c r="S46" s="49">
        <f>VLOOKUP(L46,'NHÁP 1'!$M$32:$W$36,8,0)</f>
        <v>10</v>
      </c>
      <c r="T46" s="49">
        <f>VLOOKUP(L46,'NHÁP 1'!$M$32:$W$36,9,0)</f>
        <v>-7</v>
      </c>
      <c r="U46" s="121">
        <f>VLOOKUP(L46,'NHÁP 1'!$M$32:$W$36,10,0)</f>
        <v>0</v>
      </c>
      <c r="W46" s="68"/>
      <c r="X46" s="68"/>
      <c r="Y46" s="68"/>
      <c r="Z46" s="68"/>
      <c r="AA46" s="68"/>
      <c r="AB46" s="99"/>
      <c r="AC46" s="100"/>
      <c r="AD46" s="92">
        <f>'NHÁP 2'!AD44+'NHÁP 2'!AH44</f>
        <v>43490</v>
      </c>
      <c r="AE46" s="93">
        <f>'NHÁP 2'!AE44+IF('NHÁP 2'!$D$3&gt;0,'NHÁP 2'!$D$2,IF('NHÁP 2'!$D$3&lt;0,-'NHÁP 2'!$D$2,0))</f>
        <v>0.83333333333333326</v>
      </c>
      <c r="AF46" s="74" t="s">
        <v>89</v>
      </c>
      <c r="AG46" s="74" t="s">
        <v>90</v>
      </c>
      <c r="AH46" s="94" t="s">
        <v>91</v>
      </c>
      <c r="AI46" s="104"/>
      <c r="AJ46" s="68"/>
      <c r="AK46" s="68"/>
      <c r="AL46" s="68"/>
      <c r="AM46" s="68"/>
      <c r="AN46" s="68"/>
      <c r="AO46" s="68"/>
      <c r="AP46" s="68"/>
      <c r="AQ46" s="68"/>
      <c r="AR46" s="68"/>
      <c r="AS46" s="68"/>
      <c r="AT46" s="68"/>
      <c r="AU46" s="68"/>
      <c r="AV46" s="68"/>
      <c r="AW46" s="68"/>
      <c r="AX46" s="68"/>
      <c r="AY46" s="68"/>
      <c r="AZ46" s="68"/>
      <c r="BA46" s="68"/>
      <c r="BB46" s="68"/>
    </row>
    <row r="47" spans="2:54" ht="16.5" thickTop="1" thickBot="1" x14ac:dyDescent="0.3">
      <c r="L47" s="68"/>
      <c r="M47" s="68"/>
      <c r="N47" s="68"/>
      <c r="O47" s="68"/>
      <c r="P47" s="68"/>
      <c r="Q47" s="68"/>
      <c r="R47" s="68"/>
      <c r="S47" s="68"/>
      <c r="T47" s="68"/>
      <c r="U47" s="68"/>
      <c r="W47" s="68"/>
      <c r="X47" s="68"/>
      <c r="Y47" s="68"/>
      <c r="Z47" s="68"/>
      <c r="AA47" s="68"/>
      <c r="AB47" s="99"/>
      <c r="AC47" s="68"/>
      <c r="AD47" s="148">
        <v>47</v>
      </c>
      <c r="AE47" s="74" t="str">
        <f>IF('NHÁP 1'!AT42="","W43",'NHÁP 1'!AT42)</f>
        <v>KOREA REPUBLIC</v>
      </c>
      <c r="AF47" s="74">
        <v>0</v>
      </c>
      <c r="AG47" s="74"/>
      <c r="AH47" s="94"/>
      <c r="AI47" s="68"/>
      <c r="AJ47" s="68"/>
      <c r="AK47" s="68"/>
      <c r="AL47" s="68"/>
      <c r="AM47" s="68"/>
      <c r="AN47" s="68"/>
      <c r="AO47" s="68"/>
      <c r="AP47" s="68"/>
      <c r="AQ47" s="68"/>
      <c r="AR47" s="68"/>
      <c r="AS47" s="68"/>
      <c r="AT47" s="68"/>
      <c r="AU47" s="68"/>
      <c r="AV47" s="68"/>
      <c r="AW47" s="68"/>
      <c r="AX47" s="68"/>
      <c r="AY47" s="68"/>
      <c r="AZ47" s="68"/>
      <c r="BA47" s="68"/>
      <c r="BB47" s="68"/>
    </row>
    <row r="48" spans="2:54" ht="16.5" thickBot="1" x14ac:dyDescent="0.3">
      <c r="L48" s="151" t="str">
        <f>HLOOKUP('CÀI ĐẶT'!E2,'CÀI ĐẶT'!C32:Z98,63,0)</f>
        <v>RANKING OF THIRD-PLACED TEAMS</v>
      </c>
      <c r="M48" s="152"/>
      <c r="N48" s="152"/>
      <c r="O48" s="152"/>
      <c r="P48" s="152"/>
      <c r="Q48" s="152"/>
      <c r="R48" s="152"/>
      <c r="S48" s="152"/>
      <c r="T48" s="152"/>
      <c r="U48" s="153"/>
      <c r="W48" s="145" t="s">
        <v>50</v>
      </c>
      <c r="X48" s="146"/>
      <c r="Y48" s="146"/>
      <c r="Z48" s="146"/>
      <c r="AA48" s="147"/>
      <c r="AB48" s="99"/>
      <c r="AC48" s="68"/>
      <c r="AD48" s="149"/>
      <c r="AE48" s="97" t="str">
        <f>IF('NHÁP 1'!AT48="","W44",'NHÁP 1'!AT48)</f>
        <v>QATAR</v>
      </c>
      <c r="AF48" s="97">
        <v>1</v>
      </c>
      <c r="AG48" s="97"/>
      <c r="AH48" s="98"/>
      <c r="AI48" s="68"/>
      <c r="AJ48" s="68"/>
      <c r="AK48" s="68"/>
      <c r="AL48" s="68"/>
      <c r="AM48" s="68"/>
      <c r="AN48" s="68"/>
      <c r="AO48" s="68"/>
      <c r="AP48" s="68"/>
      <c r="AQ48" s="68"/>
      <c r="AR48" s="68"/>
      <c r="AS48" s="68"/>
      <c r="AT48" s="68"/>
      <c r="AU48" s="68"/>
      <c r="AV48" s="68"/>
      <c r="AW48" s="68"/>
      <c r="AX48" s="68"/>
      <c r="AY48" s="68"/>
      <c r="AZ48" s="68"/>
      <c r="BA48" s="68"/>
      <c r="BB48" s="68"/>
    </row>
    <row r="49" spans="12:54" ht="16.5" thickBot="1" x14ac:dyDescent="0.3">
      <c r="L49" s="76" t="str">
        <f>HLOOKUP('CÀI ĐẶT'!E2,'CÀI ĐẶT'!C32:Z112,81,0)</f>
        <v>POS.</v>
      </c>
      <c r="M49" s="77" t="str">
        <f>HLOOKUP('CÀI ĐẶT'!E2,'CÀI ĐẶT'!C32:Z105,72,0)</f>
        <v>TEAMS</v>
      </c>
      <c r="N49" s="77" t="s">
        <v>62</v>
      </c>
      <c r="O49" s="77" t="s">
        <v>63</v>
      </c>
      <c r="P49" s="77" t="s">
        <v>54</v>
      </c>
      <c r="Q49" s="77" t="s">
        <v>64</v>
      </c>
      <c r="R49" s="77" t="s">
        <v>65</v>
      </c>
      <c r="S49" s="77" t="s">
        <v>66</v>
      </c>
      <c r="T49" s="77" t="s">
        <v>67</v>
      </c>
      <c r="U49" s="78" t="s">
        <v>68</v>
      </c>
      <c r="W49" s="92">
        <f>'NHÁP 2'!W47+'NHÁP 2'!AA47</f>
        <v>43487</v>
      </c>
      <c r="X49" s="93">
        <f>'NHÁP 2'!X47+IF('NHÁP 2'!$D$3&gt;0,'NHÁP 2'!$D$2,IF('NHÁP 2'!$D$3&lt;0,-'NHÁP 2'!$D$2,0))</f>
        <v>0.95833333333333326</v>
      </c>
      <c r="Y49" s="74" t="s">
        <v>89</v>
      </c>
      <c r="Z49" s="74" t="s">
        <v>90</v>
      </c>
      <c r="AA49" s="94" t="s">
        <v>91</v>
      </c>
      <c r="AB49" s="102"/>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row>
    <row r="50" spans="12:54" ht="16.5" thickTop="1" x14ac:dyDescent="0.25">
      <c r="L50" s="79">
        <v>1</v>
      </c>
      <c r="M50" s="80" t="str">
        <f>VLOOKUP(L50,'NHÁP 1'!$M$38:$W$44,2,0)</f>
        <v>BAHRAIN</v>
      </c>
      <c r="N50" s="79">
        <f>VLOOKUP(L50,'NHÁP 1'!$M$38:$W$44,3,0)</f>
        <v>3</v>
      </c>
      <c r="O50" s="79">
        <f>VLOOKUP(L50,'NHÁP 1'!$M$38:$W$44,4,0)</f>
        <v>1</v>
      </c>
      <c r="P50" s="79">
        <f>VLOOKUP(L50,'NHÁP 1'!$M$38:$W$44,5,0)</f>
        <v>1</v>
      </c>
      <c r="Q50" s="79">
        <f>VLOOKUP(L50,'NHÁP 1'!$M$38:$W$44,6,0)</f>
        <v>1</v>
      </c>
      <c r="R50" s="79">
        <f>VLOOKUP(L50,'NHÁP 1'!$M$38:$W$44,7,0)</f>
        <v>2</v>
      </c>
      <c r="S50" s="79">
        <f>VLOOKUP(L50,'NHÁP 1'!$M$38:$W$44,8,0)</f>
        <v>2</v>
      </c>
      <c r="T50" s="79">
        <f>VLOOKUP(L50,'NHÁP 1'!$M$38:$W$44,9,0)</f>
        <v>0</v>
      </c>
      <c r="U50" s="122">
        <f>VLOOKUP(L50,'NHÁP 1'!$M$38:$W$44,10,0)</f>
        <v>4</v>
      </c>
      <c r="W50" s="148">
        <v>44</v>
      </c>
      <c r="X50" s="74" t="str">
        <f>IF(SUM(N36:N39)=12,M36,"1E")</f>
        <v>QATAR</v>
      </c>
      <c r="Y50" s="74">
        <v>1</v>
      </c>
      <c r="Z50" s="74"/>
      <c r="AA50" s="94"/>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row>
    <row r="51" spans="12:54" ht="16.5" thickBot="1" x14ac:dyDescent="0.3">
      <c r="L51" s="72">
        <v>2</v>
      </c>
      <c r="M51" s="73" t="str">
        <f>VLOOKUP(L51,'NHÁP 1'!$M$38:$W$44,2,0)</f>
        <v>KYRGYZSTAN</v>
      </c>
      <c r="N51" s="72">
        <f>VLOOKUP(L51,'NHÁP 1'!$M$38:$W$44,3,0)</f>
        <v>3</v>
      </c>
      <c r="O51" s="72">
        <f>VLOOKUP(L51,'NHÁP 1'!$M$38:$W$44,4,0)</f>
        <v>1</v>
      </c>
      <c r="P51" s="72">
        <f>VLOOKUP(L51,'NHÁP 1'!$M$38:$W$44,5,0)</f>
        <v>0</v>
      </c>
      <c r="Q51" s="72">
        <f>VLOOKUP(L51,'NHÁP 1'!$M$38:$W$44,6,0)</f>
        <v>2</v>
      </c>
      <c r="R51" s="72">
        <f>VLOOKUP(L51,'NHÁP 1'!$M$38:$W$44,7,0)</f>
        <v>4</v>
      </c>
      <c r="S51" s="72">
        <f>VLOOKUP(L51,'NHÁP 1'!$M$38:$W$44,8,0)</f>
        <v>4</v>
      </c>
      <c r="T51" s="72">
        <f>VLOOKUP(L51,'NHÁP 1'!$M$38:$W$44,9,0)</f>
        <v>0</v>
      </c>
      <c r="U51" s="119">
        <f>VLOOKUP(L51,'NHÁP 1'!$M$38:$W$44,10,0)</f>
        <v>3</v>
      </c>
      <c r="W51" s="149"/>
      <c r="X51" s="97" t="str">
        <f>IF(SUM(N29:N32)=12,M30,"2D")</f>
        <v>IRAQ</v>
      </c>
      <c r="Y51" s="97">
        <v>0</v>
      </c>
      <c r="Z51" s="97"/>
      <c r="AA51" s="9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row>
    <row r="52" spans="12:54" ht="15.75" x14ac:dyDescent="0.25">
      <c r="L52" s="72">
        <v>3</v>
      </c>
      <c r="M52" s="73" t="str">
        <f>VLOOKUP(L52,'NHÁP 1'!$M$38:$W$44,2,0)</f>
        <v>OMAN</v>
      </c>
      <c r="N52" s="72">
        <f>VLOOKUP(L52,'NHÁP 1'!$M$38:$W$44,3,0)</f>
        <v>3</v>
      </c>
      <c r="O52" s="72">
        <f>VLOOKUP(L52,'NHÁP 1'!$M$38:$W$44,4,0)</f>
        <v>1</v>
      </c>
      <c r="P52" s="72">
        <f>VLOOKUP(L52,'NHÁP 1'!$M$38:$W$44,5,0)</f>
        <v>0</v>
      </c>
      <c r="Q52" s="72">
        <f>VLOOKUP(L52,'NHÁP 1'!$M$38:$W$44,6,0)</f>
        <v>2</v>
      </c>
      <c r="R52" s="72">
        <f>VLOOKUP(L52,'NHÁP 1'!$M$38:$W$44,7,0)</f>
        <v>4</v>
      </c>
      <c r="S52" s="72">
        <f>VLOOKUP(L52,'NHÁP 1'!$M$38:$W$44,8,0)</f>
        <v>4</v>
      </c>
      <c r="T52" s="72">
        <f>VLOOKUP(L52,'NHÁP 1'!$M$38:$W$44,9,0)</f>
        <v>0</v>
      </c>
      <c r="U52" s="119">
        <f>VLOOKUP(L52,'NHÁP 1'!$M$38:$W$44,10,0)</f>
        <v>3</v>
      </c>
    </row>
    <row r="53" spans="12:54" ht="15.75" x14ac:dyDescent="0.25">
      <c r="L53" s="72">
        <v>4</v>
      </c>
      <c r="M53" s="73" t="str">
        <f>VLOOKUP(L53,'NHÁP 1'!$M$38:$W$44,2,0)</f>
        <v>VIETNAM</v>
      </c>
      <c r="N53" s="72">
        <f>VLOOKUP(L53,'NHÁP 1'!$M$38:$W$44,3,0)</f>
        <v>3</v>
      </c>
      <c r="O53" s="72">
        <f>VLOOKUP(L53,'NHÁP 1'!$M$38:$W$44,4,0)</f>
        <v>1</v>
      </c>
      <c r="P53" s="72">
        <f>VLOOKUP(L53,'NHÁP 1'!$M$38:$W$44,5,0)</f>
        <v>0</v>
      </c>
      <c r="Q53" s="72">
        <f>VLOOKUP(L53,'NHÁP 1'!$M$38:$W$44,6,0)</f>
        <v>2</v>
      </c>
      <c r="R53" s="72">
        <f>VLOOKUP(L53,'NHÁP 1'!$M$38:$W$44,7,0)</f>
        <v>4</v>
      </c>
      <c r="S53" s="72">
        <f>VLOOKUP(L53,'NHÁP 1'!$M$38:$W$44,8,0)</f>
        <v>5</v>
      </c>
      <c r="T53" s="72">
        <f>VLOOKUP(L53,'NHÁP 1'!$M$38:$W$44,9,0)</f>
        <v>-1</v>
      </c>
      <c r="U53" s="119">
        <f>VLOOKUP(L53,'NHÁP 1'!$M$38:$W$44,10,0)</f>
        <v>3</v>
      </c>
    </row>
    <row r="54" spans="12:54" ht="15.75" x14ac:dyDescent="0.25">
      <c r="L54" s="49">
        <v>5</v>
      </c>
      <c r="M54" s="64" t="str">
        <f>VLOOKUP(L54,'NHÁP 1'!$M$38:$W$44,2,0)</f>
        <v>LEBANON</v>
      </c>
      <c r="N54" s="49">
        <f>VLOOKUP(L54,'NHÁP 1'!$M$38:$W$44,3,0)</f>
        <v>3</v>
      </c>
      <c r="O54" s="49">
        <f>VLOOKUP(L54,'NHÁP 1'!$M$38:$W$44,4,0)</f>
        <v>1</v>
      </c>
      <c r="P54" s="49">
        <f>VLOOKUP(L54,'NHÁP 1'!$M$38:$W$44,5,0)</f>
        <v>0</v>
      </c>
      <c r="Q54" s="49">
        <f>VLOOKUP(L54,'NHÁP 1'!$M$38:$W$44,6,0)</f>
        <v>2</v>
      </c>
      <c r="R54" s="49">
        <f>VLOOKUP(L54,'NHÁP 1'!$M$38:$W$44,7,0)</f>
        <v>4</v>
      </c>
      <c r="S54" s="49">
        <f>VLOOKUP(L54,'NHÁP 1'!$M$38:$W$44,8,0)</f>
        <v>5</v>
      </c>
      <c r="T54" s="49">
        <f>VLOOKUP(L54,'NHÁP 1'!$M$38:$W$44,9,0)</f>
        <v>-1</v>
      </c>
      <c r="U54" s="121">
        <f>VLOOKUP(L54,'NHÁP 1'!$M$38:$W$44,10,0)</f>
        <v>3</v>
      </c>
    </row>
    <row r="55" spans="12:54" ht="15.75" x14ac:dyDescent="0.25">
      <c r="L55" s="49">
        <v>6</v>
      </c>
      <c r="M55" s="64" t="str">
        <f>VLOOKUP(L55,'NHÁP 1'!$M$38:$W$44,2,0)</f>
        <v>PALESTINE</v>
      </c>
      <c r="N55" s="49">
        <f>VLOOKUP(L55,'NHÁP 1'!$M$38:$W$44,3,0)</f>
        <v>3</v>
      </c>
      <c r="O55" s="49">
        <f>VLOOKUP(L55,'NHÁP 1'!$M$38:$W$44,4,0)</f>
        <v>0</v>
      </c>
      <c r="P55" s="49">
        <f>VLOOKUP(L55,'NHÁP 1'!$M$38:$W$44,5,0)</f>
        <v>2</v>
      </c>
      <c r="Q55" s="49">
        <f>VLOOKUP(L55,'NHÁP 1'!$M$38:$W$44,6,0)</f>
        <v>1</v>
      </c>
      <c r="R55" s="49">
        <f>VLOOKUP(L55,'NHÁP 1'!$M$38:$W$44,7,0)</f>
        <v>0</v>
      </c>
      <c r="S55" s="49">
        <f>VLOOKUP(L55,'NHÁP 1'!$M$38:$W$44,8,0)</f>
        <v>3</v>
      </c>
      <c r="T55" s="49">
        <f>VLOOKUP(L55,'NHÁP 1'!$M$38:$W$44,9,0)</f>
        <v>-3</v>
      </c>
      <c r="U55" s="121">
        <f>VLOOKUP(L55,'NHÁP 1'!$M$38:$W$44,10,0)</f>
        <v>2</v>
      </c>
    </row>
    <row r="56" spans="12:54" x14ac:dyDescent="0.25">
      <c r="L56" s="68"/>
      <c r="M56" s="68"/>
      <c r="N56" s="68"/>
      <c r="O56" s="68"/>
      <c r="P56" s="68"/>
      <c r="Q56" s="68"/>
      <c r="R56" s="68"/>
      <c r="S56" s="68"/>
      <c r="T56" s="68"/>
      <c r="U56" s="68"/>
    </row>
    <row r="57" spans="12:54" ht="15.75" thickBot="1" x14ac:dyDescent="0.3">
      <c r="L57" s="68"/>
      <c r="M57" s="68"/>
      <c r="N57" s="68"/>
      <c r="O57" s="68"/>
      <c r="P57" s="68"/>
      <c r="Q57" s="68"/>
      <c r="R57" s="68"/>
      <c r="S57" s="68"/>
      <c r="T57" s="68"/>
      <c r="U57" s="68"/>
    </row>
    <row r="58" spans="12:54" ht="17.25" thickTop="1" thickBot="1" x14ac:dyDescent="0.3">
      <c r="L58" s="68"/>
      <c r="M58" s="68"/>
      <c r="N58" s="81" t="s">
        <v>298</v>
      </c>
      <c r="O58" s="82" t="s">
        <v>299</v>
      </c>
      <c r="P58" s="82" t="s">
        <v>300</v>
      </c>
      <c r="Q58" s="83" t="s">
        <v>301</v>
      </c>
      <c r="R58" s="68"/>
      <c r="S58" s="68"/>
      <c r="T58" s="68"/>
      <c r="U58" s="68"/>
    </row>
    <row r="59" spans="12:54" ht="15.75" thickTop="1" x14ac:dyDescent="0.25">
      <c r="L59" s="68"/>
      <c r="M59" s="68"/>
      <c r="N59" s="84" t="s">
        <v>302</v>
      </c>
      <c r="O59" s="85" t="s">
        <v>303</v>
      </c>
      <c r="P59" s="85" t="s">
        <v>305</v>
      </c>
      <c r="Q59" s="86" t="s">
        <v>306</v>
      </c>
      <c r="R59" s="68"/>
      <c r="S59" s="68"/>
      <c r="T59" s="68"/>
      <c r="U59" s="68"/>
    </row>
    <row r="60" spans="12:54" x14ac:dyDescent="0.25">
      <c r="L60" s="68"/>
      <c r="M60" s="68"/>
      <c r="N60" s="87" t="s">
        <v>302</v>
      </c>
      <c r="O60" s="74" t="s">
        <v>305</v>
      </c>
      <c r="P60" s="74" t="s">
        <v>306</v>
      </c>
      <c r="Q60" s="88" t="s">
        <v>304</v>
      </c>
      <c r="R60" s="68"/>
      <c r="S60" s="68"/>
      <c r="T60" s="68"/>
      <c r="U60" s="68"/>
    </row>
    <row r="61" spans="12:54" x14ac:dyDescent="0.25">
      <c r="L61" s="68"/>
      <c r="M61" s="68"/>
      <c r="N61" s="87" t="s">
        <v>302</v>
      </c>
      <c r="O61" s="74" t="s">
        <v>305</v>
      </c>
      <c r="P61" s="74" t="s">
        <v>306</v>
      </c>
      <c r="Q61" s="88" t="s">
        <v>307</v>
      </c>
      <c r="R61" s="68"/>
      <c r="S61" s="68"/>
      <c r="T61" s="68"/>
      <c r="U61" s="68"/>
    </row>
    <row r="62" spans="12:54" x14ac:dyDescent="0.25">
      <c r="L62" s="68"/>
      <c r="M62" s="68"/>
      <c r="N62" s="87" t="s">
        <v>303</v>
      </c>
      <c r="O62" s="74" t="s">
        <v>305</v>
      </c>
      <c r="P62" s="74" t="s">
        <v>306</v>
      </c>
      <c r="Q62" s="88" t="s">
        <v>304</v>
      </c>
      <c r="R62" s="68"/>
      <c r="S62" s="68"/>
      <c r="T62" s="68"/>
      <c r="U62" s="68"/>
    </row>
    <row r="63" spans="12:54" x14ac:dyDescent="0.25">
      <c r="L63" s="68"/>
      <c r="M63" s="68"/>
      <c r="N63" s="87" t="s">
        <v>303</v>
      </c>
      <c r="O63" s="74" t="s">
        <v>305</v>
      </c>
      <c r="P63" s="74" t="s">
        <v>306</v>
      </c>
      <c r="Q63" s="88" t="s">
        <v>307</v>
      </c>
      <c r="R63" s="68"/>
      <c r="S63" s="68"/>
      <c r="T63" s="68"/>
      <c r="U63" s="68"/>
    </row>
    <row r="64" spans="12:54" x14ac:dyDescent="0.25">
      <c r="L64" s="68"/>
      <c r="M64" s="68"/>
      <c r="N64" s="87" t="s">
        <v>304</v>
      </c>
      <c r="O64" s="74" t="s">
        <v>305</v>
      </c>
      <c r="P64" s="74" t="s">
        <v>306</v>
      </c>
      <c r="Q64" s="88" t="s">
        <v>307</v>
      </c>
      <c r="R64" s="68"/>
      <c r="S64" s="68"/>
      <c r="T64" s="68"/>
      <c r="U64" s="68"/>
    </row>
    <row r="65" spans="12:21" x14ac:dyDescent="0.25">
      <c r="L65" s="68"/>
      <c r="M65" s="68"/>
      <c r="N65" s="87" t="s">
        <v>302</v>
      </c>
      <c r="O65" s="74" t="s">
        <v>303</v>
      </c>
      <c r="P65" s="74" t="s">
        <v>305</v>
      </c>
      <c r="Q65" s="88" t="s">
        <v>304</v>
      </c>
      <c r="R65" s="68"/>
      <c r="S65" s="68"/>
      <c r="T65" s="68"/>
      <c r="U65" s="68"/>
    </row>
    <row r="66" spans="12:21" x14ac:dyDescent="0.25">
      <c r="L66" s="68"/>
      <c r="M66" s="68"/>
      <c r="N66" s="87" t="s">
        <v>302</v>
      </c>
      <c r="O66" s="74" t="s">
        <v>303</v>
      </c>
      <c r="P66" s="74" t="s">
        <v>305</v>
      </c>
      <c r="Q66" s="88" t="s">
        <v>307</v>
      </c>
      <c r="R66" s="68"/>
      <c r="S66" s="68"/>
      <c r="T66" s="68"/>
      <c r="U66" s="68"/>
    </row>
    <row r="67" spans="12:21" x14ac:dyDescent="0.25">
      <c r="L67" s="68"/>
      <c r="M67" s="68"/>
      <c r="N67" s="87" t="s">
        <v>302</v>
      </c>
      <c r="O67" s="74" t="s">
        <v>305</v>
      </c>
      <c r="P67" s="74" t="s">
        <v>307</v>
      </c>
      <c r="Q67" s="88" t="s">
        <v>304</v>
      </c>
      <c r="R67" s="68"/>
      <c r="S67" s="68"/>
      <c r="T67" s="68"/>
      <c r="U67" s="68"/>
    </row>
    <row r="68" spans="12:21" x14ac:dyDescent="0.25">
      <c r="L68" s="68"/>
      <c r="M68" s="68"/>
      <c r="N68" s="87" t="s">
        <v>303</v>
      </c>
      <c r="O68" s="74" t="s">
        <v>305</v>
      </c>
      <c r="P68" s="74" t="s">
        <v>307</v>
      </c>
      <c r="Q68" s="88" t="s">
        <v>304</v>
      </c>
      <c r="R68" s="68"/>
      <c r="S68" s="68"/>
      <c r="T68" s="68"/>
      <c r="U68" s="68"/>
    </row>
    <row r="69" spans="12:21" x14ac:dyDescent="0.25">
      <c r="L69" s="68"/>
      <c r="M69" s="68"/>
      <c r="N69" s="87" t="s">
        <v>302</v>
      </c>
      <c r="O69" s="74" t="s">
        <v>303</v>
      </c>
      <c r="P69" s="74" t="s">
        <v>306</v>
      </c>
      <c r="Q69" s="88" t="s">
        <v>304</v>
      </c>
      <c r="R69" s="68"/>
      <c r="S69" s="68"/>
      <c r="T69" s="68"/>
      <c r="U69" s="68"/>
    </row>
    <row r="70" spans="12:21" x14ac:dyDescent="0.25">
      <c r="L70" s="68"/>
      <c r="M70" s="68"/>
      <c r="N70" s="87" t="s">
        <v>302</v>
      </c>
      <c r="O70" s="74" t="s">
        <v>303</v>
      </c>
      <c r="P70" s="74" t="s">
        <v>306</v>
      </c>
      <c r="Q70" s="88" t="s">
        <v>307</v>
      </c>
      <c r="R70" s="68"/>
      <c r="S70" s="68"/>
      <c r="T70" s="68"/>
      <c r="U70" s="68"/>
    </row>
    <row r="71" spans="12:21" x14ac:dyDescent="0.25">
      <c r="L71" s="68"/>
      <c r="M71" s="68"/>
      <c r="N71" s="87" t="s">
        <v>304</v>
      </c>
      <c r="O71" s="74" t="s">
        <v>302</v>
      </c>
      <c r="P71" s="74" t="s">
        <v>306</v>
      </c>
      <c r="Q71" s="88" t="s">
        <v>307</v>
      </c>
      <c r="R71" s="68"/>
      <c r="S71" s="68"/>
      <c r="T71" s="68"/>
      <c r="U71" s="68"/>
    </row>
    <row r="72" spans="12:21" x14ac:dyDescent="0.25">
      <c r="L72" s="68"/>
      <c r="M72" s="68"/>
      <c r="N72" s="87" t="s">
        <v>304</v>
      </c>
      <c r="O72" s="74" t="s">
        <v>303</v>
      </c>
      <c r="P72" s="74" t="s">
        <v>306</v>
      </c>
      <c r="Q72" s="88" t="s">
        <v>307</v>
      </c>
      <c r="R72" s="68"/>
      <c r="S72" s="68"/>
      <c r="T72" s="68"/>
      <c r="U72" s="68"/>
    </row>
    <row r="73" spans="12:21" ht="15.75" thickBot="1" x14ac:dyDescent="0.3">
      <c r="L73" s="68"/>
      <c r="M73" s="68"/>
      <c r="N73" s="89" t="s">
        <v>302</v>
      </c>
      <c r="O73" s="90" t="s">
        <v>303</v>
      </c>
      <c r="P73" s="90" t="s">
        <v>307</v>
      </c>
      <c r="Q73" s="91" t="s">
        <v>304</v>
      </c>
      <c r="R73" s="68"/>
      <c r="S73" s="68"/>
      <c r="T73" s="68"/>
      <c r="U73" s="68"/>
    </row>
    <row r="74" spans="12:21" ht="15.75" thickTop="1" x14ac:dyDescent="0.25"/>
  </sheetData>
  <mergeCells count="47">
    <mergeCell ref="W50:W51"/>
    <mergeCell ref="L48:U48"/>
    <mergeCell ref="W38:W39"/>
    <mergeCell ref="L13:U13"/>
    <mergeCell ref="L20:U20"/>
    <mergeCell ref="L27:U27"/>
    <mergeCell ref="W42:AA42"/>
    <mergeCell ref="L34:U34"/>
    <mergeCell ref="L41:U41"/>
    <mergeCell ref="W36:AA36"/>
    <mergeCell ref="AD47:AD48"/>
    <mergeCell ref="W44:W45"/>
    <mergeCell ref="W48:AA48"/>
    <mergeCell ref="AK15:AO15"/>
    <mergeCell ref="AK17:AK18"/>
    <mergeCell ref="AK39:AO39"/>
    <mergeCell ref="AK41:AK42"/>
    <mergeCell ref="AD21:AH21"/>
    <mergeCell ref="AD23:AD24"/>
    <mergeCell ref="AD33:AH33"/>
    <mergeCell ref="AD35:AD36"/>
    <mergeCell ref="AD45:AH45"/>
    <mergeCell ref="W24:AA24"/>
    <mergeCell ref="W26:W27"/>
    <mergeCell ref="W30:AA30"/>
    <mergeCell ref="W32:W33"/>
    <mergeCell ref="W8:W9"/>
    <mergeCell ref="W12:AA12"/>
    <mergeCell ref="W14:W15"/>
    <mergeCell ref="W18:AA18"/>
    <mergeCell ref="W20:W21"/>
    <mergeCell ref="D2:E2"/>
    <mergeCell ref="B4:J4"/>
    <mergeCell ref="AX27:BB30"/>
    <mergeCell ref="AX26:BB26"/>
    <mergeCell ref="W4:AA4"/>
    <mergeCell ref="AD4:AH4"/>
    <mergeCell ref="AK4:AO4"/>
    <mergeCell ref="AR4:AV4"/>
    <mergeCell ref="L4:U4"/>
    <mergeCell ref="AR27:AV27"/>
    <mergeCell ref="AR29:AR30"/>
    <mergeCell ref="G5:H5"/>
    <mergeCell ref="AD9:AH9"/>
    <mergeCell ref="AD11:AD12"/>
    <mergeCell ref="W6:AA6"/>
    <mergeCell ref="L6:U6"/>
  </mergeCells>
  <conditionalFormatting sqref="G6:H41">
    <cfRule type="containsBlanks" dxfId="23" priority="28">
      <formula>LEN(TRIM(G6))=0</formula>
    </cfRule>
  </conditionalFormatting>
  <conditionalFormatting sqref="B6:J41">
    <cfRule type="expression" dxfId="22" priority="25">
      <formula>$I6=$F$2</formula>
    </cfRule>
    <cfRule type="expression" dxfId="21" priority="26">
      <formula>$F6=$F$2</formula>
    </cfRule>
  </conditionalFormatting>
  <conditionalFormatting sqref="N59:Q73">
    <cfRule type="expression" dxfId="20" priority="21">
      <formula>ROW=7</formula>
    </cfRule>
  </conditionalFormatting>
  <conditionalFormatting sqref="X8:AA9">
    <cfRule type="expression" dxfId="19" priority="17">
      <formula>$X8=$F$2</formula>
    </cfRule>
  </conditionalFormatting>
  <conditionalFormatting sqref="X32:AA33">
    <cfRule type="expression" dxfId="18" priority="16">
      <formula>$X32=$F$2</formula>
    </cfRule>
  </conditionalFormatting>
  <conditionalFormatting sqref="X20:AA21">
    <cfRule type="expression" dxfId="17" priority="15">
      <formula>$X20=$F$2</formula>
    </cfRule>
  </conditionalFormatting>
  <conditionalFormatting sqref="L10:U10">
    <cfRule type="expression" dxfId="16" priority="14">
      <formula>COUNTIF($M$50:$M$53,$M$10)=1</formula>
    </cfRule>
  </conditionalFormatting>
  <conditionalFormatting sqref="X14:AA15">
    <cfRule type="expression" dxfId="15" priority="13">
      <formula>$X14=$F$2</formula>
    </cfRule>
  </conditionalFormatting>
  <conditionalFormatting sqref="X26:AA27">
    <cfRule type="expression" dxfId="14" priority="12">
      <formula>$X26=$F$2</formula>
    </cfRule>
  </conditionalFormatting>
  <conditionalFormatting sqref="X38:AA39">
    <cfRule type="expression" dxfId="13" priority="10">
      <formula>$X38=$F$2</formula>
    </cfRule>
  </conditionalFormatting>
  <conditionalFormatting sqref="X44:AA45">
    <cfRule type="expression" dxfId="12" priority="9">
      <formula>$X44=$F$2</formula>
    </cfRule>
  </conditionalFormatting>
  <conditionalFormatting sqref="X50:AA51">
    <cfRule type="expression" dxfId="11" priority="8">
      <formula>$X50=$F$2</formula>
    </cfRule>
  </conditionalFormatting>
  <conditionalFormatting sqref="AE11:AH12">
    <cfRule type="expression" dxfId="10" priority="7">
      <formula>$AE11=$F$2</formula>
    </cfRule>
  </conditionalFormatting>
  <conditionalFormatting sqref="AE23:AH24">
    <cfRule type="expression" dxfId="9" priority="6">
      <formula>$AE23=$F$2</formula>
    </cfRule>
  </conditionalFormatting>
  <conditionalFormatting sqref="AE35:AH36">
    <cfRule type="expression" dxfId="8" priority="5">
      <formula>$AE35=$F$2</formula>
    </cfRule>
  </conditionalFormatting>
  <conditionalFormatting sqref="AE47:AH48">
    <cfRule type="expression" dxfId="7" priority="4">
      <formula>$AE47=$F$2</formula>
    </cfRule>
  </conditionalFormatting>
  <conditionalFormatting sqref="AL17:AO18">
    <cfRule type="expression" dxfId="6" priority="3">
      <formula>$AL17=$F$2</formula>
    </cfRule>
  </conditionalFormatting>
  <conditionalFormatting sqref="AL41:AO42">
    <cfRule type="expression" dxfId="5" priority="2">
      <formula>$AL41=$F$2</formula>
    </cfRule>
  </conditionalFormatting>
  <conditionalFormatting sqref="AS29:AV30">
    <cfRule type="expression" dxfId="4" priority="1">
      <formula>$AS29=$F$2</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9" id="{1295EA13-1CB0-4AFB-9DC9-8FA7E61FCA45}">
            <xm:f>AND($N59='NHÁP 1'!$AK$9,$O59='NHÁP 1'!$AL$9,$P59='NHÁP 1'!$AM$9,$Q59='NHÁP 1'!$AN$9)</xm:f>
            <x14:dxf>
              <font>
                <b/>
                <i val="0"/>
                <color theme="0"/>
              </font>
              <fill>
                <patternFill>
                  <bgColor theme="4"/>
                </patternFill>
              </fill>
            </x14:dxf>
          </x14:cfRule>
          <xm:sqref>N59:Q73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'CÀI ĐẶT'!$C$7:$C$30</xm:f>
          </x14:formula1>
          <xm:sqref>F2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BQ48"/>
  <sheetViews>
    <sheetView topLeftCell="AF31" workbookViewId="0">
      <selection activeCell="AT48" sqref="AT48"/>
    </sheetView>
  </sheetViews>
  <sheetFormatPr defaultRowHeight="15" x14ac:dyDescent="0.25"/>
  <cols>
    <col min="4" max="4" width="14.28515625" bestFit="1" customWidth="1"/>
    <col min="9" max="9" width="14.28515625" bestFit="1" customWidth="1"/>
    <col min="11" max="11" width="17.85546875" bestFit="1" customWidth="1"/>
    <col min="23" max="23" width="11" bestFit="1" customWidth="1"/>
  </cols>
  <sheetData>
    <row r="2" spans="4:62" x14ac:dyDescent="0.25">
      <c r="M2" t="s">
        <v>61</v>
      </c>
      <c r="N2" t="s">
        <v>45</v>
      </c>
      <c r="O2" t="s">
        <v>62</v>
      </c>
      <c r="P2" t="s">
        <v>63</v>
      </c>
      <c r="Q2" t="s">
        <v>54</v>
      </c>
      <c r="R2" t="s">
        <v>64</v>
      </c>
      <c r="S2" t="s">
        <v>65</v>
      </c>
      <c r="T2" t="s">
        <v>66</v>
      </c>
      <c r="U2" t="s">
        <v>67</v>
      </c>
      <c r="V2" t="s">
        <v>68</v>
      </c>
      <c r="AA2" t="str">
        <f>'VÒNG BẢNG'!M50</f>
        <v>BAHRAIN</v>
      </c>
      <c r="AB2" t="str">
        <f>VLOOKUP(AA2,$N$38:$X$44,11,0)</f>
        <v>A</v>
      </c>
      <c r="AC2" t="str">
        <f>'VÒNG BẢNG'!M50</f>
        <v>BAHRAIN</v>
      </c>
    </row>
    <row r="3" spans="4:62" x14ac:dyDescent="0.25">
      <c r="D3" t="str">
        <f>IF(F3="","",CONCATENATE(E3,"&amp;",H3))</f>
        <v>UNITED ARAB EMIRATES&amp;BAHRAIN</v>
      </c>
      <c r="E3" t="str">
        <f>'VÒNG BẢNG'!F6</f>
        <v>UNITED ARAB EMIRATES</v>
      </c>
      <c r="F3">
        <f>IF('VÒNG BẢNG'!G6="","",'VÒNG BẢNG'!G6)</f>
        <v>1</v>
      </c>
      <c r="G3">
        <f>IF('VÒNG BẢNG'!H6="","",'VÒNG BẢNG'!H6)</f>
        <v>1</v>
      </c>
      <c r="H3" t="str">
        <f>'VÒNG BẢNG'!I6</f>
        <v>BAHRAIN</v>
      </c>
      <c r="I3" t="str">
        <f>IF(G3="","",CONCATENATE(H3,"&amp;",E3))</f>
        <v>BAHRAIN&amp;UNITED ARAB EMIRATES</v>
      </c>
      <c r="J3" t="str">
        <f>IF(OR(F3="",G3=""),"",IF(F3&gt;G3,CONCATENATE(E3," THẮNG"),IF(F3=G3,CONCATENATE(E3," HÒA"),CONCATENATE(E3," THUA"))))</f>
        <v>UNITED ARAB EMIRATES HÒA</v>
      </c>
      <c r="K3" t="str">
        <f>IF(OR(F3="",G3=""),"",IF(G3&gt;F3,CONCATENATE(H3," THẮNG"),IF(G3=F3,CONCATENATE(H3," HÒA"),CONCATENATE(H3," THUA"))))</f>
        <v>BAHRAIN HÒA</v>
      </c>
      <c r="M3">
        <f>RANK(W3,W3:W6,0)</f>
        <v>4</v>
      </c>
      <c r="N3" s="1" t="str">
        <f>HLOOKUP('CÀI ĐẶT'!$E$2,'CÀI ĐẶT'!$C$32:$Z$56,2,0)</f>
        <v>INDIA</v>
      </c>
      <c r="O3">
        <f>SUM(P3:R3)</f>
        <v>3</v>
      </c>
      <c r="P3">
        <f>COUNTIF($J$3:$K$38,CONCATENATE(N3," THẮNG"))</f>
        <v>1</v>
      </c>
      <c r="Q3">
        <f>COUNTIF($J$3:$K$38,CONCATENATE(N3," HÒA"))</f>
        <v>0</v>
      </c>
      <c r="R3">
        <f>COUNTIF($J$3:$K$38,CONCATENATE(N3," THUA"))</f>
        <v>2</v>
      </c>
      <c r="S3">
        <f>SUMIF($E$3:$E$38,N3,$F$3:$F$38)+SUMIF($H$3:$H$38,N3,$G$3:$G$38)</f>
        <v>4</v>
      </c>
      <c r="T3">
        <f>SUMIF($E$3:$E$38,N3,$G$3:$G$38)+SUMIF($H$3:$H$38,N3,$F$3:$F$38)</f>
        <v>4</v>
      </c>
      <c r="U3">
        <f>S3-T3</f>
        <v>0</v>
      </c>
      <c r="V3">
        <f t="shared" ref="V3:V6" si="0">P3*3+Q3*1+R3*0</f>
        <v>3</v>
      </c>
      <c r="W3">
        <f>V3*1000000000+SUM('NHÁP 2'!P3:R3)*10000000+U3*100000+S3*1000-X3</f>
        <v>3000003995</v>
      </c>
      <c r="X3">
        <v>5</v>
      </c>
      <c r="AA3" t="str">
        <f>'VÒNG BẢNG'!M51</f>
        <v>KYRGYZSTAN</v>
      </c>
      <c r="AB3" t="str">
        <f t="shared" ref="AB3:AB5" si="1">VLOOKUP(AA3,$N$38:$X$44,11,0)</f>
        <v>C</v>
      </c>
      <c r="AC3" t="str">
        <f>'VÒNG BẢNG'!M51</f>
        <v>KYRGYZSTAN</v>
      </c>
    </row>
    <row r="4" spans="4:62" x14ac:dyDescent="0.25">
      <c r="D4" t="str">
        <f t="shared" ref="D4:D38" si="2">IF(F4="","",CONCATENATE(E4,"&amp;",H4))</f>
        <v>AUSTRALIA&amp;JORDAN</v>
      </c>
      <c r="E4" t="str">
        <f>'VÒNG BẢNG'!F7</f>
        <v>AUSTRALIA</v>
      </c>
      <c r="F4">
        <f>IF('VÒNG BẢNG'!G7="","",'VÒNG BẢNG'!G7)</f>
        <v>0</v>
      </c>
      <c r="G4">
        <f>IF('VÒNG BẢNG'!H7="","",'VÒNG BẢNG'!H7)</f>
        <v>1</v>
      </c>
      <c r="H4" t="str">
        <f>'VÒNG BẢNG'!I7</f>
        <v>JORDAN</v>
      </c>
      <c r="I4" t="str">
        <f t="shared" ref="I4:I38" si="3">IF(G4="","",CONCATENATE(H4,"&amp;",E4))</f>
        <v>JORDAN&amp;AUSTRALIA</v>
      </c>
      <c r="J4" t="str">
        <f t="shared" ref="J4:J38" si="4">IF(OR(F4="",G4=""),"",IF(F4&gt;G4,CONCATENATE(E4," THẮNG"),IF(F4=G4,CONCATENATE(E4," HÒA"),CONCATENATE(E4," THUA"))))</f>
        <v>AUSTRALIA THUA</v>
      </c>
      <c r="K4" t="str">
        <f t="shared" ref="K4:K38" si="5">IF(OR(F4="",G4=""),"",IF(G4&gt;F4,CONCATENATE(H4," THẮNG"),IF(G4=F4,CONCATENATE(H4," HÒA"),CONCATENATE(H4," THUA"))))</f>
        <v>JORDAN THẮNG</v>
      </c>
      <c r="M4">
        <f>RANK(W4,W3:W6,0)</f>
        <v>3</v>
      </c>
      <c r="N4" s="1" t="str">
        <f>HLOOKUP('CÀI ĐẶT'!$E$2,'CÀI ĐẶT'!$C$32:$Z$56,3,0)</f>
        <v>BAHRAIN</v>
      </c>
      <c r="O4">
        <f t="shared" ref="O4:O6" si="6">SUM(P4:R4)</f>
        <v>3</v>
      </c>
      <c r="P4">
        <f t="shared" ref="P4:P6" si="7">COUNTIF($J$3:$K$38,CONCATENATE(N4," THẮNG"))</f>
        <v>1</v>
      </c>
      <c r="Q4">
        <f t="shared" ref="Q4:Q6" si="8">COUNTIF($J$3:$K$38,CONCATENATE(N4," HÒA"))</f>
        <v>1</v>
      </c>
      <c r="R4">
        <f t="shared" ref="R4:R6" si="9">COUNTIF($J$3:$K$38,CONCATENATE(N4," THUA"))</f>
        <v>1</v>
      </c>
      <c r="S4">
        <f t="shared" ref="S4:S6" si="10">SUMIF($E$3:$E$38,N4,$F$3:$F$38)+SUMIF($H$3:$H$38,N4,$G$3:$G$38)</f>
        <v>2</v>
      </c>
      <c r="T4">
        <f t="shared" ref="T4:T6" si="11">SUMIF($E$3:$E$38,N4,$G$3:$G$38)+SUMIF($H$3:$H$38,N4,$F$3:$F$38)</f>
        <v>2</v>
      </c>
      <c r="U4">
        <f t="shared" ref="U4:U6" si="12">S4-T4</f>
        <v>0</v>
      </c>
      <c r="V4">
        <f t="shared" si="0"/>
        <v>4</v>
      </c>
      <c r="W4">
        <f>V4*1000000000+SUM('NHÁP 2'!P4:R4)*10000000+U4*100000+S4*1000-X4</f>
        <v>4000001998</v>
      </c>
      <c r="X4">
        <v>2</v>
      </c>
      <c r="AA4" t="str">
        <f>'VÒNG BẢNG'!M52</f>
        <v>OMAN</v>
      </c>
      <c r="AB4" t="str">
        <f t="shared" si="1"/>
        <v>F</v>
      </c>
      <c r="AC4" t="str">
        <f>'VÒNG BẢNG'!M52</f>
        <v>OMAN</v>
      </c>
      <c r="AT4">
        <f t="shared" ref="AT4" si="13">IF(AT5="",0,1)</f>
        <v>0</v>
      </c>
      <c r="AU4">
        <f t="shared" ref="AU4" si="14">IF(AU5="",0,1)</f>
        <v>0</v>
      </c>
      <c r="AV4">
        <f>IF(AV5="",0,1)</f>
        <v>1</v>
      </c>
    </row>
    <row r="5" spans="4:62" x14ac:dyDescent="0.25">
      <c r="D5" t="str">
        <f t="shared" si="2"/>
        <v>THAILAND&amp;INDIA</v>
      </c>
      <c r="E5" t="str">
        <f>'VÒNG BẢNG'!F8</f>
        <v>THAILAND</v>
      </c>
      <c r="F5">
        <f>IF('VÒNG BẢNG'!G8="","",'VÒNG BẢNG'!G8)</f>
        <v>1</v>
      </c>
      <c r="G5">
        <f>IF('VÒNG BẢNG'!H8="","",'VÒNG BẢNG'!H8)</f>
        <v>4</v>
      </c>
      <c r="H5" t="str">
        <f>'VÒNG BẢNG'!I8</f>
        <v>INDIA</v>
      </c>
      <c r="I5" t="str">
        <f t="shared" si="3"/>
        <v>INDIA&amp;THAILAND</v>
      </c>
      <c r="J5" t="str">
        <f t="shared" si="4"/>
        <v>THAILAND THUA</v>
      </c>
      <c r="K5" t="str">
        <f t="shared" si="5"/>
        <v>INDIA THẮNG</v>
      </c>
      <c r="M5">
        <f>RANK(W5,W3:W6,0)</f>
        <v>1</v>
      </c>
      <c r="N5" s="1" t="str">
        <f>HLOOKUP('CÀI ĐẶT'!$E$2,'CÀI ĐẶT'!$C$32:$Z$56,4,0)</f>
        <v>UNITED ARAB EMIRATES</v>
      </c>
      <c r="O5">
        <f t="shared" si="6"/>
        <v>3</v>
      </c>
      <c r="P5">
        <f t="shared" si="7"/>
        <v>1</v>
      </c>
      <c r="Q5">
        <f t="shared" si="8"/>
        <v>2</v>
      </c>
      <c r="R5">
        <f t="shared" si="9"/>
        <v>0</v>
      </c>
      <c r="S5">
        <f t="shared" si="10"/>
        <v>4</v>
      </c>
      <c r="T5">
        <f t="shared" si="11"/>
        <v>2</v>
      </c>
      <c r="U5">
        <f t="shared" si="12"/>
        <v>2</v>
      </c>
      <c r="V5">
        <f t="shared" si="0"/>
        <v>5</v>
      </c>
      <c r="W5">
        <f>V5*1000000000+SUM('NHÁP 2'!P5:R5)*10000000+U5*100000+S5*1000-X5</f>
        <v>5000203979</v>
      </c>
      <c r="X5">
        <v>21</v>
      </c>
      <c r="AA5" t="str">
        <f>'VÒNG BẢNG'!M53</f>
        <v>VIETNAM</v>
      </c>
      <c r="AB5" t="str">
        <f t="shared" si="1"/>
        <v>D</v>
      </c>
      <c r="AC5" t="str">
        <f>'VÒNG BẢNG'!M53</f>
        <v>VIETNAM</v>
      </c>
      <c r="AP5" t="str">
        <f>'VÒNG BẢNG'!X8</f>
        <v>JORDAN</v>
      </c>
      <c r="AQ5">
        <f>IF('VÒNG BẢNG'!Y8="","",'VÒNG BẢNG'!Y8)</f>
        <v>1</v>
      </c>
      <c r="AR5">
        <f>IF('VÒNG BẢNG'!Z8="","",'VÒNG BẢNG'!Z8)</f>
        <v>0</v>
      </c>
      <c r="AS5">
        <f>IF('VÒNG BẢNG'!AA8="","",'VÒNG BẢNG'!AA8)</f>
        <v>2</v>
      </c>
      <c r="AT5" t="str">
        <f>IF(OR(AQ5="",AQ6=""),"",IF(AQ5&gt;AQ6,AP5,IF(AQ5&lt;AQ6,AP6,"")))</f>
        <v/>
      </c>
      <c r="AU5" t="str">
        <f>IF(OR(AQ5="",AQ6="",AR5="",AR6=""),"",IF(AT5="",IF(AR5&gt;AR6,AP5,IF(AR5&lt;AR6,AP6,"")),""))</f>
        <v/>
      </c>
      <c r="AV5" t="str">
        <f>IF(OR(AQ5="",AQ6="",AR5="",AR6="",AS5="",AS6=""),"",IF(AND(AT5="",AU5=""),IF(AS5&gt;AS6,AP5,IF(AS5&lt;AS6,AP6,"")),""))</f>
        <v>VIETNAM</v>
      </c>
    </row>
    <row r="6" spans="4:62" x14ac:dyDescent="0.25">
      <c r="D6" t="str">
        <f t="shared" si="2"/>
        <v>SYRIA&amp;PALESTINE</v>
      </c>
      <c r="E6" t="str">
        <f>'VÒNG BẢNG'!F9</f>
        <v>SYRIA</v>
      </c>
      <c r="F6">
        <f>IF('VÒNG BẢNG'!G9="","",'VÒNG BẢNG'!G9)</f>
        <v>0</v>
      </c>
      <c r="G6">
        <f>IF('VÒNG BẢNG'!H9="","",'VÒNG BẢNG'!H9)</f>
        <v>0</v>
      </c>
      <c r="H6" t="str">
        <f>'VÒNG BẢNG'!I9</f>
        <v>PALESTINE</v>
      </c>
      <c r="I6" t="str">
        <f t="shared" si="3"/>
        <v>PALESTINE&amp;SYRIA</v>
      </c>
      <c r="J6" t="str">
        <f t="shared" si="4"/>
        <v>SYRIA HÒA</v>
      </c>
      <c r="K6" t="str">
        <f t="shared" si="5"/>
        <v>PALESTINE HÒA</v>
      </c>
      <c r="M6">
        <f>RANK(W6,W3:W6,0)</f>
        <v>2</v>
      </c>
      <c r="N6" s="1" t="str">
        <f>HLOOKUP('CÀI ĐẶT'!$E$2,'CÀI ĐẶT'!$C$32:$Z$56,5,0)</f>
        <v>THAILAND</v>
      </c>
      <c r="O6">
        <f t="shared" si="6"/>
        <v>3</v>
      </c>
      <c r="P6">
        <f t="shared" si="7"/>
        <v>1</v>
      </c>
      <c r="Q6">
        <f t="shared" si="8"/>
        <v>1</v>
      </c>
      <c r="R6">
        <f t="shared" si="9"/>
        <v>1</v>
      </c>
      <c r="S6">
        <f t="shared" si="10"/>
        <v>3</v>
      </c>
      <c r="T6">
        <f t="shared" si="11"/>
        <v>5</v>
      </c>
      <c r="U6">
        <f t="shared" si="12"/>
        <v>-2</v>
      </c>
      <c r="V6">
        <f t="shared" si="0"/>
        <v>4</v>
      </c>
      <c r="W6">
        <f>V6*1000000000+SUM('NHÁP 2'!P6:R6)*10000000+U6*100000+S6*1000-X6</f>
        <v>4029802981</v>
      </c>
      <c r="X6">
        <v>19</v>
      </c>
      <c r="AP6" t="str">
        <f>'VÒNG BẢNG'!X9</f>
        <v>VIETNAM</v>
      </c>
      <c r="AQ6">
        <f>IF('VÒNG BẢNG'!Y9="","",'VÒNG BẢNG'!Y9)</f>
        <v>1</v>
      </c>
      <c r="AR6">
        <f>IF('VÒNG BẢNG'!Z9="","",'VÒNG BẢNG'!Z9)</f>
        <v>0</v>
      </c>
      <c r="AS6">
        <f>IF('VÒNG BẢNG'!AA9="","",'VÒNG BẢNG'!AA9)</f>
        <v>4</v>
      </c>
      <c r="AT6" s="5" t="str">
        <f>IF(AND(AT5="",AU5="",AV5=""),"",HLOOKUP(1,AT4:AV5,2,0))</f>
        <v>VIETNAM</v>
      </c>
    </row>
    <row r="7" spans="4:62" x14ac:dyDescent="0.25">
      <c r="D7" t="str">
        <f t="shared" si="2"/>
        <v>CHINA P.R.&amp;KYRGYZSTAN</v>
      </c>
      <c r="E7" t="str">
        <f>'VÒNG BẢNG'!F10</f>
        <v>CHINA P.R.</v>
      </c>
      <c r="F7">
        <f>IF('VÒNG BẢNG'!G10="","",'VÒNG BẢNG'!G10)</f>
        <v>2</v>
      </c>
      <c r="G7">
        <f>IF('VÒNG BẢNG'!H10="","",'VÒNG BẢNG'!H10)</f>
        <v>1</v>
      </c>
      <c r="H7" t="str">
        <f>'VÒNG BẢNG'!I10</f>
        <v>KYRGYZSTAN</v>
      </c>
      <c r="I7" t="str">
        <f t="shared" si="3"/>
        <v>KYRGYZSTAN&amp;CHINA P.R.</v>
      </c>
      <c r="J7" t="str">
        <f t="shared" si="4"/>
        <v>CHINA P.R. THẮNG</v>
      </c>
      <c r="K7" t="str">
        <f t="shared" si="5"/>
        <v>KYRGYZSTAN THUA</v>
      </c>
      <c r="AA7" t="s">
        <v>85</v>
      </c>
      <c r="AB7" t="s">
        <v>86</v>
      </c>
      <c r="AC7" t="s">
        <v>87</v>
      </c>
      <c r="AD7" t="s">
        <v>88</v>
      </c>
      <c r="AF7" t="str">
        <f>'VÒNG BẢNG'!M8</f>
        <v>UNITED ARAB EMIRATES</v>
      </c>
      <c r="AG7" t="str">
        <f>'VÒNG BẢNG'!M15</f>
        <v>JORDAN</v>
      </c>
      <c r="AH7" t="str">
        <f>'VÒNG BẢNG'!M22</f>
        <v>KOREA REPUBLIC</v>
      </c>
      <c r="AI7" t="str">
        <f>'VÒNG BẢNG'!M29</f>
        <v>IRAN</v>
      </c>
      <c r="AK7" t="str">
        <f>'VÒNG BẢNG'!M8</f>
        <v>UNITED ARAB EMIRATES</v>
      </c>
      <c r="AL7" t="str">
        <f>'VÒNG BẢNG'!M15</f>
        <v>JORDAN</v>
      </c>
      <c r="AM7" t="str">
        <f>'VÒNG BẢNG'!M22</f>
        <v>KOREA REPUBLIC</v>
      </c>
      <c r="AN7" t="str">
        <f>'VÒNG BẢNG'!M29</f>
        <v>IRAN</v>
      </c>
      <c r="BA7">
        <f t="shared" ref="BA7" si="15">IF(BA8="",0,1)</f>
        <v>1</v>
      </c>
      <c r="BB7">
        <f t="shared" ref="BB7" si="16">IF(BB8="",0,1)</f>
        <v>0</v>
      </c>
      <c r="BC7">
        <f>IF(BC8="",0,1)</f>
        <v>0</v>
      </c>
    </row>
    <row r="8" spans="4:62" x14ac:dyDescent="0.25">
      <c r="D8" t="str">
        <f t="shared" si="2"/>
        <v>KOREA REPUBLIC&amp;PHILIPPINES</v>
      </c>
      <c r="E8" t="str">
        <f>'VÒNG BẢNG'!F11</f>
        <v>KOREA REPUBLIC</v>
      </c>
      <c r="F8">
        <f>IF('VÒNG BẢNG'!G11="","",'VÒNG BẢNG'!G11)</f>
        <v>1</v>
      </c>
      <c r="G8">
        <f>IF('VÒNG BẢNG'!H11="","",'VÒNG BẢNG'!H11)</f>
        <v>0</v>
      </c>
      <c r="H8" t="str">
        <f>'VÒNG BẢNG'!I11</f>
        <v>PHILIPPINES</v>
      </c>
      <c r="I8" t="str">
        <f t="shared" si="3"/>
        <v>PHILIPPINES&amp;KOREA REPUBLIC</v>
      </c>
      <c r="J8" t="str">
        <f t="shared" si="4"/>
        <v>KOREA REPUBLIC THẮNG</v>
      </c>
      <c r="K8" t="str">
        <f t="shared" si="5"/>
        <v>PHILIPPINES THUA</v>
      </c>
      <c r="M8" t="s">
        <v>61</v>
      </c>
      <c r="N8" t="s">
        <v>45</v>
      </c>
      <c r="O8" t="s">
        <v>62</v>
      </c>
      <c r="P8" t="s">
        <v>63</v>
      </c>
      <c r="Q8" t="s">
        <v>54</v>
      </c>
      <c r="R8" t="s">
        <v>64</v>
      </c>
      <c r="S8" t="s">
        <v>65</v>
      </c>
      <c r="T8" t="s">
        <v>66</v>
      </c>
      <c r="U8" t="s">
        <v>67</v>
      </c>
      <c r="V8" t="s">
        <v>68</v>
      </c>
      <c r="AA8" t="s">
        <v>52</v>
      </c>
      <c r="AB8" t="s">
        <v>54</v>
      </c>
      <c r="AC8" t="s">
        <v>21</v>
      </c>
      <c r="AD8" t="s">
        <v>22</v>
      </c>
      <c r="AE8">
        <f t="shared" ref="AE8:AE22" si="17">IF(OR(AF8="",AG8="",AH8="",AI8=""),0,1)</f>
        <v>0</v>
      </c>
      <c r="AF8" t="str">
        <f>IF(COUNTIF($AB$2:$AB$5,AA8)=1,VLOOKUP(AA8,$AB$2:$AC$5,2,0),"")</f>
        <v>KYRGYZSTAN</v>
      </c>
      <c r="AG8" t="str">
        <f t="shared" ref="AG8:AI8" si="18">IF(COUNTIF($AB$2:$AB$5,AB8)=1,VLOOKUP(AB8,$AB$2:$AC$5,2,0),"")</f>
        <v>VIETNAM</v>
      </c>
      <c r="AH8" t="str">
        <f t="shared" si="18"/>
        <v>BAHRAIN</v>
      </c>
      <c r="AI8" t="str">
        <f t="shared" si="18"/>
        <v/>
      </c>
      <c r="AK8" t="str">
        <f>VLOOKUP(1,$AE$8:$AI$22,2,0)</f>
        <v>KYRGYZSTAN</v>
      </c>
      <c r="AL8" t="str">
        <f>VLOOKUP(1,$AE$8:$AI$22,3,0)</f>
        <v>VIETNAM</v>
      </c>
      <c r="AM8" t="str">
        <f>VLOOKUP(1,$AE$8:$AI$22,4,0)</f>
        <v>BAHRAIN</v>
      </c>
      <c r="AN8" t="str">
        <f>VLOOKUP(1,$AE$8:$AI$22,5,0)</f>
        <v>OMAN</v>
      </c>
      <c r="AW8" t="str">
        <f>'VÒNG BẢNG'!AE11</f>
        <v>VIETNAM</v>
      </c>
      <c r="AX8">
        <f>IF('VÒNG BẢNG'!AF11="","",'VÒNG BẢNG'!AF11)</f>
        <v>0</v>
      </c>
      <c r="AY8" t="str">
        <f>IF('VÒNG BẢNG'!AG11="","",'VÒNG BẢNG'!AG11)</f>
        <v/>
      </c>
      <c r="AZ8" t="str">
        <f>IF('VÒNG BẢNG'!AH11="","",'VÒNG BẢNG'!AH11)</f>
        <v/>
      </c>
      <c r="BA8" t="str">
        <f>IF(OR(AX8="",AX9=""),"",IF(AX8&gt;AX9,AW8,IF(AX8&lt;AX9,AW9,"")))</f>
        <v>JAPAN</v>
      </c>
      <c r="BB8" t="str">
        <f>IF(OR(AX8="",AX9="",AY8="",AY9=""),"",IF(BA8="",IF(AY8&gt;AY9,AW8,IF(AY8&lt;AY9,AW9,"")),""))</f>
        <v/>
      </c>
      <c r="BC8" t="str">
        <f>IF(OR(AX8="",AX9="",AY8="",AY9="",AZ8="",AZ9=""),"",IF(AND(BA8="",BB8=""),IF(AZ8&gt;AZ9,AW8,IF(AZ8&lt;AZ9,AW9,"")),""))</f>
        <v/>
      </c>
    </row>
    <row r="9" spans="4:62" x14ac:dyDescent="0.25">
      <c r="D9" t="str">
        <f t="shared" si="2"/>
        <v>IRAN&amp;YEMEN</v>
      </c>
      <c r="E9" t="str">
        <f>'VÒNG BẢNG'!F12</f>
        <v>IRAN</v>
      </c>
      <c r="F9">
        <f>IF('VÒNG BẢNG'!G12="","",'VÒNG BẢNG'!G12)</f>
        <v>5</v>
      </c>
      <c r="G9">
        <f>IF('VÒNG BẢNG'!H12="","",'VÒNG BẢNG'!H12)</f>
        <v>0</v>
      </c>
      <c r="H9" t="str">
        <f>'VÒNG BẢNG'!I12</f>
        <v>YEMEN</v>
      </c>
      <c r="I9" t="str">
        <f t="shared" si="3"/>
        <v>YEMEN&amp;IRAN</v>
      </c>
      <c r="J9" t="str">
        <f t="shared" si="4"/>
        <v>IRAN THẮNG</v>
      </c>
      <c r="K9" t="str">
        <f t="shared" si="5"/>
        <v>YEMEN THUA</v>
      </c>
      <c r="M9">
        <f>RANK(W9,W9:W12,0)</f>
        <v>2</v>
      </c>
      <c r="N9" s="1" t="str">
        <f>HLOOKUP('CÀI ĐẶT'!$E$2,'CÀI ĐẶT'!$C$32:$Z$56,6,0)</f>
        <v>AUSTRALIA</v>
      </c>
      <c r="O9">
        <f>SUM(P9:R9)</f>
        <v>3</v>
      </c>
      <c r="P9">
        <f>COUNTIF($J$3:$K$38,CONCATENATE(N9," THẮNG"))</f>
        <v>2</v>
      </c>
      <c r="Q9">
        <f>COUNTIF($J$3:$K$38,CONCATENATE(N9," HÒA"))</f>
        <v>0</v>
      </c>
      <c r="R9">
        <f>COUNTIF($J$3:$K$38,CONCATENATE(N9," THUA"))</f>
        <v>1</v>
      </c>
      <c r="S9">
        <f>SUMIF($E$3:$E$38,N9,$F$3:$F$38)+SUMIF($H$3:$H$38,N9,$G$3:$G$38)</f>
        <v>6</v>
      </c>
      <c r="T9">
        <f>SUMIF($E$3:$E$38,N9,$G$3:$G$38)+SUMIF($H$3:$H$38,N9,$F$3:$F$38)</f>
        <v>3</v>
      </c>
      <c r="U9">
        <f>S9-T9</f>
        <v>3</v>
      </c>
      <c r="V9">
        <f>P9*3+Q9*1+R9*0</f>
        <v>6</v>
      </c>
      <c r="W9">
        <f>V9*1000000000+SUM('NHÁP 2'!P9:R9)*10000000+U9*100000+S9*1000-X9</f>
        <v>6000305999</v>
      </c>
      <c r="X9">
        <v>1</v>
      </c>
      <c r="AA9" t="s">
        <v>52</v>
      </c>
      <c r="AB9" t="s">
        <v>21</v>
      </c>
      <c r="AC9" t="s">
        <v>22</v>
      </c>
      <c r="AD9" t="s">
        <v>57</v>
      </c>
      <c r="AE9">
        <f t="shared" si="17"/>
        <v>0</v>
      </c>
      <c r="AF9" t="str">
        <f t="shared" ref="AF9:AF22" si="19">IF(COUNTIF($AB$2:$AB$5,AA9)=1,VLOOKUP(AA9,$AB$2:$AC$5,2,0),"")</f>
        <v>KYRGYZSTAN</v>
      </c>
      <c r="AG9" t="str">
        <f t="shared" ref="AG9:AG22" si="20">IF(COUNTIF($AB$2:$AB$5,AB9)=1,VLOOKUP(AB9,$AB$2:$AC$5,2,0),"")</f>
        <v>BAHRAIN</v>
      </c>
      <c r="AH9" t="str">
        <f t="shared" ref="AH9:AH22" si="21">IF(COUNTIF($AB$2:$AB$5,AC9)=1,VLOOKUP(AC9,$AB$2:$AC$5,2,0),"")</f>
        <v/>
      </c>
      <c r="AI9" t="str">
        <f t="shared" ref="AI9:AI22" si="22">IF(COUNTIF($AB$2:$AB$5,AD9)=1,VLOOKUP(AD9,$AB$2:$AC$5,2,0),"")</f>
        <v/>
      </c>
      <c r="AK9" t="str">
        <f>CONCATENATE(3,VLOOKUP(AK8,$AA$2:$AC$5,2,0))</f>
        <v>3C</v>
      </c>
      <c r="AL9" t="str">
        <f t="shared" ref="AL9:AN9" si="23">CONCATENATE(3,VLOOKUP(AL8,$AA$2:$AC$5,2,0))</f>
        <v>3D</v>
      </c>
      <c r="AM9" t="str">
        <f t="shared" si="23"/>
        <v>3A</v>
      </c>
      <c r="AN9" t="str">
        <f t="shared" si="23"/>
        <v>3F</v>
      </c>
      <c r="AW9" t="str">
        <f>'VÒNG BẢNG'!AE12</f>
        <v>JAPAN</v>
      </c>
      <c r="AX9">
        <f>IF('VÒNG BẢNG'!AF12="","",'VÒNG BẢNG'!AF12)</f>
        <v>1</v>
      </c>
      <c r="AY9" t="str">
        <f>IF('VÒNG BẢNG'!AG12="","",'VÒNG BẢNG'!AG12)</f>
        <v/>
      </c>
      <c r="AZ9" t="str">
        <f>IF('VÒNG BẢNG'!AH12="","",'VÒNG BẢNG'!AH12)</f>
        <v/>
      </c>
      <c r="BA9" s="5" t="str">
        <f>IF(AND(BA8="",BB8="",BC8=""),"",HLOOKUP(1,BA7:BC8,2,0))</f>
        <v>JAPAN</v>
      </c>
    </row>
    <row r="10" spans="4:62" x14ac:dyDescent="0.25">
      <c r="D10" t="str">
        <f t="shared" si="2"/>
        <v>IRAQ&amp;VIETNAM</v>
      </c>
      <c r="E10" t="str">
        <f>'VÒNG BẢNG'!F13</f>
        <v>IRAQ</v>
      </c>
      <c r="F10">
        <f>IF('VÒNG BẢNG'!G13="","",'VÒNG BẢNG'!G13)</f>
        <v>3</v>
      </c>
      <c r="G10">
        <f>IF('VÒNG BẢNG'!H13="","",'VÒNG BẢNG'!H13)</f>
        <v>2</v>
      </c>
      <c r="H10" t="str">
        <f>'VÒNG BẢNG'!I13</f>
        <v>VIETNAM</v>
      </c>
      <c r="I10" t="str">
        <f t="shared" si="3"/>
        <v>VIETNAM&amp;IRAQ</v>
      </c>
      <c r="J10" t="str">
        <f t="shared" si="4"/>
        <v>IRAQ THẮNG</v>
      </c>
      <c r="K10" t="str">
        <f t="shared" si="5"/>
        <v>VIETNAM THUA</v>
      </c>
      <c r="M10">
        <f>RANK(W10,W9:W12,0)</f>
        <v>1</v>
      </c>
      <c r="N10" s="1" t="str">
        <f>HLOOKUP('CÀI ĐẶT'!$E$2,'CÀI ĐẶT'!$C$32:$Z$56,7,0)</f>
        <v>JORDAN</v>
      </c>
      <c r="O10">
        <f t="shared" ref="O10:O12" si="24">SUM(P10:R10)</f>
        <v>3</v>
      </c>
      <c r="P10">
        <f t="shared" ref="P10:P12" si="25">COUNTIF($J$3:$K$38,CONCATENATE(N10," THẮNG"))</f>
        <v>2</v>
      </c>
      <c r="Q10">
        <f t="shared" ref="Q10:Q12" si="26">COUNTIF($J$3:$K$38,CONCATENATE(N10," HÒA"))</f>
        <v>1</v>
      </c>
      <c r="R10">
        <f t="shared" ref="R10:R12" si="27">COUNTIF($J$3:$K$38,CONCATENATE(N10," THUA"))</f>
        <v>0</v>
      </c>
      <c r="S10">
        <f t="shared" ref="S10:S12" si="28">SUMIF($E$3:$E$38,N10,$F$3:$F$38)+SUMIF($H$3:$H$38,N10,$G$3:$G$38)</f>
        <v>3</v>
      </c>
      <c r="T10">
        <f t="shared" ref="T10:T12" si="29">SUMIF($E$3:$E$38,N10,$G$3:$G$38)+SUMIF($H$3:$H$38,N10,$F$3:$F$38)</f>
        <v>0</v>
      </c>
      <c r="U10">
        <f t="shared" ref="U10:U12" si="30">S10-T10</f>
        <v>3</v>
      </c>
      <c r="V10">
        <f t="shared" ref="V10:V12" si="31">P10*3+Q10*1+R10*0</f>
        <v>7</v>
      </c>
      <c r="W10">
        <f>V10*1000000000+SUM('NHÁP 2'!P10:R10)*10000000+U10*100000+S10*1000-X10</f>
        <v>7000302991</v>
      </c>
      <c r="X10">
        <v>9</v>
      </c>
      <c r="AA10" t="s">
        <v>52</v>
      </c>
      <c r="AB10" t="s">
        <v>21</v>
      </c>
      <c r="AC10" t="s">
        <v>22</v>
      </c>
      <c r="AD10" t="s">
        <v>59</v>
      </c>
      <c r="AE10">
        <f t="shared" si="17"/>
        <v>0</v>
      </c>
      <c r="AF10" t="str">
        <f t="shared" si="19"/>
        <v>KYRGYZSTAN</v>
      </c>
      <c r="AG10" t="str">
        <f t="shared" si="20"/>
        <v>BAHRAIN</v>
      </c>
      <c r="AH10" t="str">
        <f t="shared" si="21"/>
        <v/>
      </c>
      <c r="AI10" t="str">
        <f t="shared" si="22"/>
        <v>OMAN</v>
      </c>
      <c r="AT10">
        <f t="shared" ref="AT10" si="32">IF(AT11="",0,1)</f>
        <v>1</v>
      </c>
      <c r="AU10">
        <f t="shared" ref="AU10" si="33">IF(AU11="",0,1)</f>
        <v>0</v>
      </c>
      <c r="AV10">
        <f>IF(AV11="",0,1)</f>
        <v>0</v>
      </c>
    </row>
    <row r="11" spans="4:62" x14ac:dyDescent="0.25">
      <c r="D11" t="str">
        <f t="shared" si="2"/>
        <v>SAUDI ARABIA&amp;DPR KOREA</v>
      </c>
      <c r="E11" t="str">
        <f>'VÒNG BẢNG'!F14</f>
        <v>SAUDI ARABIA</v>
      </c>
      <c r="F11">
        <f>IF('VÒNG BẢNG'!G14="","",'VÒNG BẢNG'!G14)</f>
        <v>4</v>
      </c>
      <c r="G11">
        <f>IF('VÒNG BẢNG'!H14="","",'VÒNG BẢNG'!H14)</f>
        <v>0</v>
      </c>
      <c r="H11" t="str">
        <f>'VÒNG BẢNG'!I14</f>
        <v>DPR KOREA</v>
      </c>
      <c r="I11" t="str">
        <f t="shared" si="3"/>
        <v>DPR KOREA&amp;SAUDI ARABIA</v>
      </c>
      <c r="J11" t="str">
        <f t="shared" si="4"/>
        <v>SAUDI ARABIA THẮNG</v>
      </c>
      <c r="K11" t="str">
        <f t="shared" si="5"/>
        <v>DPR KOREA THUA</v>
      </c>
      <c r="M11">
        <f>RANK(W11,W9:W12,0)</f>
        <v>3</v>
      </c>
      <c r="N11" s="1" t="str">
        <f>HLOOKUP('CÀI ĐẶT'!$E$2,'CÀI ĐẶT'!$C$32:$Z$56,8,0)</f>
        <v>PALESTINE</v>
      </c>
      <c r="O11">
        <f t="shared" si="24"/>
        <v>3</v>
      </c>
      <c r="P11">
        <f t="shared" si="25"/>
        <v>0</v>
      </c>
      <c r="Q11">
        <f t="shared" si="26"/>
        <v>2</v>
      </c>
      <c r="R11">
        <f t="shared" si="27"/>
        <v>1</v>
      </c>
      <c r="S11">
        <f t="shared" si="28"/>
        <v>0</v>
      </c>
      <c r="T11">
        <f t="shared" si="29"/>
        <v>3</v>
      </c>
      <c r="U11">
        <f t="shared" si="30"/>
        <v>-3</v>
      </c>
      <c r="V11">
        <f t="shared" si="31"/>
        <v>2</v>
      </c>
      <c r="W11">
        <f>V11*1000000000+SUM('NHÁP 2'!P11:R11)*10000000+U11*100000+S11*1000-X11</f>
        <v>1999699986</v>
      </c>
      <c r="X11">
        <v>14</v>
      </c>
      <c r="AA11" t="s">
        <v>54</v>
      </c>
      <c r="AB11" t="s">
        <v>21</v>
      </c>
      <c r="AC11" t="s">
        <v>22</v>
      </c>
      <c r="AD11" t="s">
        <v>57</v>
      </c>
      <c r="AE11">
        <f t="shared" si="17"/>
        <v>0</v>
      </c>
      <c r="AF11" t="str">
        <f t="shared" si="19"/>
        <v>VIETNAM</v>
      </c>
      <c r="AG11" t="str">
        <f t="shared" si="20"/>
        <v>BAHRAIN</v>
      </c>
      <c r="AH11" t="str">
        <f t="shared" si="21"/>
        <v/>
      </c>
      <c r="AI11" t="str">
        <f t="shared" si="22"/>
        <v/>
      </c>
      <c r="AP11" t="str">
        <f>'VÒNG BẢNG'!X14</f>
        <v>JAPAN</v>
      </c>
      <c r="AQ11">
        <f>IF('VÒNG BẢNG'!Y14="","",'VÒNG BẢNG'!Y14)</f>
        <v>1</v>
      </c>
      <c r="AR11" t="str">
        <f>IF('VÒNG BẢNG'!Z14="","",'VÒNG BẢNG'!Z14)</f>
        <v/>
      </c>
      <c r="AS11" t="str">
        <f>IF('VÒNG BẢNG'!AA14="","",'VÒNG BẢNG'!AA14)</f>
        <v/>
      </c>
      <c r="AT11" t="str">
        <f>IF(OR(AQ11="",AQ12=""),"",IF(AQ11&gt;AQ12,AP11,IF(AQ11&lt;AQ12,AP12,"")))</f>
        <v>JAPAN</v>
      </c>
      <c r="AU11" t="str">
        <f>IF(OR(AQ11="",AQ12="",AR11="",AR12=""),"",IF(AT11="",IF(AR11&gt;AR12,AP11,IF(AR11&lt;AR12,AP12,"")),""))</f>
        <v/>
      </c>
      <c r="AV11" t="str">
        <f>IF(OR(AQ11="",AQ12="",AR11="",AR12="",AS11="",AS12=""),"",IF(AND(AT11="",AU11=""),IF(AS11&gt;AS12,AP11,IF(AS11&lt;AS12,AP12,"")),""))</f>
        <v/>
      </c>
    </row>
    <row r="12" spans="4:62" x14ac:dyDescent="0.25">
      <c r="D12" t="str">
        <f t="shared" si="2"/>
        <v>JAPAN&amp;TURKMENISTAN</v>
      </c>
      <c r="E12" t="str">
        <f>'VÒNG BẢNG'!F15</f>
        <v>JAPAN</v>
      </c>
      <c r="F12">
        <f>IF('VÒNG BẢNG'!G15="","",'VÒNG BẢNG'!G15)</f>
        <v>3</v>
      </c>
      <c r="G12">
        <f>IF('VÒNG BẢNG'!H15="","",'VÒNG BẢNG'!H15)</f>
        <v>2</v>
      </c>
      <c r="H12" t="str">
        <f>'VÒNG BẢNG'!I15</f>
        <v>TURKMENISTAN</v>
      </c>
      <c r="I12" t="str">
        <f t="shared" si="3"/>
        <v>TURKMENISTAN&amp;JAPAN</v>
      </c>
      <c r="J12" t="str">
        <f t="shared" si="4"/>
        <v>JAPAN THẮNG</v>
      </c>
      <c r="K12" t="str">
        <f t="shared" si="5"/>
        <v>TURKMENISTAN THUA</v>
      </c>
      <c r="M12">
        <f>RANK(W12,W9:W12,0)</f>
        <v>4</v>
      </c>
      <c r="N12" s="1" t="str">
        <f>HLOOKUP('CÀI ĐẶT'!$E$2,'CÀI ĐẶT'!$C$32:$Z$56,9,0)</f>
        <v>SYRIA</v>
      </c>
      <c r="O12">
        <f t="shared" si="24"/>
        <v>3</v>
      </c>
      <c r="P12">
        <f t="shared" si="25"/>
        <v>0</v>
      </c>
      <c r="Q12">
        <f t="shared" si="26"/>
        <v>1</v>
      </c>
      <c r="R12">
        <f t="shared" si="27"/>
        <v>2</v>
      </c>
      <c r="S12">
        <f t="shared" si="28"/>
        <v>2</v>
      </c>
      <c r="T12">
        <f t="shared" si="29"/>
        <v>5</v>
      </c>
      <c r="U12">
        <f t="shared" si="30"/>
        <v>-3</v>
      </c>
      <c r="V12">
        <f t="shared" si="31"/>
        <v>1</v>
      </c>
      <c r="W12">
        <f>V12*1000000000+SUM('NHÁP 2'!P12:R12)*10000000+U12*100000+S12*1000-X12</f>
        <v>999701982</v>
      </c>
      <c r="X12">
        <v>18</v>
      </c>
      <c r="AA12" t="s">
        <v>54</v>
      </c>
      <c r="AB12" t="s">
        <v>21</v>
      </c>
      <c r="AC12" t="s">
        <v>22</v>
      </c>
      <c r="AD12" t="s">
        <v>59</v>
      </c>
      <c r="AE12">
        <f t="shared" si="17"/>
        <v>0</v>
      </c>
      <c r="AF12" t="str">
        <f t="shared" si="19"/>
        <v>VIETNAM</v>
      </c>
      <c r="AG12" t="str">
        <f t="shared" si="20"/>
        <v>BAHRAIN</v>
      </c>
      <c r="AH12" t="str">
        <f t="shared" si="21"/>
        <v/>
      </c>
      <c r="AI12" t="str">
        <f t="shared" si="22"/>
        <v>OMAN</v>
      </c>
      <c r="AP12" t="str">
        <f>'VÒNG BẢNG'!X15</f>
        <v>SAUDI ARABIA</v>
      </c>
      <c r="AQ12">
        <f>IF('VÒNG BẢNG'!Y15="","",'VÒNG BẢNG'!Y15)</f>
        <v>0</v>
      </c>
      <c r="AR12" t="str">
        <f>IF('VÒNG BẢNG'!Z15="","",'VÒNG BẢNG'!Z15)</f>
        <v/>
      </c>
      <c r="AS12" t="str">
        <f>IF('VÒNG BẢNG'!AA15="","",'VÒNG BẢNG'!AA15)</f>
        <v/>
      </c>
      <c r="AT12" s="5" t="str">
        <f>IF(AND(AT11="",AU11="",AV11=""),"",HLOOKUP(1,AT10:AV11,2,0))</f>
        <v>JAPAN</v>
      </c>
    </row>
    <row r="13" spans="4:62" x14ac:dyDescent="0.25">
      <c r="D13" t="str">
        <f t="shared" si="2"/>
        <v>UZBEKISTAN&amp;OMAN</v>
      </c>
      <c r="E13" t="str">
        <f>'VÒNG BẢNG'!F16</f>
        <v>UZBEKISTAN</v>
      </c>
      <c r="F13">
        <f>IF('VÒNG BẢNG'!G16="","",'VÒNG BẢNG'!G16)</f>
        <v>2</v>
      </c>
      <c r="G13">
        <f>IF('VÒNG BẢNG'!H16="","",'VÒNG BẢNG'!H16)</f>
        <v>1</v>
      </c>
      <c r="H13" t="str">
        <f>'VÒNG BẢNG'!I16</f>
        <v>OMAN</v>
      </c>
      <c r="I13" t="str">
        <f t="shared" si="3"/>
        <v>OMAN&amp;UZBEKISTAN</v>
      </c>
      <c r="J13" t="str">
        <f t="shared" si="4"/>
        <v>UZBEKISTAN THẮNG</v>
      </c>
      <c r="K13" t="str">
        <f t="shared" si="5"/>
        <v>OMAN THUA</v>
      </c>
      <c r="AA13" t="s">
        <v>57</v>
      </c>
      <c r="AB13" t="s">
        <v>21</v>
      </c>
      <c r="AC13" t="s">
        <v>22</v>
      </c>
      <c r="AD13" t="s">
        <v>59</v>
      </c>
      <c r="AE13">
        <f t="shared" si="17"/>
        <v>0</v>
      </c>
      <c r="AF13" t="str">
        <f t="shared" si="19"/>
        <v/>
      </c>
      <c r="AG13" t="str">
        <f t="shared" si="20"/>
        <v>BAHRAIN</v>
      </c>
      <c r="AH13" t="str">
        <f t="shared" si="21"/>
        <v/>
      </c>
      <c r="AI13" t="str">
        <f t="shared" si="22"/>
        <v>OMAN</v>
      </c>
      <c r="BH13">
        <f t="shared" ref="BH13" si="34">IF(BH14="",0,1)</f>
        <v>1</v>
      </c>
      <c r="BI13">
        <f t="shared" ref="BI13" si="35">IF(BI14="",0,1)</f>
        <v>0</v>
      </c>
      <c r="BJ13">
        <f>IF(BJ14="",0,1)</f>
        <v>0</v>
      </c>
    </row>
    <row r="14" spans="4:62" x14ac:dyDescent="0.25">
      <c r="D14" t="str">
        <f t="shared" si="2"/>
        <v>QATAR&amp;LEBANON</v>
      </c>
      <c r="E14" t="str">
        <f>'VÒNG BẢNG'!F17</f>
        <v>QATAR</v>
      </c>
      <c r="F14">
        <f>IF('VÒNG BẢNG'!G17="","",'VÒNG BẢNG'!G17)</f>
        <v>2</v>
      </c>
      <c r="G14">
        <f>IF('VÒNG BẢNG'!H17="","",'VÒNG BẢNG'!H17)</f>
        <v>0</v>
      </c>
      <c r="H14" t="str">
        <f>'VÒNG BẢNG'!I17</f>
        <v>LEBANON</v>
      </c>
      <c r="I14" t="str">
        <f t="shared" si="3"/>
        <v>LEBANON&amp;QATAR</v>
      </c>
      <c r="J14" t="str">
        <f t="shared" si="4"/>
        <v>QATAR THẮNG</v>
      </c>
      <c r="K14" t="str">
        <f t="shared" si="5"/>
        <v>LEBANON THUA</v>
      </c>
      <c r="M14" t="s">
        <v>61</v>
      </c>
      <c r="N14" t="s">
        <v>45</v>
      </c>
      <c r="O14" t="s">
        <v>62</v>
      </c>
      <c r="P14" t="s">
        <v>63</v>
      </c>
      <c r="Q14" t="s">
        <v>54</v>
      </c>
      <c r="R14" t="s">
        <v>64</v>
      </c>
      <c r="S14" t="s">
        <v>65</v>
      </c>
      <c r="T14" t="s">
        <v>66</v>
      </c>
      <c r="U14" t="s">
        <v>67</v>
      </c>
      <c r="V14" t="s">
        <v>68</v>
      </c>
      <c r="AA14" t="s">
        <v>52</v>
      </c>
      <c r="AB14" t="s">
        <v>54</v>
      </c>
      <c r="AC14" t="s">
        <v>21</v>
      </c>
      <c r="AD14" t="s">
        <v>57</v>
      </c>
      <c r="AE14">
        <f t="shared" si="17"/>
        <v>0</v>
      </c>
      <c r="AF14" t="str">
        <f t="shared" si="19"/>
        <v>KYRGYZSTAN</v>
      </c>
      <c r="AG14" t="str">
        <f t="shared" si="20"/>
        <v>VIETNAM</v>
      </c>
      <c r="AH14" t="str">
        <f t="shared" si="21"/>
        <v>BAHRAIN</v>
      </c>
      <c r="AI14" t="str">
        <f t="shared" si="22"/>
        <v/>
      </c>
      <c r="BD14" t="str">
        <f>'VÒNG BẢNG'!AL17</f>
        <v>JAPAN</v>
      </c>
      <c r="BE14">
        <f>IF('VÒNG BẢNG'!AM17="","",'VÒNG BẢNG'!AM17)</f>
        <v>3</v>
      </c>
      <c r="BF14" t="str">
        <f>IF('VÒNG BẢNG'!AN17="","",'VÒNG BẢNG'!AN17)</f>
        <v/>
      </c>
      <c r="BG14" t="str">
        <f>IF('VÒNG BẢNG'!AO17="","",'VÒNG BẢNG'!AO17)</f>
        <v/>
      </c>
      <c r="BH14" t="str">
        <f>IF(OR(BE14="",BE15=""),"",IF(BE14&gt;BE15,BD14,IF(BE14&lt;BE15,BD15,"")))</f>
        <v>JAPAN</v>
      </c>
      <c r="BI14" t="str">
        <f>IF(OR(BE14="",BE15="",BF14="",BF15=""),"",IF(BH14="",IF(BF14&gt;BF15,BD14,IF(BF14&lt;BF15,BD15,"")),""))</f>
        <v/>
      </c>
      <c r="BJ14" t="str">
        <f>IF(OR(BE14="",BE15="",BF14="",BF15="",BG14="",BG15=""),"",IF(AND(BH14="",BI14=""),IF(BG14&gt;BG15,BD14,IF(BG14&lt;BG15,BD15,"")),""))</f>
        <v/>
      </c>
    </row>
    <row r="15" spans="4:62" x14ac:dyDescent="0.25">
      <c r="D15" t="str">
        <f t="shared" si="2"/>
        <v>BAHRAIN&amp;THAILAND</v>
      </c>
      <c r="E15" t="str">
        <f>'VÒNG BẢNG'!F18</f>
        <v>BAHRAIN</v>
      </c>
      <c r="F15">
        <f>IF('VÒNG BẢNG'!G18="","",'VÒNG BẢNG'!G18)</f>
        <v>0</v>
      </c>
      <c r="G15">
        <f>IF('VÒNG BẢNG'!H18="","",'VÒNG BẢNG'!H18)</f>
        <v>1</v>
      </c>
      <c r="H15" t="str">
        <f>'VÒNG BẢNG'!I18</f>
        <v>THAILAND</v>
      </c>
      <c r="I15" t="str">
        <f t="shared" si="3"/>
        <v>THAILAND&amp;BAHRAIN</v>
      </c>
      <c r="J15" t="str">
        <f t="shared" si="4"/>
        <v>BAHRAIN THUA</v>
      </c>
      <c r="K15" t="str">
        <f t="shared" si="5"/>
        <v>THAILAND THẮNG</v>
      </c>
      <c r="M15">
        <f>RANK(W15,W15:W18,0)</f>
        <v>2</v>
      </c>
      <c r="N15" s="1" t="str">
        <f>HLOOKUP('CÀI ĐẶT'!$E$2,'CÀI ĐẶT'!$C$32:$Z$56,10,0)</f>
        <v>CHINA P.R.</v>
      </c>
      <c r="O15">
        <f>SUM(P15:R15)</f>
        <v>3</v>
      </c>
      <c r="P15">
        <f>COUNTIF($J$3:$K$38,CONCATENATE(N15," THẮNG"))</f>
        <v>2</v>
      </c>
      <c r="Q15">
        <f>COUNTIF($J$3:$K$38,CONCATENATE(N15," HÒA"))</f>
        <v>0</v>
      </c>
      <c r="R15">
        <f>COUNTIF($J$3:$K$38,CONCATENATE(N15," THUA"))</f>
        <v>1</v>
      </c>
      <c r="S15">
        <f>SUMIF($E$3:$E$38,N15,$F$3:$F$38)+SUMIF($H$3:$H$38,N15,$G$3:$G$38)</f>
        <v>5</v>
      </c>
      <c r="T15">
        <f>SUMIF($E$3:$E$38,N15,$G$3:$G$38)+SUMIF($H$3:$H$38,N15,$F$3:$F$38)</f>
        <v>3</v>
      </c>
      <c r="U15">
        <f>S15-T15</f>
        <v>2</v>
      </c>
      <c r="V15">
        <f>P15*3+Q15*1+R15*0</f>
        <v>6</v>
      </c>
      <c r="W15">
        <f>V15*1000000000+SUM('NHÁP 2'!P15:R15)*10000000+U15*100000+S15*1000-X15</f>
        <v>6000204997</v>
      </c>
      <c r="X15">
        <v>3</v>
      </c>
      <c r="AA15" t="s">
        <v>52</v>
      </c>
      <c r="AB15" t="s">
        <v>54</v>
      </c>
      <c r="AC15" t="s">
        <v>21</v>
      </c>
      <c r="AD15" t="s">
        <v>59</v>
      </c>
      <c r="AE15">
        <f t="shared" si="17"/>
        <v>1</v>
      </c>
      <c r="AF15" t="str">
        <f t="shared" si="19"/>
        <v>KYRGYZSTAN</v>
      </c>
      <c r="AG15" t="str">
        <f t="shared" si="20"/>
        <v>VIETNAM</v>
      </c>
      <c r="AH15" t="str">
        <f t="shared" si="21"/>
        <v>BAHRAIN</v>
      </c>
      <c r="AI15" t="str">
        <f t="shared" si="22"/>
        <v>OMAN</v>
      </c>
      <c r="BA15" s="6"/>
      <c r="BB15" s="7"/>
      <c r="BD15" t="str">
        <f>'VÒNG BẢNG'!AL18</f>
        <v>IRAN</v>
      </c>
      <c r="BE15">
        <f>IF('VÒNG BẢNG'!AM18="","",'VÒNG BẢNG'!AM18)</f>
        <v>0</v>
      </c>
      <c r="BF15" t="str">
        <f>IF('VÒNG BẢNG'!AN18="","",'VÒNG BẢNG'!AN18)</f>
        <v/>
      </c>
      <c r="BG15" t="str">
        <f>IF('VÒNG BẢNG'!AO18="","",'VÒNG BẢNG'!AO18)</f>
        <v/>
      </c>
      <c r="BH15" s="5" t="str">
        <f>IF(AND(BH14="",BI14="",BJ14=""),"",HLOOKUP(1,BH13:BJ14,2,0))</f>
        <v>JAPAN</v>
      </c>
    </row>
    <row r="16" spans="4:62" x14ac:dyDescent="0.25">
      <c r="D16" t="str">
        <f t="shared" si="2"/>
        <v>JORDAN&amp;SYRIA</v>
      </c>
      <c r="E16" t="str">
        <f>'VÒNG BẢNG'!F19</f>
        <v>JORDAN</v>
      </c>
      <c r="F16">
        <f>IF('VÒNG BẢNG'!G19="","",'VÒNG BẢNG'!G19)</f>
        <v>2</v>
      </c>
      <c r="G16">
        <f>IF('VÒNG BẢNG'!H19="","",'VÒNG BẢNG'!H19)</f>
        <v>0</v>
      </c>
      <c r="H16" t="str">
        <f>'VÒNG BẢNG'!I19</f>
        <v>SYRIA</v>
      </c>
      <c r="I16" t="str">
        <f t="shared" si="3"/>
        <v>SYRIA&amp;JORDAN</v>
      </c>
      <c r="J16" t="str">
        <f t="shared" si="4"/>
        <v>JORDAN THẮNG</v>
      </c>
      <c r="K16" t="str">
        <f t="shared" si="5"/>
        <v>SYRIA THUA</v>
      </c>
      <c r="M16">
        <f>RANK(W16,W15:W18,0)</f>
        <v>1</v>
      </c>
      <c r="N16" s="1" t="str">
        <f>HLOOKUP('CÀI ĐẶT'!$E$2,'CÀI ĐẶT'!$C$32:$Z$56,11,0)</f>
        <v>KOREA REPUBLIC</v>
      </c>
      <c r="O16">
        <f t="shared" ref="O16:O18" si="36">SUM(P16:R16)</f>
        <v>3</v>
      </c>
      <c r="P16">
        <f t="shared" ref="P16:P18" si="37">COUNTIF($J$3:$K$38,CONCATENATE(N16," THẮNG"))</f>
        <v>3</v>
      </c>
      <c r="Q16">
        <f t="shared" ref="Q16:Q18" si="38">COUNTIF($J$3:$K$38,CONCATENATE(N16," HÒA"))</f>
        <v>0</v>
      </c>
      <c r="R16">
        <f t="shared" ref="R16:R18" si="39">COUNTIF($J$3:$K$38,CONCATENATE(N16," THUA"))</f>
        <v>0</v>
      </c>
      <c r="S16">
        <f t="shared" ref="S16:S18" si="40">SUMIF($E$3:$E$38,N16,$F$3:$F$38)+SUMIF($H$3:$H$38,N16,$G$3:$G$38)</f>
        <v>4</v>
      </c>
      <c r="T16">
        <f t="shared" ref="T16:T18" si="41">SUMIF($E$3:$E$38,N16,$G$3:$G$38)+SUMIF($H$3:$H$38,N16,$F$3:$F$38)</f>
        <v>0</v>
      </c>
      <c r="U16">
        <f t="shared" ref="U16:U18" si="42">S16-T16</f>
        <v>4</v>
      </c>
      <c r="V16">
        <f t="shared" ref="V16:V18" si="43">P16*3+Q16*1+R16*0</f>
        <v>9</v>
      </c>
      <c r="W16">
        <f>V16*1000000000+SUM('NHÁP 2'!P16:R16)*10000000+U16*100000+S16*1000-X16</f>
        <v>9000403990</v>
      </c>
      <c r="X16">
        <v>10</v>
      </c>
      <c r="AA16" t="s">
        <v>52</v>
      </c>
      <c r="AB16" t="s">
        <v>21</v>
      </c>
      <c r="AC16" t="s">
        <v>59</v>
      </c>
      <c r="AD16" t="s">
        <v>57</v>
      </c>
      <c r="AE16">
        <f t="shared" si="17"/>
        <v>0</v>
      </c>
      <c r="AF16" t="str">
        <f t="shared" si="19"/>
        <v>KYRGYZSTAN</v>
      </c>
      <c r="AG16" t="str">
        <f t="shared" si="20"/>
        <v>BAHRAIN</v>
      </c>
      <c r="AH16" t="str">
        <f t="shared" si="21"/>
        <v>OMAN</v>
      </c>
      <c r="AI16" t="str">
        <f t="shared" si="22"/>
        <v/>
      </c>
      <c r="AT16">
        <f t="shared" ref="AT16:AU16" si="44">IF(AT17="",0,1)</f>
        <v>1</v>
      </c>
      <c r="AU16">
        <f t="shared" si="44"/>
        <v>0</v>
      </c>
      <c r="AV16">
        <f>IF(AV17="",0,1)</f>
        <v>0</v>
      </c>
    </row>
    <row r="17" spans="4:69" x14ac:dyDescent="0.25">
      <c r="D17" t="str">
        <f t="shared" si="2"/>
        <v>INDIA&amp;UNITED ARAB EMIRATES</v>
      </c>
      <c r="E17" t="str">
        <f>'VÒNG BẢNG'!F20</f>
        <v>INDIA</v>
      </c>
      <c r="F17">
        <f>IF('VÒNG BẢNG'!G20="","",'VÒNG BẢNG'!G20)</f>
        <v>0</v>
      </c>
      <c r="G17">
        <f>IF('VÒNG BẢNG'!H20="","",'VÒNG BẢNG'!H20)</f>
        <v>2</v>
      </c>
      <c r="H17" t="str">
        <f>'VÒNG BẢNG'!I20</f>
        <v>UNITED ARAB EMIRATES</v>
      </c>
      <c r="I17" t="str">
        <f t="shared" si="3"/>
        <v>UNITED ARAB EMIRATES&amp;INDIA</v>
      </c>
      <c r="J17" t="str">
        <f t="shared" si="4"/>
        <v>INDIA THUA</v>
      </c>
      <c r="K17" t="str">
        <f t="shared" si="5"/>
        <v>UNITED ARAB EMIRATES THẮNG</v>
      </c>
      <c r="M17">
        <f>RANK(W17,W15:W18,0)</f>
        <v>3</v>
      </c>
      <c r="N17" s="1" t="str">
        <f>HLOOKUP('CÀI ĐẶT'!$E$2,'CÀI ĐẶT'!$C$32:$Z$56,12,0)</f>
        <v>KYRGYZSTAN</v>
      </c>
      <c r="O17">
        <f t="shared" si="36"/>
        <v>3</v>
      </c>
      <c r="P17">
        <f t="shared" si="37"/>
        <v>1</v>
      </c>
      <c r="Q17">
        <f t="shared" si="38"/>
        <v>0</v>
      </c>
      <c r="R17">
        <f t="shared" si="39"/>
        <v>2</v>
      </c>
      <c r="S17">
        <f t="shared" si="40"/>
        <v>4</v>
      </c>
      <c r="T17">
        <f t="shared" si="41"/>
        <v>4</v>
      </c>
      <c r="U17">
        <f t="shared" si="42"/>
        <v>0</v>
      </c>
      <c r="V17">
        <f t="shared" si="43"/>
        <v>3</v>
      </c>
      <c r="W17">
        <f>V17*1000000000+SUM('NHÁP 2'!P17:R17)*10000000+U17*100000+S17*1000-X17</f>
        <v>3000003989</v>
      </c>
      <c r="X17">
        <v>11</v>
      </c>
      <c r="AA17" t="s">
        <v>54</v>
      </c>
      <c r="AB17" t="s">
        <v>21</v>
      </c>
      <c r="AC17" t="s">
        <v>59</v>
      </c>
      <c r="AD17" t="s">
        <v>57</v>
      </c>
      <c r="AE17">
        <f t="shared" si="17"/>
        <v>0</v>
      </c>
      <c r="AF17" t="str">
        <f t="shared" si="19"/>
        <v>VIETNAM</v>
      </c>
      <c r="AG17" t="str">
        <f t="shared" si="20"/>
        <v>BAHRAIN</v>
      </c>
      <c r="AH17" t="str">
        <f t="shared" si="21"/>
        <v>OMAN</v>
      </c>
      <c r="AI17" t="str">
        <f t="shared" si="22"/>
        <v/>
      </c>
      <c r="AP17" t="str">
        <f>'VÒNG BẢNG'!X20</f>
        <v>THAILAND</v>
      </c>
      <c r="AQ17">
        <f>IF('VÒNG BẢNG'!Y20="","",'VÒNG BẢNG'!Y20)</f>
        <v>1</v>
      </c>
      <c r="AR17" t="str">
        <f>IF('VÒNG BẢNG'!Z20="","",'VÒNG BẢNG'!Z20)</f>
        <v/>
      </c>
      <c r="AS17" t="str">
        <f>IF('VÒNG BẢNG'!AA20="","",'VÒNG BẢNG'!AA20)</f>
        <v/>
      </c>
      <c r="AT17" t="str">
        <f>IF(OR(AQ17="",AQ18=""),"",IF(AQ17&gt;AQ18,AP17,IF(AQ17&lt;AQ18,AP18,"")))</f>
        <v>CHINA P.R.</v>
      </c>
      <c r="AU17" t="str">
        <f>IF(OR(AQ17="",AQ18="",AR17="",AR18=""),"",IF(AT17="",IF(AR17&gt;AR18,AP17,IF(AR17&lt;AR18,AP18,"")),""))</f>
        <v/>
      </c>
      <c r="AV17" t="str">
        <f>IF(OR(AQ17="",AQ18="",AR17="",AR18="",AS17="",AS18=""),"",IF(AND(AT17="",AU17=""),IF(AS17&gt;AS18,AP17,IF(AS17&lt;AS18,AP18,"")),""))</f>
        <v/>
      </c>
    </row>
    <row r="18" spans="4:69" x14ac:dyDescent="0.25">
      <c r="D18" t="str">
        <f t="shared" si="2"/>
        <v>PALESTINE&amp;AUSTRALIA</v>
      </c>
      <c r="E18" t="str">
        <f>'VÒNG BẢNG'!F21</f>
        <v>PALESTINE</v>
      </c>
      <c r="F18">
        <f>IF('VÒNG BẢNG'!G21="","",'VÒNG BẢNG'!G21)</f>
        <v>0</v>
      </c>
      <c r="G18">
        <f>IF('VÒNG BẢNG'!H21="","",'VÒNG BẢNG'!H21)</f>
        <v>3</v>
      </c>
      <c r="H18" t="str">
        <f>'VÒNG BẢNG'!I21</f>
        <v>AUSTRALIA</v>
      </c>
      <c r="I18" t="str">
        <f t="shared" si="3"/>
        <v>AUSTRALIA&amp;PALESTINE</v>
      </c>
      <c r="J18" t="str">
        <f t="shared" si="4"/>
        <v>PALESTINE THUA</v>
      </c>
      <c r="K18" t="str">
        <f t="shared" si="5"/>
        <v>AUSTRALIA THẮNG</v>
      </c>
      <c r="M18">
        <f>RANK(W18,W15:W18,0)</f>
        <v>4</v>
      </c>
      <c r="N18" s="1" t="str">
        <f>HLOOKUP('CÀI ĐẶT'!$E$2,'CÀI ĐẶT'!$C$32:$Z$56,13,0)</f>
        <v>PHILIPPINES</v>
      </c>
      <c r="O18">
        <f t="shared" si="36"/>
        <v>3</v>
      </c>
      <c r="P18">
        <f t="shared" si="37"/>
        <v>0</v>
      </c>
      <c r="Q18">
        <f t="shared" si="38"/>
        <v>0</v>
      </c>
      <c r="R18">
        <f t="shared" si="39"/>
        <v>3</v>
      </c>
      <c r="S18">
        <f t="shared" si="40"/>
        <v>1</v>
      </c>
      <c r="T18">
        <f t="shared" si="41"/>
        <v>7</v>
      </c>
      <c r="U18">
        <f t="shared" si="42"/>
        <v>-6</v>
      </c>
      <c r="V18">
        <f t="shared" si="43"/>
        <v>0</v>
      </c>
      <c r="W18">
        <f>V18*1000000000+SUM('NHÁP 2'!P18:R18)*10000000+U18*100000+S18*1000-X18</f>
        <v>-599015</v>
      </c>
      <c r="X18">
        <v>15</v>
      </c>
      <c r="AA18" t="s">
        <v>52</v>
      </c>
      <c r="AB18" t="s">
        <v>54</v>
      </c>
      <c r="AC18" t="s">
        <v>22</v>
      </c>
      <c r="AD18" t="s">
        <v>57</v>
      </c>
      <c r="AE18">
        <f t="shared" si="17"/>
        <v>0</v>
      </c>
      <c r="AF18" t="str">
        <f t="shared" si="19"/>
        <v>KYRGYZSTAN</v>
      </c>
      <c r="AG18" t="str">
        <f t="shared" si="20"/>
        <v>VIETNAM</v>
      </c>
      <c r="AH18" t="str">
        <f t="shared" si="21"/>
        <v/>
      </c>
      <c r="AI18" t="str">
        <f t="shared" si="22"/>
        <v/>
      </c>
      <c r="AP18" t="str">
        <f>'VÒNG BẢNG'!X21</f>
        <v>CHINA P.R.</v>
      </c>
      <c r="AQ18">
        <f>IF('VÒNG BẢNG'!Y21="","",'VÒNG BẢNG'!Y21)</f>
        <v>2</v>
      </c>
      <c r="AR18" t="str">
        <f>IF('VÒNG BẢNG'!Z21="","",'VÒNG BẢNG'!Z21)</f>
        <v/>
      </c>
      <c r="AS18" t="str">
        <f>IF('VÒNG BẢNG'!AA21="","",'VÒNG BẢNG'!AA21)</f>
        <v/>
      </c>
      <c r="AT18" s="5" t="str">
        <f>IF(AND(AT17="",AU17="",AV17=""),"",HLOOKUP(1,AT16:AV17,2,0))</f>
        <v>CHINA P.R.</v>
      </c>
    </row>
    <row r="19" spans="4:69" x14ac:dyDescent="0.25">
      <c r="D19" t="str">
        <f t="shared" si="2"/>
        <v>PHILIPPINES&amp;CHINA P.R.</v>
      </c>
      <c r="E19" t="str">
        <f>'VÒNG BẢNG'!F22</f>
        <v>PHILIPPINES</v>
      </c>
      <c r="F19">
        <f>IF('VÒNG BẢNG'!G22="","",'VÒNG BẢNG'!G22)</f>
        <v>0</v>
      </c>
      <c r="G19">
        <f>IF('VÒNG BẢNG'!H22="","",'VÒNG BẢNG'!H22)</f>
        <v>3</v>
      </c>
      <c r="H19" t="str">
        <f>'VÒNG BẢNG'!I22</f>
        <v>CHINA P.R.</v>
      </c>
      <c r="I19" t="str">
        <f t="shared" si="3"/>
        <v>CHINA P.R.&amp;PHILIPPINES</v>
      </c>
      <c r="J19" t="str">
        <f t="shared" si="4"/>
        <v>PHILIPPINES THUA</v>
      </c>
      <c r="K19" t="str">
        <f t="shared" si="5"/>
        <v>CHINA P.R. THẮNG</v>
      </c>
      <c r="AA19" t="s">
        <v>52</v>
      </c>
      <c r="AB19" t="s">
        <v>54</v>
      </c>
      <c r="AC19" t="s">
        <v>22</v>
      </c>
      <c r="AD19" t="s">
        <v>59</v>
      </c>
      <c r="AE19">
        <f t="shared" si="17"/>
        <v>0</v>
      </c>
      <c r="AF19" t="str">
        <f t="shared" si="19"/>
        <v>KYRGYZSTAN</v>
      </c>
      <c r="AG19" t="str">
        <f t="shared" si="20"/>
        <v>VIETNAM</v>
      </c>
      <c r="AH19" t="str">
        <f t="shared" si="21"/>
        <v/>
      </c>
      <c r="AI19" t="str">
        <f t="shared" si="22"/>
        <v>OMAN</v>
      </c>
      <c r="BA19">
        <f t="shared" ref="BA19" si="45">IF(BA20="",0,1)</f>
        <v>1</v>
      </c>
      <c r="BB19">
        <f t="shared" ref="BB19" si="46">IF(BB20="",0,1)</f>
        <v>0</v>
      </c>
      <c r="BC19">
        <f>IF(BC20="",0,1)</f>
        <v>0</v>
      </c>
    </row>
    <row r="20" spans="4:69" x14ac:dyDescent="0.25">
      <c r="D20" t="str">
        <f t="shared" si="2"/>
        <v>KYRGYZSTAN&amp;KOREA REPUBLIC</v>
      </c>
      <c r="E20" t="str">
        <f>'VÒNG BẢNG'!F23</f>
        <v>KYRGYZSTAN</v>
      </c>
      <c r="F20">
        <f>IF('VÒNG BẢNG'!G23="","",'VÒNG BẢNG'!G23)</f>
        <v>0</v>
      </c>
      <c r="G20">
        <f>IF('VÒNG BẢNG'!H23="","",'VÒNG BẢNG'!H23)</f>
        <v>1</v>
      </c>
      <c r="H20" t="str">
        <f>'VÒNG BẢNG'!I23</f>
        <v>KOREA REPUBLIC</v>
      </c>
      <c r="I20" t="str">
        <f t="shared" si="3"/>
        <v>KOREA REPUBLIC&amp;KYRGYZSTAN</v>
      </c>
      <c r="J20" t="str">
        <f t="shared" si="4"/>
        <v>KYRGYZSTAN THUA</v>
      </c>
      <c r="K20" t="str">
        <f t="shared" si="5"/>
        <v>KOREA REPUBLIC THẮNG</v>
      </c>
      <c r="M20" t="s">
        <v>61</v>
      </c>
      <c r="N20" t="s">
        <v>45</v>
      </c>
      <c r="O20" t="s">
        <v>62</v>
      </c>
      <c r="P20" t="s">
        <v>63</v>
      </c>
      <c r="Q20" t="s">
        <v>54</v>
      </c>
      <c r="R20" t="s">
        <v>64</v>
      </c>
      <c r="S20" t="s">
        <v>65</v>
      </c>
      <c r="T20" t="s">
        <v>66</v>
      </c>
      <c r="U20" t="s">
        <v>67</v>
      </c>
      <c r="V20" t="s">
        <v>68</v>
      </c>
      <c r="AA20" t="s">
        <v>57</v>
      </c>
      <c r="AB20" t="s">
        <v>52</v>
      </c>
      <c r="AC20" t="s">
        <v>22</v>
      </c>
      <c r="AD20" t="s">
        <v>59</v>
      </c>
      <c r="AE20">
        <f t="shared" si="17"/>
        <v>0</v>
      </c>
      <c r="AF20" t="str">
        <f t="shared" si="19"/>
        <v/>
      </c>
      <c r="AG20" t="str">
        <f t="shared" si="20"/>
        <v>KYRGYZSTAN</v>
      </c>
      <c r="AH20" t="str">
        <f t="shared" si="21"/>
        <v/>
      </c>
      <c r="AI20" t="str">
        <f t="shared" si="22"/>
        <v>OMAN</v>
      </c>
      <c r="AW20" t="str">
        <f>'VÒNG BẢNG'!AE23</f>
        <v>CHINA P.R.</v>
      </c>
      <c r="AX20">
        <f>IF('VÒNG BẢNG'!AF23="","",'VÒNG BẢNG'!AF23)</f>
        <v>0</v>
      </c>
      <c r="AY20" t="str">
        <f>IF('VÒNG BẢNG'!AG23="","",'VÒNG BẢNG'!AG23)</f>
        <v/>
      </c>
      <c r="AZ20" t="str">
        <f>IF('VÒNG BẢNG'!AH23="","",'VÒNG BẢNG'!AH23)</f>
        <v/>
      </c>
      <c r="BA20" t="str">
        <f>IF(OR(AX20="",AX21=""),"",IF(AX20&gt;AX21,AW20,IF(AX20&lt;AX21,AW21,"")))</f>
        <v>IRAN</v>
      </c>
      <c r="BB20" t="str">
        <f>IF(OR(AX20="",AX21="",AY20="",AY21=""),"",IF(BA20="",IF(AY20&gt;AY21,AW20,IF(AY20&lt;AY21,AW21,"")),""))</f>
        <v/>
      </c>
      <c r="BC20" t="str">
        <f>IF(OR(AX20="",AX21="",AY20="",AY21="",AZ20="",AZ21=""),"",IF(AND(BA20="",BB20=""),IF(AZ20&gt;AZ21,AW20,IF(AZ20&lt;AZ21,AW21,"")),""))</f>
        <v/>
      </c>
    </row>
    <row r="21" spans="4:69" x14ac:dyDescent="0.25">
      <c r="D21" t="str">
        <f t="shared" si="2"/>
        <v>VIETNAM&amp;IRAN</v>
      </c>
      <c r="E21" t="str">
        <f>'VÒNG BẢNG'!F24</f>
        <v>VIETNAM</v>
      </c>
      <c r="F21">
        <f>IF('VÒNG BẢNG'!G24="","",'VÒNG BẢNG'!G24)</f>
        <v>0</v>
      </c>
      <c r="G21">
        <f>IF('VÒNG BẢNG'!H24="","",'VÒNG BẢNG'!H24)</f>
        <v>2</v>
      </c>
      <c r="H21" t="str">
        <f>'VÒNG BẢNG'!I24</f>
        <v>IRAN</v>
      </c>
      <c r="I21" t="str">
        <f t="shared" si="3"/>
        <v>IRAN&amp;VIETNAM</v>
      </c>
      <c r="J21" t="str">
        <f t="shared" si="4"/>
        <v>VIETNAM THUA</v>
      </c>
      <c r="K21" t="str">
        <f t="shared" si="5"/>
        <v>IRAN THẮNG</v>
      </c>
      <c r="M21">
        <f>RANK(W21,W21:W24,0)</f>
        <v>2</v>
      </c>
      <c r="N21" s="1" t="str">
        <f>HLOOKUP('CÀI ĐẶT'!$E$2,'CÀI ĐẶT'!$C$32:$Z$56,14,0)</f>
        <v>IRAQ</v>
      </c>
      <c r="O21">
        <f>SUM(P21:R21)</f>
        <v>3</v>
      </c>
      <c r="P21">
        <f>COUNTIF($J$3:$K$38,CONCATENATE(N21," THẮNG"))</f>
        <v>2</v>
      </c>
      <c r="Q21">
        <f>COUNTIF($J$3:$K$38,CONCATENATE(N21," HÒA"))</f>
        <v>1</v>
      </c>
      <c r="R21">
        <f>COUNTIF($J$3:$K$38,CONCATENATE(N21," THUA"))</f>
        <v>0</v>
      </c>
      <c r="S21">
        <f>SUMIF($E$3:$E$38,N21,$F$3:$F$38)+SUMIF($H$3:$H$38,N21,$G$3:$G$38)</f>
        <v>6</v>
      </c>
      <c r="T21">
        <f>SUMIF($E$3:$E$38,N21,$G$3:$G$38)+SUMIF($H$3:$H$38,N21,$F$3:$F$38)</f>
        <v>2</v>
      </c>
      <c r="U21">
        <f>S21-T21</f>
        <v>4</v>
      </c>
      <c r="V21">
        <f>P21*3+Q21*1+R21*0</f>
        <v>7</v>
      </c>
      <c r="W21">
        <f>V21*1000000000+SUM('NHÁP 2'!P21:R21)*10000000+U21*100000+S21*1000-X21</f>
        <v>7010405993</v>
      </c>
      <c r="X21">
        <v>7</v>
      </c>
      <c r="AA21" t="s">
        <v>57</v>
      </c>
      <c r="AB21" t="s">
        <v>54</v>
      </c>
      <c r="AC21" t="s">
        <v>22</v>
      </c>
      <c r="AD21" t="s">
        <v>59</v>
      </c>
      <c r="AE21">
        <f t="shared" si="17"/>
        <v>0</v>
      </c>
      <c r="AF21" t="str">
        <f t="shared" si="19"/>
        <v/>
      </c>
      <c r="AG21" t="str">
        <f t="shared" si="20"/>
        <v>VIETNAM</v>
      </c>
      <c r="AH21" t="str">
        <f t="shared" si="21"/>
        <v/>
      </c>
      <c r="AI21" t="str">
        <f t="shared" si="22"/>
        <v>OMAN</v>
      </c>
      <c r="AW21" t="str">
        <f>'VÒNG BẢNG'!AE24</f>
        <v>IRAN</v>
      </c>
      <c r="AX21">
        <f>IF('VÒNG BẢNG'!AF24="","",'VÒNG BẢNG'!AF24)</f>
        <v>3</v>
      </c>
      <c r="AY21" t="str">
        <f>IF('VÒNG BẢNG'!AG24="","",'VÒNG BẢNG'!AG24)</f>
        <v/>
      </c>
      <c r="AZ21" t="str">
        <f>IF('VÒNG BẢNG'!AH24="","",'VÒNG BẢNG'!AH24)</f>
        <v/>
      </c>
      <c r="BA21" s="5" t="str">
        <f>IF(AND(BA20="",BB20="",BC20=""),"",HLOOKUP(1,BA19:BC20,2,0))</f>
        <v>IRAN</v>
      </c>
    </row>
    <row r="22" spans="4:69" x14ac:dyDescent="0.25">
      <c r="D22" t="str">
        <f t="shared" si="2"/>
        <v>YEMEN&amp;IRAQ</v>
      </c>
      <c r="E22" t="str">
        <f>'VÒNG BẢNG'!F25</f>
        <v>YEMEN</v>
      </c>
      <c r="F22">
        <f>IF('VÒNG BẢNG'!G25="","",'VÒNG BẢNG'!G25)</f>
        <v>0</v>
      </c>
      <c r="G22">
        <f>IF('VÒNG BẢNG'!H25="","",'VÒNG BẢNG'!H25)</f>
        <v>3</v>
      </c>
      <c r="H22" t="str">
        <f>'VÒNG BẢNG'!I25</f>
        <v>IRAQ</v>
      </c>
      <c r="I22" t="str">
        <f t="shared" si="3"/>
        <v>IRAQ&amp;YEMEN</v>
      </c>
      <c r="J22" t="str">
        <f t="shared" si="4"/>
        <v>YEMEN THUA</v>
      </c>
      <c r="K22" t="str">
        <f t="shared" si="5"/>
        <v>IRAQ THẮNG</v>
      </c>
      <c r="M22">
        <f>RANK(W22,W21:W24,0)</f>
        <v>1</v>
      </c>
      <c r="N22" s="1" t="str">
        <f>HLOOKUP('CÀI ĐẶT'!$E$2,'CÀI ĐẶT'!$C$32:$Z$56,15,0)</f>
        <v>IRAN</v>
      </c>
      <c r="O22">
        <f t="shared" ref="O22:O24" si="47">SUM(P22:R22)</f>
        <v>3</v>
      </c>
      <c r="P22">
        <f t="shared" ref="P22:P24" si="48">COUNTIF($J$3:$K$38,CONCATENATE(N22," THẮNG"))</f>
        <v>2</v>
      </c>
      <c r="Q22">
        <f t="shared" ref="Q22:Q24" si="49">COUNTIF($J$3:$K$38,CONCATENATE(N22," HÒA"))</f>
        <v>1</v>
      </c>
      <c r="R22">
        <f t="shared" ref="R22:R24" si="50">COUNTIF($J$3:$K$38,CONCATENATE(N22," THUA"))</f>
        <v>0</v>
      </c>
      <c r="S22">
        <f t="shared" ref="S22:S24" si="51">SUMIF($E$3:$E$38,N22,$F$3:$F$38)+SUMIF($H$3:$H$38,N22,$G$3:$G$38)</f>
        <v>7</v>
      </c>
      <c r="T22">
        <f t="shared" ref="T22:T24" si="52">SUMIF($E$3:$E$38,N22,$G$3:$G$38)+SUMIF($H$3:$H$38,N22,$F$3:$F$38)</f>
        <v>0</v>
      </c>
      <c r="U22">
        <f t="shared" ref="U22:U24" si="53">S22-T22</f>
        <v>7</v>
      </c>
      <c r="V22">
        <f t="shared" ref="V22:V24" si="54">P22*3+Q22*1+R22*0</f>
        <v>7</v>
      </c>
      <c r="W22">
        <f>V22*1000000000+SUM('NHÁP 2'!P22:R22)*10000000+U22*100000+S22*1000-X22</f>
        <v>7010706994</v>
      </c>
      <c r="X22">
        <v>6</v>
      </c>
      <c r="AA22" t="s">
        <v>52</v>
      </c>
      <c r="AB22" t="s">
        <v>54</v>
      </c>
      <c r="AC22" t="s">
        <v>59</v>
      </c>
      <c r="AD22" t="s">
        <v>57</v>
      </c>
      <c r="AE22">
        <f t="shared" si="17"/>
        <v>0</v>
      </c>
      <c r="AF22" t="str">
        <f t="shared" si="19"/>
        <v>KYRGYZSTAN</v>
      </c>
      <c r="AG22" t="str">
        <f t="shared" si="20"/>
        <v>VIETNAM</v>
      </c>
      <c r="AH22" t="str">
        <f t="shared" si="21"/>
        <v>OMAN</v>
      </c>
      <c r="AI22" t="str">
        <f t="shared" si="22"/>
        <v/>
      </c>
      <c r="AT22">
        <f t="shared" ref="AT22" si="55">IF(AT23="",0,1)</f>
        <v>1</v>
      </c>
      <c r="AU22">
        <f t="shared" ref="AU22" si="56">IF(AU23="",0,1)</f>
        <v>0</v>
      </c>
      <c r="AV22">
        <f>IF(AV23="",0,1)</f>
        <v>0</v>
      </c>
    </row>
    <row r="23" spans="4:69" x14ac:dyDescent="0.25">
      <c r="D23" t="str">
        <f t="shared" si="2"/>
        <v>LEBANON&amp;SAUDI ARABIA</v>
      </c>
      <c r="E23" t="str">
        <f>'VÒNG BẢNG'!F26</f>
        <v>LEBANON</v>
      </c>
      <c r="F23">
        <f>IF('VÒNG BẢNG'!G26="","",'VÒNG BẢNG'!G26)</f>
        <v>0</v>
      </c>
      <c r="G23">
        <f>IF('VÒNG BẢNG'!H26="","",'VÒNG BẢNG'!H26)</f>
        <v>2</v>
      </c>
      <c r="H23" t="str">
        <f>'VÒNG BẢNG'!I26</f>
        <v>SAUDI ARABIA</v>
      </c>
      <c r="I23" t="str">
        <f t="shared" si="3"/>
        <v>SAUDI ARABIA&amp;LEBANON</v>
      </c>
      <c r="J23" t="str">
        <f t="shared" si="4"/>
        <v>LEBANON THUA</v>
      </c>
      <c r="K23" t="str">
        <f t="shared" si="5"/>
        <v>SAUDI ARABIA THẮNG</v>
      </c>
      <c r="M23">
        <f>RANK(W23,W21:W24,0)</f>
        <v>3</v>
      </c>
      <c r="N23" s="1" t="str">
        <f>HLOOKUP('CÀI ĐẶT'!$E$2,'CÀI ĐẶT'!$C$32:$Z$56,16,0)</f>
        <v>VIETNAM</v>
      </c>
      <c r="O23">
        <f t="shared" si="47"/>
        <v>3</v>
      </c>
      <c r="P23">
        <f t="shared" si="48"/>
        <v>1</v>
      </c>
      <c r="Q23">
        <f t="shared" si="49"/>
        <v>0</v>
      </c>
      <c r="R23">
        <f t="shared" si="50"/>
        <v>2</v>
      </c>
      <c r="S23">
        <f t="shared" si="51"/>
        <v>4</v>
      </c>
      <c r="T23">
        <f t="shared" si="52"/>
        <v>5</v>
      </c>
      <c r="U23">
        <f t="shared" si="53"/>
        <v>-1</v>
      </c>
      <c r="V23">
        <f t="shared" si="54"/>
        <v>3</v>
      </c>
      <c r="W23">
        <f>V23*1000000000+SUM('NHÁP 2'!P23:R23)*10000000+U23*100000+S23*1000-X23</f>
        <v>2999903977</v>
      </c>
      <c r="X23">
        <v>23</v>
      </c>
      <c r="AP23" t="str">
        <f>'VÒNG BẢNG'!X26</f>
        <v>IRAN</v>
      </c>
      <c r="AQ23">
        <f>IF('VÒNG BẢNG'!Y26="","",'VÒNG BẢNG'!Y26)</f>
        <v>2</v>
      </c>
      <c r="AR23" t="str">
        <f>IF('VÒNG BẢNG'!Z26="","",'VÒNG BẢNG'!Z26)</f>
        <v/>
      </c>
      <c r="AS23" t="str">
        <f>IF('VÒNG BẢNG'!AA26="","",'VÒNG BẢNG'!AA26)</f>
        <v/>
      </c>
      <c r="AT23" t="str">
        <f>IF(OR(AQ23="",AQ24=""),"",IF(AQ23&gt;AQ24,AP23,IF(AQ23&lt;AQ24,AP24,"")))</f>
        <v>IRAN</v>
      </c>
      <c r="AU23" t="str">
        <f>IF(OR(AQ23="",AQ24="",AR23="",AR24=""),"",IF(AT23="",IF(AR23&gt;AR24,AP23,IF(AR23&lt;AR24,AP24,"")),""))</f>
        <v/>
      </c>
      <c r="AV23" t="str">
        <f>IF(OR(AQ23="",AQ24="",AR23="",AR24="",AS23="",AS24=""),"",IF(AND(AT23="",AU23=""),IF(AS23&gt;AS24,AP23,IF(AS23&lt;AS24,AP24,"")),""))</f>
        <v/>
      </c>
    </row>
    <row r="24" spans="4:69" x14ac:dyDescent="0.25">
      <c r="D24" t="str">
        <f t="shared" si="2"/>
        <v>DPR KOREA&amp;QATAR</v>
      </c>
      <c r="E24" t="str">
        <f>'VÒNG BẢNG'!F27</f>
        <v>DPR KOREA</v>
      </c>
      <c r="F24">
        <f>IF('VÒNG BẢNG'!G27="","",'VÒNG BẢNG'!G27)</f>
        <v>0</v>
      </c>
      <c r="G24">
        <f>IF('VÒNG BẢNG'!H27="","",'VÒNG BẢNG'!H27)</f>
        <v>6</v>
      </c>
      <c r="H24" t="str">
        <f>'VÒNG BẢNG'!I27</f>
        <v>QATAR</v>
      </c>
      <c r="I24" t="str">
        <f t="shared" si="3"/>
        <v>QATAR&amp;DPR KOREA</v>
      </c>
      <c r="J24" t="str">
        <f t="shared" si="4"/>
        <v>DPR KOREA THUA</v>
      </c>
      <c r="K24" t="str">
        <f t="shared" si="5"/>
        <v>QATAR THẮNG</v>
      </c>
      <c r="M24">
        <f>RANK(W24,W21:W24,0)</f>
        <v>4</v>
      </c>
      <c r="N24" s="1" t="str">
        <f>HLOOKUP('CÀI ĐẶT'!$E$2,'CÀI ĐẶT'!$C$32:$Z$56,17,0)</f>
        <v>YEMEN</v>
      </c>
      <c r="O24">
        <f t="shared" si="47"/>
        <v>3</v>
      </c>
      <c r="P24">
        <f t="shared" si="48"/>
        <v>0</v>
      </c>
      <c r="Q24">
        <f t="shared" si="49"/>
        <v>0</v>
      </c>
      <c r="R24">
        <f t="shared" si="50"/>
        <v>3</v>
      </c>
      <c r="S24">
        <f t="shared" si="51"/>
        <v>0</v>
      </c>
      <c r="T24">
        <f t="shared" si="52"/>
        <v>10</v>
      </c>
      <c r="U24">
        <f t="shared" si="53"/>
        <v>-10</v>
      </c>
      <c r="V24">
        <f t="shared" si="54"/>
        <v>0</v>
      </c>
      <c r="W24">
        <f>V24*1000000000+SUM('NHÁP 2'!P24:R24)*10000000+U24*100000+S24*1000-X24</f>
        <v>-1000024</v>
      </c>
      <c r="X24">
        <v>24</v>
      </c>
      <c r="AP24" t="str">
        <f>'VÒNG BẢNG'!X27</f>
        <v>OMAN</v>
      </c>
      <c r="AQ24">
        <f>IF('VÒNG BẢNG'!Y27="","",'VÒNG BẢNG'!Y27)</f>
        <v>0</v>
      </c>
      <c r="AR24" t="str">
        <f>IF('VÒNG BẢNG'!Z27="","",'VÒNG BẢNG'!Z27)</f>
        <v/>
      </c>
      <c r="AS24" t="str">
        <f>IF('VÒNG BẢNG'!AA27="","",'VÒNG BẢNG'!AA27)</f>
        <v/>
      </c>
      <c r="AT24" s="5" t="str">
        <f>IF(AND(AT23="",AU23="",AV23=""),"",HLOOKUP(1,AT22:AV23,2,0))</f>
        <v>IRAN</v>
      </c>
    </row>
    <row r="25" spans="4:69" x14ac:dyDescent="0.25">
      <c r="D25" t="str">
        <f t="shared" si="2"/>
        <v>OMAN&amp;JAPAN</v>
      </c>
      <c r="E25" t="str">
        <f>'VÒNG BẢNG'!F28</f>
        <v>OMAN</v>
      </c>
      <c r="F25">
        <f>IF('VÒNG BẢNG'!G28="","",'VÒNG BẢNG'!G28)</f>
        <v>0</v>
      </c>
      <c r="G25">
        <f>IF('VÒNG BẢNG'!H28="","",'VÒNG BẢNG'!H28)</f>
        <v>1</v>
      </c>
      <c r="H25" t="str">
        <f>'VÒNG BẢNG'!I28</f>
        <v>JAPAN</v>
      </c>
      <c r="I25" t="str">
        <f t="shared" si="3"/>
        <v>JAPAN&amp;OMAN</v>
      </c>
      <c r="J25" t="str">
        <f t="shared" si="4"/>
        <v>OMAN THUA</v>
      </c>
      <c r="K25" t="str">
        <f t="shared" si="5"/>
        <v>JAPAN THẮNG</v>
      </c>
      <c r="BO25">
        <f t="shared" ref="BO25" si="57">IF(BO26="",0,1)</f>
        <v>1</v>
      </c>
      <c r="BP25">
        <f t="shared" ref="BP25" si="58">IF(BP26="",0,1)</f>
        <v>0</v>
      </c>
      <c r="BQ25">
        <f>IF(BQ26="",0,1)</f>
        <v>0</v>
      </c>
    </row>
    <row r="26" spans="4:69" x14ac:dyDescent="0.25">
      <c r="D26" t="str">
        <f t="shared" si="2"/>
        <v>TURKMENISTAN&amp;UZBEKISTAN</v>
      </c>
      <c r="E26" t="str">
        <f>'VÒNG BẢNG'!F29</f>
        <v>TURKMENISTAN</v>
      </c>
      <c r="F26">
        <f>IF('VÒNG BẢNG'!G29="","",'VÒNG BẢNG'!G29)</f>
        <v>0</v>
      </c>
      <c r="G26">
        <f>IF('VÒNG BẢNG'!H29="","",'VÒNG BẢNG'!H29)</f>
        <v>4</v>
      </c>
      <c r="H26" t="str">
        <f>'VÒNG BẢNG'!I29</f>
        <v>UZBEKISTAN</v>
      </c>
      <c r="I26" t="str">
        <f t="shared" si="3"/>
        <v>UZBEKISTAN&amp;TURKMENISTAN</v>
      </c>
      <c r="J26" t="str">
        <f t="shared" si="4"/>
        <v>TURKMENISTAN THUA</v>
      </c>
      <c r="K26" t="str">
        <f t="shared" si="5"/>
        <v>UZBEKISTAN THẮNG</v>
      </c>
      <c r="M26" t="s">
        <v>61</v>
      </c>
      <c r="N26" t="s">
        <v>45</v>
      </c>
      <c r="O26" t="s">
        <v>62</v>
      </c>
      <c r="P26" t="s">
        <v>63</v>
      </c>
      <c r="Q26" t="s">
        <v>54</v>
      </c>
      <c r="R26" t="s">
        <v>64</v>
      </c>
      <c r="S26" t="s">
        <v>65</v>
      </c>
      <c r="T26" t="s">
        <v>66</v>
      </c>
      <c r="U26" t="s">
        <v>67</v>
      </c>
      <c r="V26" t="s">
        <v>68</v>
      </c>
      <c r="BK26" t="str">
        <f>'VÒNG BẢNG'!AS29</f>
        <v>JAPAN</v>
      </c>
      <c r="BL26">
        <f>IF('VÒNG BẢNG'!AT29="","",'VÒNG BẢNG'!AT29)</f>
        <v>1</v>
      </c>
      <c r="BM26" t="str">
        <f>IF('VÒNG BẢNG'!AU29="","",'VÒNG BẢNG'!AU29)</f>
        <v/>
      </c>
      <c r="BN26" t="str">
        <f>IF('VÒNG BẢNG'!AV29="","",'VÒNG BẢNG'!AV29)</f>
        <v/>
      </c>
      <c r="BO26" t="str">
        <f>IF(OR(BL26="",BL27=""),"",IF(BL26&gt;BL27,BK26,IF(BL26&lt;BL27,BK27,"")))</f>
        <v>QATAR</v>
      </c>
      <c r="BP26" t="str">
        <f>IF(OR(BL26="",BL27="",BM26="",BM27=""),"",IF(BO26="",IF(BM26&gt;BM27,BK26,IF(BM26&lt;BM27,BK27,"")),""))</f>
        <v/>
      </c>
      <c r="BQ26" t="str">
        <f>IF(OR(BL26="",BL27="",BM26="",BM27="",BN26="",BN27=""),"",IF(AND(BO26="",BP26=""),IF(BN26&gt;BN27,BK26,IF(BN26&lt;BN27,BK27,"")),""))</f>
        <v/>
      </c>
    </row>
    <row r="27" spans="4:69" x14ac:dyDescent="0.25">
      <c r="D27" t="str">
        <f t="shared" si="2"/>
        <v>UNITED ARAB EMIRATES&amp;THAILAND</v>
      </c>
      <c r="E27" t="str">
        <f>'VÒNG BẢNG'!F30</f>
        <v>UNITED ARAB EMIRATES</v>
      </c>
      <c r="F27">
        <f>IF('VÒNG BẢNG'!G30="","",'VÒNG BẢNG'!G30)</f>
        <v>1</v>
      </c>
      <c r="G27">
        <f>IF('VÒNG BẢNG'!H30="","",'VÒNG BẢNG'!H30)</f>
        <v>1</v>
      </c>
      <c r="H27" t="str">
        <f>'VÒNG BẢNG'!I30</f>
        <v>THAILAND</v>
      </c>
      <c r="I27" t="str">
        <f t="shared" si="3"/>
        <v>THAILAND&amp;UNITED ARAB EMIRATES</v>
      </c>
      <c r="J27" t="str">
        <f t="shared" si="4"/>
        <v>UNITED ARAB EMIRATES HÒA</v>
      </c>
      <c r="K27" t="str">
        <f t="shared" si="5"/>
        <v>THAILAND HÒA</v>
      </c>
      <c r="M27">
        <f>RANK(W27,W27:W30,0)</f>
        <v>4</v>
      </c>
      <c r="N27" s="1" t="str">
        <f>HLOOKUP('CÀI ĐẶT'!$E$2,'CÀI ĐẶT'!$C$32:$Z$56,18,0)</f>
        <v>DPR KOREA</v>
      </c>
      <c r="O27">
        <f>SUM(P27:R27)</f>
        <v>3</v>
      </c>
      <c r="P27">
        <f>COUNTIF($J$3:$K$38,CONCATENATE(N27," THẮNG"))</f>
        <v>0</v>
      </c>
      <c r="Q27">
        <f>COUNTIF($J$3:$K$38,CONCATENATE(N27," HÒA"))</f>
        <v>0</v>
      </c>
      <c r="R27">
        <f>COUNTIF($J$3:$K$38,CONCATENATE(N27," THUA"))</f>
        <v>3</v>
      </c>
      <c r="S27">
        <f>SUMIF($E$3:$E$38,N27,$F$3:$F$38)+SUMIF($H$3:$H$38,N27,$G$3:$G$38)</f>
        <v>1</v>
      </c>
      <c r="T27">
        <f>SUMIF($E$3:$E$38,N27,$G$3:$G$38)+SUMIF($H$3:$H$38,N27,$F$3:$F$38)</f>
        <v>14</v>
      </c>
      <c r="U27">
        <f>S27-T27</f>
        <v>-13</v>
      </c>
      <c r="V27">
        <f>P27*3+Q27*1+R27*0</f>
        <v>0</v>
      </c>
      <c r="W27">
        <f>V27*1000000000+SUM('NHÁP 2'!P27:R27)*10000000+U27*100000+S27*1000-X27</f>
        <v>-1299004</v>
      </c>
      <c r="X27">
        <v>4</v>
      </c>
      <c r="BK27" t="str">
        <f>'VÒNG BẢNG'!AS30</f>
        <v>QATAR</v>
      </c>
      <c r="BL27">
        <f>IF('VÒNG BẢNG'!AT30="","",'VÒNG BẢNG'!AT30)</f>
        <v>3</v>
      </c>
      <c r="BM27" t="str">
        <f>IF('VÒNG BẢNG'!AU30="","",'VÒNG BẢNG'!AU30)</f>
        <v/>
      </c>
      <c r="BN27" t="str">
        <f>IF('VÒNG BẢNG'!AV30="","",'VÒNG BẢNG'!AV30)</f>
        <v/>
      </c>
      <c r="BO27" s="5" t="str">
        <f>IF(AND(BO26="",BP26="",BQ26=""),"",HLOOKUP(1,BO25:BQ26,2,0))</f>
        <v>QATAR</v>
      </c>
    </row>
    <row r="28" spans="4:69" x14ac:dyDescent="0.25">
      <c r="D28" t="str">
        <f t="shared" si="2"/>
        <v>INDIA&amp;BAHRAIN</v>
      </c>
      <c r="E28" t="str">
        <f>'VÒNG BẢNG'!F31</f>
        <v>INDIA</v>
      </c>
      <c r="F28">
        <f>IF('VÒNG BẢNG'!G31="","",'VÒNG BẢNG'!G31)</f>
        <v>0</v>
      </c>
      <c r="G28">
        <f>IF('VÒNG BẢNG'!H31="","",'VÒNG BẢNG'!H31)</f>
        <v>1</v>
      </c>
      <c r="H28" t="str">
        <f>'VÒNG BẢNG'!I31</f>
        <v>BAHRAIN</v>
      </c>
      <c r="I28" t="str">
        <f t="shared" si="3"/>
        <v>BAHRAIN&amp;INDIA</v>
      </c>
      <c r="J28" t="str">
        <f t="shared" si="4"/>
        <v>INDIA THUA</v>
      </c>
      <c r="K28" t="str">
        <f t="shared" si="5"/>
        <v>BAHRAIN THẮNG</v>
      </c>
      <c r="M28">
        <f>RANK(W28,W27:W30,0)</f>
        <v>3</v>
      </c>
      <c r="N28" s="1" t="str">
        <f>HLOOKUP('CÀI ĐẶT'!$E$2,'CÀI ĐẶT'!$C$32:$Z$56,19,0)</f>
        <v>LEBANON</v>
      </c>
      <c r="O28">
        <f t="shared" ref="O28:O30" si="59">SUM(P28:R28)</f>
        <v>3</v>
      </c>
      <c r="P28">
        <f t="shared" ref="P28:P30" si="60">COUNTIF($J$3:$K$38,CONCATENATE(N28," THẮNG"))</f>
        <v>1</v>
      </c>
      <c r="Q28">
        <f t="shared" ref="Q28:Q30" si="61">COUNTIF($J$3:$K$38,CONCATENATE(N28," HÒA"))</f>
        <v>0</v>
      </c>
      <c r="R28">
        <f t="shared" ref="R28:R30" si="62">COUNTIF($J$3:$K$38,CONCATENATE(N28," THUA"))</f>
        <v>2</v>
      </c>
      <c r="S28">
        <f t="shared" ref="S28:S30" si="63">SUMIF($E$3:$E$38,N28,$F$3:$F$38)+SUMIF($H$3:$H$38,N28,$G$3:$G$38)</f>
        <v>4</v>
      </c>
      <c r="T28">
        <f t="shared" ref="T28:T30" si="64">SUMIF($E$3:$E$38,N28,$G$3:$G$38)+SUMIF($H$3:$H$38,N28,$F$3:$F$38)</f>
        <v>5</v>
      </c>
      <c r="U28">
        <f t="shared" ref="U28:U30" si="65">S28-T28</f>
        <v>-1</v>
      </c>
      <c r="V28">
        <f t="shared" ref="V28:V30" si="66">P28*3+Q28*1+R28*0</f>
        <v>3</v>
      </c>
      <c r="W28">
        <f>V28*1000000000+SUM('NHÁP 2'!P28:R28)*10000000+U28*100000+S28*1000-X28</f>
        <v>2999903988</v>
      </c>
      <c r="X28">
        <v>12</v>
      </c>
      <c r="AT28">
        <f t="shared" ref="AT28" si="67">IF(AT29="",0,1)</f>
        <v>0</v>
      </c>
      <c r="AU28">
        <f t="shared" ref="AU28" si="68">IF(AU29="",0,1)</f>
        <v>0</v>
      </c>
      <c r="AV28">
        <f>IF(AV29="",0,1)</f>
        <v>1</v>
      </c>
    </row>
    <row r="29" spans="4:69" x14ac:dyDescent="0.25">
      <c r="D29" t="str">
        <f t="shared" si="2"/>
        <v>AUSTRALIA&amp;SYRIA</v>
      </c>
      <c r="E29" t="str">
        <f>'VÒNG BẢNG'!F32</f>
        <v>AUSTRALIA</v>
      </c>
      <c r="F29">
        <f>IF('VÒNG BẢNG'!G32="","",'VÒNG BẢNG'!G32)</f>
        <v>3</v>
      </c>
      <c r="G29">
        <f>IF('VÒNG BẢNG'!H32="","",'VÒNG BẢNG'!H32)</f>
        <v>2</v>
      </c>
      <c r="H29" t="str">
        <f>'VÒNG BẢNG'!I32</f>
        <v>SYRIA</v>
      </c>
      <c r="I29" t="str">
        <f t="shared" si="3"/>
        <v>SYRIA&amp;AUSTRALIA</v>
      </c>
      <c r="J29" t="str">
        <f t="shared" si="4"/>
        <v>AUSTRALIA THẮNG</v>
      </c>
      <c r="K29" t="str">
        <f t="shared" si="5"/>
        <v>SYRIA THUA</v>
      </c>
      <c r="M29">
        <f>RANK(W29,W27:W30,0)</f>
        <v>1</v>
      </c>
      <c r="N29" s="1" t="str">
        <f>HLOOKUP('CÀI ĐẶT'!$E$2,'CÀI ĐẶT'!$C$32:$Z$56,20,0)</f>
        <v>QATAR</v>
      </c>
      <c r="O29">
        <f t="shared" si="59"/>
        <v>3</v>
      </c>
      <c r="P29">
        <f t="shared" si="60"/>
        <v>3</v>
      </c>
      <c r="Q29">
        <f t="shared" si="61"/>
        <v>0</v>
      </c>
      <c r="R29">
        <f t="shared" si="62"/>
        <v>0</v>
      </c>
      <c r="S29">
        <f t="shared" si="63"/>
        <v>10</v>
      </c>
      <c r="T29">
        <f t="shared" si="64"/>
        <v>0</v>
      </c>
      <c r="U29">
        <f t="shared" si="65"/>
        <v>10</v>
      </c>
      <c r="V29">
        <f t="shared" si="66"/>
        <v>9</v>
      </c>
      <c r="W29">
        <f>V29*1000000000+SUM('NHÁP 2'!P29:R29)*10000000+U29*100000+S29*1000-X29</f>
        <v>9001009984</v>
      </c>
      <c r="X29">
        <v>16</v>
      </c>
      <c r="AP29" t="str">
        <f>'VÒNG BẢNG'!X32</f>
        <v>AUSTRALIA</v>
      </c>
      <c r="AQ29">
        <f>IF('VÒNG BẢNG'!Y32="","",'VÒNG BẢNG'!Y32)</f>
        <v>0</v>
      </c>
      <c r="AR29">
        <f>IF('VÒNG BẢNG'!Z32="","",'VÒNG BẢNG'!Z32)</f>
        <v>0</v>
      </c>
      <c r="AS29">
        <f>IF('VÒNG BẢNG'!AA32="","",'VÒNG BẢNG'!AA32)</f>
        <v>4</v>
      </c>
      <c r="AT29" t="str">
        <f>IF(OR(AQ29="",AQ30=""),"",IF(AQ29&gt;AQ30,AP29,IF(AQ29&lt;AQ30,AP30,"")))</f>
        <v/>
      </c>
      <c r="AU29" t="str">
        <f>IF(OR(AQ29="",AQ30="",AR29="",AR30=""),"",IF(AT29="",IF(AR29&gt;AR30,AP29,IF(AR29&lt;AR30,AP30,"")),""))</f>
        <v/>
      </c>
      <c r="AV29" t="str">
        <f>IF(OR(AQ29="",AQ30="",AR29="",AR30="",AS29="",AS30=""),"",IF(AND(AT29="",AU29=""),IF(AS29&gt;AS30,AP29,IF(AS29&lt;AS30,AP30,"")),""))</f>
        <v>AUSTRALIA</v>
      </c>
    </row>
    <row r="30" spans="4:69" x14ac:dyDescent="0.25">
      <c r="D30" t="str">
        <f t="shared" si="2"/>
        <v>PALESTINE&amp;JORDAN</v>
      </c>
      <c r="E30" t="str">
        <f>'VÒNG BẢNG'!F33</f>
        <v>PALESTINE</v>
      </c>
      <c r="F30">
        <f>IF('VÒNG BẢNG'!G33="","",'VÒNG BẢNG'!G33)</f>
        <v>0</v>
      </c>
      <c r="G30">
        <f>IF('VÒNG BẢNG'!H33="","",'VÒNG BẢNG'!H33)</f>
        <v>0</v>
      </c>
      <c r="H30" t="str">
        <f>'VÒNG BẢNG'!I33</f>
        <v>JORDAN</v>
      </c>
      <c r="I30" t="str">
        <f t="shared" si="3"/>
        <v>JORDAN&amp;PALESTINE</v>
      </c>
      <c r="J30" t="str">
        <f t="shared" si="4"/>
        <v>PALESTINE HÒA</v>
      </c>
      <c r="K30" t="str">
        <f t="shared" si="5"/>
        <v>JORDAN HÒA</v>
      </c>
      <c r="M30">
        <f>RANK(W30,W27:W30,0)</f>
        <v>2</v>
      </c>
      <c r="N30" s="1" t="str">
        <f>HLOOKUP('CÀI ĐẶT'!$E$2,'CÀI ĐẶT'!$C$32:$Z$56,21,0)</f>
        <v>SAUDI ARABIA</v>
      </c>
      <c r="O30">
        <f t="shared" si="59"/>
        <v>3</v>
      </c>
      <c r="P30">
        <f t="shared" si="60"/>
        <v>2</v>
      </c>
      <c r="Q30">
        <f t="shared" si="61"/>
        <v>0</v>
      </c>
      <c r="R30">
        <f t="shared" si="62"/>
        <v>1</v>
      </c>
      <c r="S30">
        <f t="shared" si="63"/>
        <v>6</v>
      </c>
      <c r="T30">
        <f t="shared" si="64"/>
        <v>2</v>
      </c>
      <c r="U30">
        <f t="shared" si="65"/>
        <v>4</v>
      </c>
      <c r="V30">
        <f t="shared" si="66"/>
        <v>6</v>
      </c>
      <c r="W30">
        <f>V30*1000000000+SUM('NHÁP 2'!P30:R30)*10000000+U30*100000+S30*1000-X30</f>
        <v>6000405983</v>
      </c>
      <c r="X30">
        <v>17</v>
      </c>
      <c r="AP30" t="str">
        <f>'VÒNG BẢNG'!X33</f>
        <v>UZBEKISTAN</v>
      </c>
      <c r="AQ30">
        <f>IF('VÒNG BẢNG'!Y33="","",'VÒNG BẢNG'!Y33)</f>
        <v>0</v>
      </c>
      <c r="AR30">
        <f>IF('VÒNG BẢNG'!Z33="","",'VÒNG BẢNG'!Z33)</f>
        <v>0</v>
      </c>
      <c r="AS30">
        <f>IF('VÒNG BẢNG'!AA33="","",'VÒNG BẢNG'!AA33)</f>
        <v>2</v>
      </c>
      <c r="AT30" s="5" t="str">
        <f>IF(AND(AT29="",AU29="",AV29=""),"",HLOOKUP(1,AT28:AV29,2,0))</f>
        <v>AUSTRALIA</v>
      </c>
    </row>
    <row r="31" spans="4:69" x14ac:dyDescent="0.25">
      <c r="D31" t="str">
        <f t="shared" si="2"/>
        <v>KOREA REPUBLIC&amp;CHINA P.R.</v>
      </c>
      <c r="E31" t="str">
        <f>'VÒNG BẢNG'!F34</f>
        <v>KOREA REPUBLIC</v>
      </c>
      <c r="F31">
        <f>IF('VÒNG BẢNG'!G34="","",'VÒNG BẢNG'!G34)</f>
        <v>2</v>
      </c>
      <c r="G31">
        <f>IF('VÒNG BẢNG'!H34="","",'VÒNG BẢNG'!H34)</f>
        <v>0</v>
      </c>
      <c r="H31" t="str">
        <f>'VÒNG BẢNG'!I34</f>
        <v>CHINA P.R.</v>
      </c>
      <c r="I31" t="str">
        <f t="shared" si="3"/>
        <v>CHINA P.R.&amp;KOREA REPUBLIC</v>
      </c>
      <c r="J31" t="str">
        <f t="shared" si="4"/>
        <v>KOREA REPUBLIC THẮNG</v>
      </c>
      <c r="K31" t="str">
        <f t="shared" si="5"/>
        <v>CHINA P.R. THUA</v>
      </c>
      <c r="BA31">
        <f t="shared" ref="BA31" si="69">IF(BA32="",0,1)</f>
        <v>1</v>
      </c>
      <c r="BB31">
        <f t="shared" ref="BB31" si="70">IF(BB32="",0,1)</f>
        <v>0</v>
      </c>
      <c r="BC31">
        <f>IF(BC32="",0,1)</f>
        <v>0</v>
      </c>
    </row>
    <row r="32" spans="4:69" x14ac:dyDescent="0.25">
      <c r="D32" t="str">
        <f t="shared" si="2"/>
        <v>KYRGYZSTAN&amp;PHILIPPINES</v>
      </c>
      <c r="E32" t="str">
        <f>'VÒNG BẢNG'!F35</f>
        <v>KYRGYZSTAN</v>
      </c>
      <c r="F32">
        <f>IF('VÒNG BẢNG'!G35="","",'VÒNG BẢNG'!G35)</f>
        <v>3</v>
      </c>
      <c r="G32">
        <f>IF('VÒNG BẢNG'!H35="","",'VÒNG BẢNG'!H35)</f>
        <v>1</v>
      </c>
      <c r="H32" t="str">
        <f>'VÒNG BẢNG'!I35</f>
        <v>PHILIPPINES</v>
      </c>
      <c r="I32" t="str">
        <f t="shared" si="3"/>
        <v>PHILIPPINES&amp;KYRGYZSTAN</v>
      </c>
      <c r="J32" t="str">
        <f t="shared" si="4"/>
        <v>KYRGYZSTAN THẮNG</v>
      </c>
      <c r="K32" t="str">
        <f t="shared" si="5"/>
        <v>PHILIPPINES THUA</v>
      </c>
      <c r="M32" t="s">
        <v>61</v>
      </c>
      <c r="N32" t="s">
        <v>45</v>
      </c>
      <c r="O32" t="s">
        <v>62</v>
      </c>
      <c r="P32" t="s">
        <v>63</v>
      </c>
      <c r="Q32" t="s">
        <v>54</v>
      </c>
      <c r="R32" t="s">
        <v>64</v>
      </c>
      <c r="S32" t="s">
        <v>65</v>
      </c>
      <c r="T32" t="s">
        <v>66</v>
      </c>
      <c r="U32" t="s">
        <v>67</v>
      </c>
      <c r="V32" t="s">
        <v>68</v>
      </c>
      <c r="AW32" t="str">
        <f>'VÒNG BẢNG'!AE35</f>
        <v>AUSTRALIA</v>
      </c>
      <c r="AX32">
        <f>IF('VÒNG BẢNG'!AF35="","",'VÒNG BẢNG'!AF35)</f>
        <v>0</v>
      </c>
      <c r="AY32" t="str">
        <f>IF('VÒNG BẢNG'!AG35="","",'VÒNG BẢNG'!AG35)</f>
        <v/>
      </c>
      <c r="AZ32" t="str">
        <f>IF('VÒNG BẢNG'!AH35="","",'VÒNG BẢNG'!AH35)</f>
        <v/>
      </c>
      <c r="BA32" t="str">
        <f>IF(OR(AX32="",AX33=""),"",IF(AX32&gt;AX33,AW32,IF(AX32&lt;AX33,AW33,"")))</f>
        <v>UNITED ARAB EMIRATES</v>
      </c>
      <c r="BB32" t="str">
        <f>IF(OR(AX32="",AX33="",AY32="",AY33=""),"",IF(BA32="",IF(AY32&gt;AY33,AW32,IF(AY32&lt;AY33,AW33,"")),""))</f>
        <v/>
      </c>
      <c r="BC32" t="str">
        <f>IF(OR(AX32="",AX33="",AY32="",AY33="",AZ32="",AZ33=""),"",IF(AND(BA32="",BB32=""),IF(AZ32&gt;AZ33,AW32,IF(AZ32&lt;AZ33,AW33,"")),""))</f>
        <v/>
      </c>
    </row>
    <row r="33" spans="4:62" x14ac:dyDescent="0.25">
      <c r="D33" t="str">
        <f t="shared" si="2"/>
        <v>VIETNAM&amp;YEMEN</v>
      </c>
      <c r="E33" t="str">
        <f>'VÒNG BẢNG'!F36</f>
        <v>VIETNAM</v>
      </c>
      <c r="F33">
        <f>IF('VÒNG BẢNG'!G36="","",'VÒNG BẢNG'!G36)</f>
        <v>2</v>
      </c>
      <c r="G33">
        <f>IF('VÒNG BẢNG'!H36="","",'VÒNG BẢNG'!H36)</f>
        <v>0</v>
      </c>
      <c r="H33" t="str">
        <f>'VÒNG BẢNG'!I36</f>
        <v>YEMEN</v>
      </c>
      <c r="I33" t="str">
        <f t="shared" si="3"/>
        <v>YEMEN&amp;VIETNAM</v>
      </c>
      <c r="J33" t="str">
        <f t="shared" si="4"/>
        <v>VIETNAM THẮNG</v>
      </c>
      <c r="K33" t="str">
        <f t="shared" si="5"/>
        <v>YEMEN THUA</v>
      </c>
      <c r="M33">
        <f>RANK(W33,W33:W36,0)</f>
        <v>1</v>
      </c>
      <c r="N33" s="1" t="str">
        <f>HLOOKUP('CÀI ĐẶT'!$E$2,'CÀI ĐẶT'!$C$32:$Z$56,22,0)</f>
        <v>JAPAN</v>
      </c>
      <c r="O33">
        <f>SUM(P33:R33)</f>
        <v>3</v>
      </c>
      <c r="P33">
        <f>COUNTIF($J$3:$K$38,CONCATENATE(N33," THẮNG"))</f>
        <v>3</v>
      </c>
      <c r="Q33">
        <f>COUNTIF($J$3:$K$38,CONCATENATE(N33," HÒA"))</f>
        <v>0</v>
      </c>
      <c r="R33">
        <f>COUNTIF($J$3:$K$38,CONCATENATE(N33," THUA"))</f>
        <v>0</v>
      </c>
      <c r="S33">
        <f>SUMIF($E$3:$E$38,N33,$F$3:$F$38)+SUMIF($H$3:$H$38,N33,$G$3:$G$38)</f>
        <v>6</v>
      </c>
      <c r="T33">
        <f>SUMIF($E$3:$E$38,N33,$G$3:$G$38)+SUMIF($H$3:$H$38,N33,$F$3:$F$38)</f>
        <v>3</v>
      </c>
      <c r="U33">
        <f>S33-T33</f>
        <v>3</v>
      </c>
      <c r="V33">
        <f>P33*3+Q33*1+R33*0</f>
        <v>9</v>
      </c>
      <c r="W33">
        <f>V33*1000000000+SUM('NHÁP 2'!P33:R33)*10000000+U33*100000+S33*1000-X33</f>
        <v>9000305992</v>
      </c>
      <c r="X33">
        <v>8</v>
      </c>
      <c r="AW33" t="str">
        <f>'VÒNG BẢNG'!AE36</f>
        <v>UNITED ARAB EMIRATES</v>
      </c>
      <c r="AX33">
        <f>IF('VÒNG BẢNG'!AF36="","",'VÒNG BẢNG'!AF36)</f>
        <v>1</v>
      </c>
      <c r="AY33" t="str">
        <f>IF('VÒNG BẢNG'!AG36="","",'VÒNG BẢNG'!AG36)</f>
        <v/>
      </c>
      <c r="AZ33" t="str">
        <f>IF('VÒNG BẢNG'!AH36="","",'VÒNG BẢNG'!AH36)</f>
        <v/>
      </c>
      <c r="BA33" s="5" t="str">
        <f>IF(AND(BA32="",BB32="",BC32=""),"",HLOOKUP(1,BA31:BC32,2,0))</f>
        <v>UNITED ARAB EMIRATES</v>
      </c>
    </row>
    <row r="34" spans="4:62" x14ac:dyDescent="0.25">
      <c r="D34" t="str">
        <f t="shared" si="2"/>
        <v>IRAN&amp;IRAQ</v>
      </c>
      <c r="E34" t="str">
        <f>'VÒNG BẢNG'!F37</f>
        <v>IRAN</v>
      </c>
      <c r="F34">
        <f>IF('VÒNG BẢNG'!G37="","",'VÒNG BẢNG'!G37)</f>
        <v>0</v>
      </c>
      <c r="G34">
        <f>IF('VÒNG BẢNG'!H37="","",'VÒNG BẢNG'!H37)</f>
        <v>0</v>
      </c>
      <c r="H34" t="str">
        <f>'VÒNG BẢNG'!I37</f>
        <v>IRAQ</v>
      </c>
      <c r="I34" t="str">
        <f t="shared" si="3"/>
        <v>IRAQ&amp;IRAN</v>
      </c>
      <c r="J34" t="str">
        <f t="shared" si="4"/>
        <v>IRAN HÒA</v>
      </c>
      <c r="K34" t="str">
        <f t="shared" si="5"/>
        <v>IRAQ HÒA</v>
      </c>
      <c r="M34">
        <f>RANK(W34,W33:W36,0)</f>
        <v>3</v>
      </c>
      <c r="N34" s="1" t="str">
        <f>HLOOKUP('CÀI ĐẶT'!$E$2,'CÀI ĐẶT'!$C$32:$Z$56,23,0)</f>
        <v>OMAN</v>
      </c>
      <c r="O34">
        <f t="shared" ref="O34:O36" si="71">SUM(P34:R34)</f>
        <v>3</v>
      </c>
      <c r="P34">
        <f t="shared" ref="P34:P36" si="72">COUNTIF($J$3:$K$38,CONCATENATE(N34," THẮNG"))</f>
        <v>1</v>
      </c>
      <c r="Q34">
        <f t="shared" ref="Q34:Q36" si="73">COUNTIF($J$3:$K$38,CONCATENATE(N34," HÒA"))</f>
        <v>0</v>
      </c>
      <c r="R34">
        <f t="shared" ref="R34:R36" si="74">COUNTIF($J$3:$K$38,CONCATENATE(N34," THUA"))</f>
        <v>2</v>
      </c>
      <c r="S34">
        <f t="shared" ref="S34:S36" si="75">SUMIF($E$3:$E$38,N34,$F$3:$F$38)+SUMIF($H$3:$H$38,N34,$G$3:$G$38)</f>
        <v>4</v>
      </c>
      <c r="T34">
        <f t="shared" ref="T34:T36" si="76">SUMIF($E$3:$E$38,N34,$G$3:$G$38)+SUMIF($H$3:$H$38,N34,$F$3:$F$38)</f>
        <v>4</v>
      </c>
      <c r="U34">
        <f t="shared" ref="U34:U36" si="77">S34-T34</f>
        <v>0</v>
      </c>
      <c r="V34">
        <f t="shared" ref="V34:V36" si="78">P34*3+Q34*1+R34*0</f>
        <v>3</v>
      </c>
      <c r="W34">
        <f>V34*1000000000+SUM('NHÁP 2'!P34:R34)*10000000+U34*100000+S34*1000-X34</f>
        <v>3000003987</v>
      </c>
      <c r="X34">
        <v>13</v>
      </c>
      <c r="AT34">
        <f t="shared" ref="AT34" si="79">IF(AT35="",0,1)</f>
        <v>0</v>
      </c>
      <c r="AU34">
        <f t="shared" ref="AU34" si="80">IF(AU35="",0,1)</f>
        <v>1</v>
      </c>
      <c r="AV34">
        <f>IF(AV35="",0,1)</f>
        <v>0</v>
      </c>
    </row>
    <row r="35" spans="4:62" x14ac:dyDescent="0.25">
      <c r="D35" t="str">
        <f t="shared" si="2"/>
        <v>OMAN&amp;TURKMENISTAN</v>
      </c>
      <c r="E35" t="str">
        <f>'VÒNG BẢNG'!F38</f>
        <v>OMAN</v>
      </c>
      <c r="F35">
        <f>IF('VÒNG BẢNG'!G38="","",'VÒNG BẢNG'!G38)</f>
        <v>3</v>
      </c>
      <c r="G35">
        <f>IF('VÒNG BẢNG'!H38="","",'VÒNG BẢNG'!H38)</f>
        <v>1</v>
      </c>
      <c r="H35" t="str">
        <f>'VÒNG BẢNG'!I38</f>
        <v>TURKMENISTAN</v>
      </c>
      <c r="I35" t="str">
        <f t="shared" si="3"/>
        <v>TURKMENISTAN&amp;OMAN</v>
      </c>
      <c r="J35" t="str">
        <f t="shared" si="4"/>
        <v>OMAN THẮNG</v>
      </c>
      <c r="K35" t="str">
        <f t="shared" si="5"/>
        <v>TURKMENISTAN THUA</v>
      </c>
      <c r="M35">
        <f>RANK(W35,W33:W36,0)</f>
        <v>4</v>
      </c>
      <c r="N35" s="1" t="str">
        <f>HLOOKUP('CÀI ĐẶT'!$E$2,'CÀI ĐẶT'!$C$32:$Z$56,24,0)</f>
        <v>TURKMENISTAN</v>
      </c>
      <c r="O35">
        <f t="shared" si="71"/>
        <v>3</v>
      </c>
      <c r="P35">
        <f t="shared" si="72"/>
        <v>0</v>
      </c>
      <c r="Q35">
        <f t="shared" si="73"/>
        <v>0</v>
      </c>
      <c r="R35">
        <f t="shared" si="74"/>
        <v>3</v>
      </c>
      <c r="S35">
        <f t="shared" si="75"/>
        <v>3</v>
      </c>
      <c r="T35">
        <f t="shared" si="76"/>
        <v>10</v>
      </c>
      <c r="U35">
        <f t="shared" si="77"/>
        <v>-7</v>
      </c>
      <c r="V35">
        <f t="shared" si="78"/>
        <v>0</v>
      </c>
      <c r="W35">
        <f>V35*1000000000+SUM('NHÁP 2'!P35:R35)*10000000+U35*100000+S35*1000-X35</f>
        <v>-697020</v>
      </c>
      <c r="X35">
        <v>20</v>
      </c>
      <c r="AP35" t="str">
        <f>'VÒNG BẢNG'!X38</f>
        <v>UNITED ARAB EMIRATES</v>
      </c>
      <c r="AQ35">
        <f>IF('VÒNG BẢNG'!Y38="","",'VÒNG BẢNG'!Y38)</f>
        <v>2</v>
      </c>
      <c r="AR35">
        <f>IF('VÒNG BẢNG'!Z38="","",'VÒNG BẢNG'!Z38)</f>
        <v>1</v>
      </c>
      <c r="AS35" t="str">
        <f>IF('VÒNG BẢNG'!AA38="","",'VÒNG BẢNG'!AA38)</f>
        <v/>
      </c>
      <c r="AT35" t="str">
        <f>IF(OR(AQ35="",AQ36=""),"",IF(AQ35&gt;AQ36,AP35,IF(AQ35&lt;AQ36,AP36,"")))</f>
        <v/>
      </c>
      <c r="AU35" t="str">
        <f>IF(OR(AQ35="",AQ36="",AR35="",AR36=""),"",IF(AT35="",IF(AR35&gt;AR36,AP35,IF(AR35&lt;AR36,AP36,"")),""))</f>
        <v>UNITED ARAB EMIRATES</v>
      </c>
      <c r="AV35" t="str">
        <f>IF(OR(AQ35="",AQ36="",AR35="",AR36="",AS35="",AS36=""),"",IF(AND(AT35="",AU35=""),IF(AS35&gt;AS36,AP35,IF(AS35&lt;AS36,AP36,"")),""))</f>
        <v/>
      </c>
    </row>
    <row r="36" spans="4:62" x14ac:dyDescent="0.25">
      <c r="D36" t="str">
        <f t="shared" si="2"/>
        <v>JAPAN&amp;UZBEKISTAN</v>
      </c>
      <c r="E36" t="str">
        <f>'VÒNG BẢNG'!F39</f>
        <v>JAPAN</v>
      </c>
      <c r="F36">
        <f>IF('VÒNG BẢNG'!G39="","",'VÒNG BẢNG'!G39)</f>
        <v>2</v>
      </c>
      <c r="G36">
        <f>IF('VÒNG BẢNG'!H39="","",'VÒNG BẢNG'!H39)</f>
        <v>1</v>
      </c>
      <c r="H36" t="str">
        <f>'VÒNG BẢNG'!I39</f>
        <v>UZBEKISTAN</v>
      </c>
      <c r="I36" t="str">
        <f t="shared" si="3"/>
        <v>UZBEKISTAN&amp;JAPAN</v>
      </c>
      <c r="J36" t="str">
        <f t="shared" si="4"/>
        <v>JAPAN THẮNG</v>
      </c>
      <c r="K36" t="str">
        <f t="shared" si="5"/>
        <v>UZBEKISTAN THUA</v>
      </c>
      <c r="M36">
        <f>RANK(W36,W33:W36,0)</f>
        <v>2</v>
      </c>
      <c r="N36" s="1" t="str">
        <f>HLOOKUP('CÀI ĐẶT'!$E$2,'CÀI ĐẶT'!$C$32:$Z$56,25,0)</f>
        <v>UZBEKISTAN</v>
      </c>
      <c r="O36">
        <f t="shared" si="71"/>
        <v>3</v>
      </c>
      <c r="P36">
        <f t="shared" si="72"/>
        <v>2</v>
      </c>
      <c r="Q36">
        <f t="shared" si="73"/>
        <v>0</v>
      </c>
      <c r="R36">
        <f t="shared" si="74"/>
        <v>1</v>
      </c>
      <c r="S36">
        <f t="shared" si="75"/>
        <v>7</v>
      </c>
      <c r="T36">
        <f t="shared" si="76"/>
        <v>3</v>
      </c>
      <c r="U36">
        <f t="shared" si="77"/>
        <v>4</v>
      </c>
      <c r="V36">
        <f t="shared" si="78"/>
        <v>6</v>
      </c>
      <c r="W36">
        <f>V36*1000000000+SUM('NHÁP 2'!P36:R36)*10000000+U36*100000+S36*1000-X36</f>
        <v>6000406978</v>
      </c>
      <c r="X36">
        <v>22</v>
      </c>
      <c r="AP36" t="str">
        <f>'VÒNG BẢNG'!X39</f>
        <v>KYRGYZSTAN</v>
      </c>
      <c r="AQ36">
        <f>IF('VÒNG BẢNG'!Y39="","",'VÒNG BẢNG'!Y39)</f>
        <v>2</v>
      </c>
      <c r="AR36">
        <f>IF('VÒNG BẢNG'!Z39="","",'VÒNG BẢNG'!Z39)</f>
        <v>0</v>
      </c>
      <c r="AS36" t="str">
        <f>IF('VÒNG BẢNG'!AA39="","",'VÒNG BẢNG'!AA39)</f>
        <v/>
      </c>
      <c r="AT36" s="5" t="str">
        <f>IF(AND(AT35="",AU35="",AV35=""),"",HLOOKUP(1,AT34:AV35,2,0))</f>
        <v>UNITED ARAB EMIRATES</v>
      </c>
    </row>
    <row r="37" spans="4:62" x14ac:dyDescent="0.25">
      <c r="D37" t="str">
        <f t="shared" si="2"/>
        <v>SAUDI ARABIA&amp;QATAR</v>
      </c>
      <c r="E37" t="str">
        <f>'VÒNG BẢNG'!F40</f>
        <v>SAUDI ARABIA</v>
      </c>
      <c r="F37">
        <f>IF('VÒNG BẢNG'!G40="","",'VÒNG BẢNG'!G40)</f>
        <v>0</v>
      </c>
      <c r="G37">
        <f>IF('VÒNG BẢNG'!H40="","",'VÒNG BẢNG'!H40)</f>
        <v>2</v>
      </c>
      <c r="H37" t="str">
        <f>'VÒNG BẢNG'!I40</f>
        <v>QATAR</v>
      </c>
      <c r="I37" t="str">
        <f t="shared" si="3"/>
        <v>QATAR&amp;SAUDI ARABIA</v>
      </c>
      <c r="J37" t="str">
        <f t="shared" si="4"/>
        <v>SAUDI ARABIA THUA</v>
      </c>
      <c r="K37" t="str">
        <f t="shared" si="5"/>
        <v>QATAR THẮNG</v>
      </c>
      <c r="BH37">
        <f t="shared" ref="BH37" si="81">IF(BH38="",0,1)</f>
        <v>1</v>
      </c>
      <c r="BI37">
        <f t="shared" ref="BI37" si="82">IF(BI38="",0,1)</f>
        <v>0</v>
      </c>
      <c r="BJ37">
        <f>IF(BJ38="",0,1)</f>
        <v>0</v>
      </c>
    </row>
    <row r="38" spans="4:62" x14ac:dyDescent="0.25">
      <c r="D38" t="str">
        <f t="shared" si="2"/>
        <v>LEBANON&amp;DPR KOREA</v>
      </c>
      <c r="E38" t="str">
        <f>'VÒNG BẢNG'!F41</f>
        <v>LEBANON</v>
      </c>
      <c r="F38">
        <f>IF('VÒNG BẢNG'!G41="","",'VÒNG BẢNG'!G41)</f>
        <v>4</v>
      </c>
      <c r="G38">
        <f>IF('VÒNG BẢNG'!H41="","",'VÒNG BẢNG'!H41)</f>
        <v>1</v>
      </c>
      <c r="H38" t="str">
        <f>'VÒNG BẢNG'!I41</f>
        <v>DPR KOREA</v>
      </c>
      <c r="I38" t="str">
        <f t="shared" si="3"/>
        <v>DPR KOREA&amp;LEBANON</v>
      </c>
      <c r="J38" t="str">
        <f t="shared" si="4"/>
        <v>LEBANON THẮNG</v>
      </c>
      <c r="K38" t="str">
        <f t="shared" si="5"/>
        <v>DPR KOREA THUA</v>
      </c>
      <c r="M38" t="s">
        <v>61</v>
      </c>
      <c r="N38" t="s">
        <v>45</v>
      </c>
      <c r="O38" t="s">
        <v>62</v>
      </c>
      <c r="P38" t="s">
        <v>63</v>
      </c>
      <c r="Q38" t="s">
        <v>54</v>
      </c>
      <c r="R38" t="s">
        <v>64</v>
      </c>
      <c r="S38" t="s">
        <v>65</v>
      </c>
      <c r="T38" t="s">
        <v>66</v>
      </c>
      <c r="U38" t="s">
        <v>67</v>
      </c>
      <c r="V38" t="s">
        <v>68</v>
      </c>
      <c r="BD38" t="str">
        <f>'VÒNG BẢNG'!AL41</f>
        <v>UNITED ARAB EMIRATES</v>
      </c>
      <c r="BE38">
        <f>IF('VÒNG BẢNG'!AM41="","",'VÒNG BẢNG'!AM41)</f>
        <v>0</v>
      </c>
      <c r="BF38" t="str">
        <f>IF('VÒNG BẢNG'!AN41="","",'VÒNG BẢNG'!AN41)</f>
        <v/>
      </c>
      <c r="BG38" t="str">
        <f>IF('VÒNG BẢNG'!AO41="","",'VÒNG BẢNG'!AO41)</f>
        <v/>
      </c>
      <c r="BH38" t="str">
        <f>IF(OR(BE38="",BE39=""),"",IF(BE38&gt;BE39,BD38,IF(BE38&lt;BE39,BD39,"")))</f>
        <v>QATAR</v>
      </c>
      <c r="BI38" t="str">
        <f>IF(OR(BE38="",BE39="",BF38="",BF39=""),"",IF(BH38="",IF(BF38&gt;BF39,BD38,IF(BF38&lt;BF39,BD39,"")),""))</f>
        <v/>
      </c>
      <c r="BJ38" t="str">
        <f>IF(OR(BE38="",BE39="",BF38="",BF39="",BG38="",BG39=""),"",IF(AND(BH38="",BI38=""),IF(BG38&gt;BG39,BD38,IF(BG38&lt;BG39,BD39,"")),""))</f>
        <v/>
      </c>
    </row>
    <row r="39" spans="4:62" x14ac:dyDescent="0.25">
      <c r="M39">
        <f>RANK(W39,$W$39:$W$44,0)</f>
        <v>1</v>
      </c>
      <c r="N39" s="1" t="str">
        <f>'VÒNG BẢNG'!M10</f>
        <v>BAHRAIN</v>
      </c>
      <c r="O39" s="3">
        <f>'VÒNG BẢNG'!N10</f>
        <v>3</v>
      </c>
      <c r="P39" s="3">
        <f>'VÒNG BẢNG'!O10</f>
        <v>1</v>
      </c>
      <c r="Q39" s="3">
        <f>'VÒNG BẢNG'!P10</f>
        <v>1</v>
      </c>
      <c r="R39" s="3">
        <f>'VÒNG BẢNG'!Q10</f>
        <v>1</v>
      </c>
      <c r="S39" s="3">
        <f>'VÒNG BẢNG'!R10</f>
        <v>2</v>
      </c>
      <c r="T39" s="3">
        <f>'VÒNG BẢNG'!S10</f>
        <v>2</v>
      </c>
      <c r="U39" s="3">
        <f>'VÒNG BẢNG'!T10</f>
        <v>0</v>
      </c>
      <c r="V39" s="3">
        <f>'VÒNG BẢNG'!U10</f>
        <v>4</v>
      </c>
      <c r="W39" s="3">
        <f>V39*100000000+U39*1000000+S39*10000-Y39*100-Z39</f>
        <v>400019798</v>
      </c>
      <c r="X39" t="s">
        <v>21</v>
      </c>
      <c r="Y39">
        <f>VLOOKUP(N39,'CÀI ĐẶT'!$C$6:$H$30,6,0)</f>
        <v>2</v>
      </c>
      <c r="Z39">
        <f>VLOOKUP(N39,$N$2:$X$36,11,0)</f>
        <v>2</v>
      </c>
      <c r="BD39" t="str">
        <f>'VÒNG BẢNG'!AL42</f>
        <v>QATAR</v>
      </c>
      <c r="BE39">
        <f>IF('VÒNG BẢNG'!AM42="","",'VÒNG BẢNG'!AM42)</f>
        <v>4</v>
      </c>
      <c r="BF39" t="str">
        <f>IF('VÒNG BẢNG'!AN42="","",'VÒNG BẢNG'!AN42)</f>
        <v/>
      </c>
      <c r="BG39" t="str">
        <f>IF('VÒNG BẢNG'!AO42="","",'VÒNG BẢNG'!AO42)</f>
        <v/>
      </c>
      <c r="BH39" s="5" t="str">
        <f>IF(AND(BH38="",BI38="",BJ38=""),"",HLOOKUP(1,BH37:BJ38,2,0))</f>
        <v>QATAR</v>
      </c>
    </row>
    <row r="40" spans="4:62" x14ac:dyDescent="0.25">
      <c r="M40">
        <f t="shared" ref="M40:M44" si="83">RANK(W40,$W$39:$W$44,0)</f>
        <v>6</v>
      </c>
      <c r="N40" s="1" t="str">
        <f>'VÒNG BẢNG'!M17</f>
        <v>PALESTINE</v>
      </c>
      <c r="O40" s="3">
        <f>'VÒNG BẢNG'!N17</f>
        <v>3</v>
      </c>
      <c r="P40" s="3">
        <f>'VÒNG BẢNG'!O17</f>
        <v>0</v>
      </c>
      <c r="Q40" s="3">
        <f>'VÒNG BẢNG'!P17</f>
        <v>2</v>
      </c>
      <c r="R40" s="3">
        <f>'VÒNG BẢNG'!Q17</f>
        <v>1</v>
      </c>
      <c r="S40" s="3">
        <f>'VÒNG BẢNG'!R17</f>
        <v>0</v>
      </c>
      <c r="T40" s="3">
        <f>'VÒNG BẢNG'!S17</f>
        <v>3</v>
      </c>
      <c r="U40" s="3">
        <f>'VÒNG BẢNG'!T17</f>
        <v>-3</v>
      </c>
      <c r="V40" s="3">
        <f>'VÒNG BẢNG'!U17</f>
        <v>2</v>
      </c>
      <c r="W40" s="3">
        <f t="shared" ref="W40:W44" si="84">V40*100000000+U40*1000000+S40*10000-Y40*100-Z40</f>
        <v>196999186</v>
      </c>
      <c r="X40" t="s">
        <v>22</v>
      </c>
      <c r="Y40">
        <f>VLOOKUP(N40,'CÀI ĐẶT'!$C$6:$H$30,6,0)</f>
        <v>8</v>
      </c>
      <c r="Z40">
        <f t="shared" ref="Z40:Z44" si="85">VLOOKUP(N40,$N$2:$X$36,11,0)</f>
        <v>14</v>
      </c>
      <c r="AT40">
        <f t="shared" ref="AT40" si="86">IF(AT41="",0,1)</f>
        <v>0</v>
      </c>
      <c r="AU40">
        <f t="shared" ref="AU40" si="87">IF(AU41="",0,1)</f>
        <v>1</v>
      </c>
      <c r="AV40">
        <f>IF(AV41="",0,1)</f>
        <v>0</v>
      </c>
    </row>
    <row r="41" spans="4:62" x14ac:dyDescent="0.25">
      <c r="M41">
        <f t="shared" si="83"/>
        <v>2</v>
      </c>
      <c r="N41" s="1" t="str">
        <f>'VÒNG BẢNG'!M24</f>
        <v>KYRGYZSTAN</v>
      </c>
      <c r="O41" s="3">
        <f>'VÒNG BẢNG'!N24</f>
        <v>3</v>
      </c>
      <c r="P41" s="3">
        <f>'VÒNG BẢNG'!O24</f>
        <v>1</v>
      </c>
      <c r="Q41" s="3">
        <f>'VÒNG BẢNG'!P24</f>
        <v>0</v>
      </c>
      <c r="R41" s="3">
        <f>'VÒNG BẢNG'!Q24</f>
        <v>2</v>
      </c>
      <c r="S41" s="3">
        <f>'VÒNG BẢNG'!R24</f>
        <v>4</v>
      </c>
      <c r="T41" s="3">
        <f>'VÒNG BẢNG'!S24</f>
        <v>4</v>
      </c>
      <c r="U41" s="3">
        <f>'VÒNG BẢNG'!T24</f>
        <v>0</v>
      </c>
      <c r="V41" s="3">
        <f>'VÒNG BẢNG'!U24</f>
        <v>3</v>
      </c>
      <c r="W41" s="3">
        <f t="shared" si="84"/>
        <v>300039489</v>
      </c>
      <c r="X41" t="s">
        <v>52</v>
      </c>
      <c r="Y41">
        <f>VLOOKUP(N41,'CÀI ĐẶT'!$C$6:$H$30,6,0)</f>
        <v>5</v>
      </c>
      <c r="Z41">
        <f t="shared" si="85"/>
        <v>11</v>
      </c>
      <c r="AP41" t="str">
        <f>'VÒNG BẢNG'!X44</f>
        <v>KOREA REPUBLIC</v>
      </c>
      <c r="AQ41">
        <f>IF('VÒNG BẢNG'!Y44="","",'VÒNG BẢNG'!Y44)</f>
        <v>1</v>
      </c>
      <c r="AR41">
        <f>IF('VÒNG BẢNG'!Z44="","",'VÒNG BẢNG'!Z44)</f>
        <v>1</v>
      </c>
      <c r="AS41" t="str">
        <f>IF('VÒNG BẢNG'!AA44="","",'VÒNG BẢNG'!AA44)</f>
        <v/>
      </c>
      <c r="AT41" t="str">
        <f>IF(OR(AQ41="",AQ42=""),"",IF(AQ41&gt;AQ42,AP41,IF(AQ41&lt;AQ42,AP42,"")))</f>
        <v/>
      </c>
      <c r="AU41" t="str">
        <f>IF(OR(AQ41="",AQ42="",AR41="",AR42=""),"",IF(AT41="",IF(AR41&gt;AR42,AP41,IF(AR41&lt;AR42,AP42,"")),""))</f>
        <v>KOREA REPUBLIC</v>
      </c>
      <c r="AV41" t="str">
        <f>IF(OR(AQ41="",AQ42="",AR41="",AR42="",AS41="",AS42=""),"",IF(AND(AT41="",AU41=""),IF(AS41&gt;AS42,AP41,IF(AS41&lt;AS42,AP42,"")),""))</f>
        <v/>
      </c>
    </row>
    <row r="42" spans="4:62" x14ac:dyDescent="0.25">
      <c r="M42">
        <f t="shared" si="83"/>
        <v>4</v>
      </c>
      <c r="N42" s="1" t="str">
        <f>'VÒNG BẢNG'!M31</f>
        <v>VIETNAM</v>
      </c>
      <c r="O42" s="3">
        <f>'VÒNG BẢNG'!N31</f>
        <v>3</v>
      </c>
      <c r="P42" s="3">
        <f>'VÒNG BẢNG'!O31</f>
        <v>1</v>
      </c>
      <c r="Q42" s="3">
        <f>'VÒNG BẢNG'!P31</f>
        <v>0</v>
      </c>
      <c r="R42" s="3">
        <f>'VÒNG BẢNG'!Q31</f>
        <v>2</v>
      </c>
      <c r="S42" s="3">
        <f>'VÒNG BẢNG'!R31</f>
        <v>4</v>
      </c>
      <c r="T42" s="3">
        <f>'VÒNG BẢNG'!S31</f>
        <v>5</v>
      </c>
      <c r="U42" s="3">
        <f>'VÒNG BẢNG'!T31</f>
        <v>-1</v>
      </c>
      <c r="V42" s="3">
        <f>'VÒNG BẢNG'!U31</f>
        <v>3</v>
      </c>
      <c r="W42" s="3">
        <f t="shared" si="84"/>
        <v>299039477</v>
      </c>
      <c r="X42" t="s">
        <v>54</v>
      </c>
      <c r="Y42">
        <f>VLOOKUP(N42,'CÀI ĐẶT'!$C$6:$H$30,6,0)</f>
        <v>5</v>
      </c>
      <c r="Z42">
        <f t="shared" si="85"/>
        <v>23</v>
      </c>
      <c r="AP42" t="str">
        <f>'VÒNG BẢNG'!X45</f>
        <v>BAHRAIN</v>
      </c>
      <c r="AQ42">
        <f>IF('VÒNG BẢNG'!Y45="","",'VÒNG BẢNG'!Y45)</f>
        <v>1</v>
      </c>
      <c r="AR42">
        <f>IF('VÒNG BẢNG'!Z45="","",'VÒNG BẢNG'!Z45)</f>
        <v>0</v>
      </c>
      <c r="AS42" t="str">
        <f>IF('VÒNG BẢNG'!AA45="","",'VÒNG BẢNG'!AA45)</f>
        <v/>
      </c>
      <c r="AT42" s="5" t="str">
        <f>IF(AND(AT41="",AU41="",AV41=""),"",HLOOKUP(1,AT40:AV41,2,0))</f>
        <v>KOREA REPUBLIC</v>
      </c>
    </row>
    <row r="43" spans="4:62" x14ac:dyDescent="0.25">
      <c r="M43">
        <f t="shared" si="83"/>
        <v>5</v>
      </c>
      <c r="N43" t="str">
        <f>'VÒNG BẢNG'!M38</f>
        <v>LEBANON</v>
      </c>
      <c r="O43" s="3">
        <f>'VÒNG BẢNG'!N38</f>
        <v>3</v>
      </c>
      <c r="P43" s="3">
        <f>'VÒNG BẢNG'!O38</f>
        <v>1</v>
      </c>
      <c r="Q43" s="3">
        <f>'VÒNG BẢNG'!P38</f>
        <v>0</v>
      </c>
      <c r="R43" s="3">
        <f>'VÒNG BẢNG'!Q38</f>
        <v>2</v>
      </c>
      <c r="S43" s="3">
        <f>'VÒNG BẢNG'!R38</f>
        <v>4</v>
      </c>
      <c r="T43" s="3">
        <f>'VÒNG BẢNG'!S38</f>
        <v>5</v>
      </c>
      <c r="U43" s="3">
        <f>'VÒNG BẢNG'!T38</f>
        <v>-1</v>
      </c>
      <c r="V43" s="3">
        <f>'VÒNG BẢNG'!U38</f>
        <v>3</v>
      </c>
      <c r="W43" s="3">
        <f t="shared" si="84"/>
        <v>299039288</v>
      </c>
      <c r="X43" t="s">
        <v>57</v>
      </c>
      <c r="Y43">
        <f>VLOOKUP(N43,'CÀI ĐẶT'!$C$6:$H$30,6,0)</f>
        <v>7</v>
      </c>
      <c r="Z43">
        <f t="shared" si="85"/>
        <v>12</v>
      </c>
      <c r="BA43">
        <f t="shared" ref="BA43" si="88">IF(BA44="",0,1)</f>
        <v>1</v>
      </c>
      <c r="BB43">
        <f t="shared" ref="BB43" si="89">IF(BB44="",0,1)</f>
        <v>0</v>
      </c>
      <c r="BC43">
        <f>IF(BC44="",0,1)</f>
        <v>0</v>
      </c>
    </row>
    <row r="44" spans="4:62" x14ac:dyDescent="0.25">
      <c r="M44">
        <f t="shared" si="83"/>
        <v>3</v>
      </c>
      <c r="N44" t="str">
        <f>'VÒNG BẢNG'!M45</f>
        <v>OMAN</v>
      </c>
      <c r="O44" s="3">
        <f>'VÒNG BẢNG'!N45</f>
        <v>3</v>
      </c>
      <c r="P44" s="3">
        <f>'VÒNG BẢNG'!O45</f>
        <v>1</v>
      </c>
      <c r="Q44" s="3">
        <f>'VÒNG BẢNG'!P45</f>
        <v>0</v>
      </c>
      <c r="R44" s="3">
        <f>'VÒNG BẢNG'!Q45</f>
        <v>2</v>
      </c>
      <c r="S44" s="3">
        <f>'VÒNG BẢNG'!R45</f>
        <v>4</v>
      </c>
      <c r="T44" s="3">
        <f>'VÒNG BẢNG'!S45</f>
        <v>4</v>
      </c>
      <c r="U44" s="3">
        <f>'VÒNG BẢNG'!T45</f>
        <v>0</v>
      </c>
      <c r="V44" s="3">
        <f>'VÒNG BẢNG'!U45</f>
        <v>3</v>
      </c>
      <c r="W44" s="3">
        <f t="shared" si="84"/>
        <v>300039387</v>
      </c>
      <c r="X44" t="s">
        <v>59</v>
      </c>
      <c r="Y44">
        <f>VLOOKUP(N44,'CÀI ĐẶT'!$C$6:$H$30,6,0)</f>
        <v>6</v>
      </c>
      <c r="Z44">
        <f t="shared" si="85"/>
        <v>13</v>
      </c>
      <c r="AW44" t="str">
        <f>'VÒNG BẢNG'!AE47</f>
        <v>KOREA REPUBLIC</v>
      </c>
      <c r="AX44">
        <f>IF('VÒNG BẢNG'!AF47="","",'VÒNG BẢNG'!AF47)</f>
        <v>0</v>
      </c>
      <c r="AY44" t="str">
        <f>IF('VÒNG BẢNG'!AG47="","",'VÒNG BẢNG'!AG47)</f>
        <v/>
      </c>
      <c r="AZ44" t="str">
        <f>IF('VÒNG BẢNG'!AH47="","",'VÒNG BẢNG'!AH47)</f>
        <v/>
      </c>
      <c r="BA44" t="str">
        <f>IF(OR(AX44="",AX45=""),"",IF(AX44&gt;AX45,AW44,IF(AX44&lt;AX45,AW45,"")))</f>
        <v>QATAR</v>
      </c>
      <c r="BB44" t="str">
        <f>IF(OR(AX44="",AX45="",AY44="",AY45=""),"",IF(BA44="",IF(AY44&gt;AY45,AW44,IF(AY44&lt;AY45,AW45,"")),""))</f>
        <v/>
      </c>
      <c r="BC44" t="str">
        <f>IF(OR(AX44="",AX45="",AY44="",AY45="",AZ44="",AZ45=""),"",IF(AND(BA44="",BB44=""),IF(AZ44&gt;AZ45,AW44,IF(AZ44&lt;AZ45,AW45,"")),""))</f>
        <v/>
      </c>
    </row>
    <row r="45" spans="4:62" x14ac:dyDescent="0.25">
      <c r="AW45" t="str">
        <f>'VÒNG BẢNG'!AE48</f>
        <v>QATAR</v>
      </c>
      <c r="AX45">
        <f>IF('VÒNG BẢNG'!AF48="","",'VÒNG BẢNG'!AF48)</f>
        <v>1</v>
      </c>
      <c r="AY45" t="str">
        <f>IF('VÒNG BẢNG'!AG48="","",'VÒNG BẢNG'!AG48)</f>
        <v/>
      </c>
      <c r="AZ45" t="str">
        <f>IF('VÒNG BẢNG'!AH48="","",'VÒNG BẢNG'!AH48)</f>
        <v/>
      </c>
      <c r="BA45" s="5" t="str">
        <f>IF(AND(BA44="",BB44="",BC44=""),"",HLOOKUP(1,BA43:BC44,2,0))</f>
        <v>QATAR</v>
      </c>
    </row>
    <row r="46" spans="4:62" x14ac:dyDescent="0.25">
      <c r="AT46">
        <f t="shared" ref="AT46" si="90">IF(AT47="",0,1)</f>
        <v>1</v>
      </c>
      <c r="AU46">
        <f t="shared" ref="AU46" si="91">IF(AU47="",0,1)</f>
        <v>0</v>
      </c>
      <c r="AV46">
        <f>IF(AV47="",0,1)</f>
        <v>0</v>
      </c>
    </row>
    <row r="47" spans="4:62" x14ac:dyDescent="0.25">
      <c r="AP47" t="str">
        <f>'VÒNG BẢNG'!X50</f>
        <v>QATAR</v>
      </c>
      <c r="AQ47">
        <f>IF('VÒNG BẢNG'!Y50="","",'VÒNG BẢNG'!Y50)</f>
        <v>1</v>
      </c>
      <c r="AR47" t="str">
        <f>IF('VÒNG BẢNG'!Z50="","",'VÒNG BẢNG'!Z50)</f>
        <v/>
      </c>
      <c r="AS47" t="str">
        <f>IF('VÒNG BẢNG'!AA50="","",'VÒNG BẢNG'!AA50)</f>
        <v/>
      </c>
      <c r="AT47" t="str">
        <f>IF(OR(AQ47="",AQ48=""),"",IF(AQ47&gt;AQ48,AP47,IF(AQ47&lt;AQ48,AP48,"")))</f>
        <v>QATAR</v>
      </c>
      <c r="AU47" t="str">
        <f>IF(OR(AQ47="",AQ48="",AR47="",AR48=""),"",IF(AT47="",IF(AR47&gt;AR48,AP47,IF(AR47&lt;AR48,AP48,"")),""))</f>
        <v/>
      </c>
      <c r="AV47" t="str">
        <f>IF(OR(AQ47="",AQ48="",AR47="",AR48="",AS47="",AS48=""),"",IF(AND(AT47="",AU47=""),IF(AS47&gt;AS48,AP47,IF(AS47&lt;AS48,AP48,"")),""))</f>
        <v/>
      </c>
    </row>
    <row r="48" spans="4:62" x14ac:dyDescent="0.25">
      <c r="AP48" t="str">
        <f>'VÒNG BẢNG'!X51</f>
        <v>IRAQ</v>
      </c>
      <c r="AQ48">
        <f>IF('VÒNG BẢNG'!Y51="","",'VÒNG BẢNG'!Y51)</f>
        <v>0</v>
      </c>
      <c r="AR48" t="str">
        <f>IF('VÒNG BẢNG'!Z51="","",'VÒNG BẢNG'!Z51)</f>
        <v/>
      </c>
      <c r="AS48" t="str">
        <f>IF('VÒNG BẢNG'!AA51="","",'VÒNG BẢNG'!AA51)</f>
        <v/>
      </c>
      <c r="AT48" s="5" t="str">
        <f>IF(AND(AT47="",AU47="",AV47=""),"",HLOOKUP(1,AT46:AV47,2,0))</f>
        <v>QATAR</v>
      </c>
    </row>
  </sheetData>
  <conditionalFormatting sqref="AE15:AJ15">
    <cfRule type="expression" dxfId="2" priority="6">
      <formula>"COUNT(1)=1"</formula>
    </cfRule>
  </conditionalFormatting>
  <conditionalFormatting sqref="AJ15">
    <cfRule type="expression" dxfId="1" priority="5">
      <formula>"COUNTIF($AE$15:$AI$15,1)=1"</formula>
    </cfRule>
  </conditionalFormatting>
  <conditionalFormatting sqref="AE15:AI15">
    <cfRule type="expression" dxfId="0" priority="4">
      <formula>"COUNTIF($AE$15:$AI$15,1)=1"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AV47"/>
  <sheetViews>
    <sheetView topLeftCell="E1" workbookViewId="0">
      <selection activeCell="D2" sqref="D2"/>
    </sheetView>
  </sheetViews>
  <sheetFormatPr defaultRowHeight="15" x14ac:dyDescent="0.25"/>
  <cols>
    <col min="3" max="3" width="14.85546875" bestFit="1" customWidth="1"/>
    <col min="8" max="8" width="10.7109375" bestFit="1" customWidth="1"/>
    <col min="9" max="9" width="14.85546875" bestFit="1" customWidth="1"/>
    <col min="10" max="10" width="10.7109375" bestFit="1" customWidth="1"/>
    <col min="11" max="11" width="14.140625" customWidth="1"/>
    <col min="12" max="12" width="14.42578125" customWidth="1"/>
    <col min="13" max="13" width="14.28515625" customWidth="1"/>
    <col min="23" max="23" width="10.7109375" bestFit="1" customWidth="1"/>
    <col min="30" max="30" width="10.7109375" bestFit="1" customWidth="1"/>
    <col min="37" max="37" width="10.7109375" bestFit="1" customWidth="1"/>
    <col min="44" max="44" width="10.7109375" bestFit="1" customWidth="1"/>
  </cols>
  <sheetData>
    <row r="2" spans="3:41" x14ac:dyDescent="0.25">
      <c r="D2" s="8">
        <f>VLOOKUP(D3,'CÀI ĐẶT'!D59:E91,2,0)</f>
        <v>0.29166666666666669</v>
      </c>
      <c r="K2" s="1" t="str">
        <f>'NHÁP 1'!N3</f>
        <v>INDIA</v>
      </c>
      <c r="L2" s="1" t="str">
        <f>'NHÁP 1'!N4</f>
        <v>BAHRAIN</v>
      </c>
      <c r="M2" s="1" t="str">
        <f>'NHÁP 1'!N5</f>
        <v>UNITED ARAB EMIRATES</v>
      </c>
      <c r="N2" s="1" t="str">
        <f>'NHÁP 1'!N6</f>
        <v>THAILAND</v>
      </c>
    </row>
    <row r="3" spans="3:41" x14ac:dyDescent="0.25">
      <c r="D3">
        <f>VLOOKUP('CÀI ĐẶT'!E4,'CÀI ĐẶT'!C59:E91,2,0)</f>
        <v>7</v>
      </c>
      <c r="I3" s="1" t="str">
        <f>'NHÁP 1'!N3</f>
        <v>INDIA</v>
      </c>
      <c r="J3">
        <f>'NHÁP 1'!V3</f>
        <v>3</v>
      </c>
      <c r="K3" t="s">
        <v>263</v>
      </c>
      <c r="L3" t="str">
        <f>IF(COUNTIF('NHÁP 1'!$D$3:$D$38,CONCATENATE($I$3,"&amp;",L2))=1,VLOOKUP(CONCATENATE($I$3,"&amp;",L2),'NHÁP 1'!$D$3:$J$38,7,0),IF(COUNTIF('NHÁP 1'!$I$3:$I$38,CONCATENATE($I$3,"&amp;",L2))=1,VLOOKUP(CONCATENATE($I$3,"&amp;",L2),'NHÁP 1'!$I$3:$K$38,3,0),""))</f>
        <v>INDIA THUA</v>
      </c>
      <c r="M3" t="str">
        <f>IF(COUNTIF('NHÁP 1'!$D$3:$D$38,CONCATENATE($I$3,"&amp;",M2))=1,VLOOKUP(CONCATENATE($I$3,"&amp;",M2),'NHÁP 1'!$D$3:$J$38,7,0),IF(COUNTIF('NHÁP 1'!$I$3:$I$38,CONCATENATE($I$3,"&amp;",M2))=1,VLOOKUP(CONCATENATE($I$3,"&amp;",M2),'NHÁP 1'!$I$3:$K$38,3,0),""))</f>
        <v>INDIA THUA</v>
      </c>
      <c r="N3" t="str">
        <f>IF(COUNTIF('NHÁP 1'!$D$3:$D$38,CONCATENATE($I$3,"&amp;",N2))=1,VLOOKUP(CONCATENATE($I$3,"&amp;",N2),'NHÁP 1'!$D$3:$J$38,7,0),IF(COUNTIF('NHÁP 1'!$I$3:$I$38,CONCATENATE($I$3,"&amp;",N2))=1,VLOOKUP(CONCATENATE($I$3,"&amp;",N2),'NHÁP 1'!$I$3:$K$38,3,0),""))</f>
        <v>INDIA THẮNG</v>
      </c>
      <c r="P3" t="str">
        <f>IF($J$3=J4,IF(L3=CONCATENATE($I$3," THẮNG"),3,IF(L3=CONCATENATE($I$3," HÒA"),1,0)),"")</f>
        <v/>
      </c>
      <c r="Q3" t="str">
        <f>IF($J$3=J5,IF(M3=CONCATENATE($I$3," THẮNG"),3,IF(M3=CONCATENATE($I$3," HÒA"),1,0)),"")</f>
        <v/>
      </c>
      <c r="R3" t="str">
        <f>IF($J$3=J6,IF(N3=CONCATENATE($I$3," THẮNG"),3,IF(N3=CONCATENATE($I$3," HÒA"),1,0)),"")</f>
        <v/>
      </c>
    </row>
    <row r="4" spans="3:41" x14ac:dyDescent="0.25">
      <c r="C4" s="12">
        <v>43470</v>
      </c>
      <c r="D4" s="13">
        <v>0.66666666666666663</v>
      </c>
      <c r="E4" s="3">
        <f>HOUR(D4)</f>
        <v>16</v>
      </c>
      <c r="F4">
        <f>IF($D$3&gt;0,HOUR($D$2),IF($D$3&lt;0,-HOUR($D$2),0))</f>
        <v>7</v>
      </c>
      <c r="G4">
        <f>IF(E4+F4&gt;=24,1,IF(E4+F4&lt;0,-1,0))</f>
        <v>0</v>
      </c>
      <c r="H4" s="11"/>
      <c r="I4" s="1" t="str">
        <f>'NHÁP 1'!N4</f>
        <v>BAHRAIN</v>
      </c>
      <c r="J4">
        <f>'NHÁP 1'!V4</f>
        <v>4</v>
      </c>
      <c r="K4" t="str">
        <f>IF(COUNTIF('NHÁP 1'!$D$3:$D$38,CONCATENATE($I$4,"&amp;",K2))=1,VLOOKUP(CONCATENATE($I$4,"&amp;",K2),'NHÁP 1'!$D$3:$J$38,7,0),IF(COUNTIF('NHÁP 1'!$I$3:$I$38,CONCATENATE($I$4,"&amp;",K2))=1,VLOOKUP(CONCATENATE($I$4,"&amp;",K2),'NHÁP 1'!$I$3:$K$38,3,0),""))</f>
        <v>BAHRAIN THẮNG</v>
      </c>
      <c r="L4" t="s">
        <v>263</v>
      </c>
      <c r="M4" t="str">
        <f>IF(COUNTIF('NHÁP 1'!$D$3:$D$38,CONCATENATE($I$4,"&amp;",M2))=1,VLOOKUP(CONCATENATE($I$4,"&amp;",M2),'NHÁP 1'!$D$3:$J$38,7,0),IF(COUNTIF('NHÁP 1'!$I$3:$I$38,CONCATENATE($I$4,"&amp;",M2))=1,VLOOKUP(CONCATENATE($I$4,"&amp;",M2),'NHÁP 1'!$I$3:$K$38,3,0),""))</f>
        <v>BAHRAIN HÒA</v>
      </c>
      <c r="N4" t="str">
        <f>IF(COUNTIF('NHÁP 1'!$D$3:$D$38,CONCATENATE($I$4,"&amp;",N2))=1,VLOOKUP(CONCATENATE($I$4,"&amp;",N2),'NHÁP 1'!$D$3:$J$38,7,0),IF(COUNTIF('NHÁP 1'!$I$3:$I$38,CONCATENATE($I$4,"&amp;",N2))=1,VLOOKUP(CONCATENATE($I$4,"&amp;",N2),'NHÁP 1'!$I$3:$K$38,3,0),""))</f>
        <v>BAHRAIN THUA</v>
      </c>
      <c r="P4" t="str">
        <f>IF($J$4=J3,IF(K4=CONCATENATE($I$4," THẮNG"),3,IF(K4=CONCATENATE($I$4," HÒA"),1,0)),"")</f>
        <v/>
      </c>
      <c r="Q4" t="str">
        <f>IF($J$4=J5,IF(M4=CONCATENATE($I$4," THẮNG"),3,IF(M4=CONCATENATE($I$4," HÒA"),1,0)),"")</f>
        <v/>
      </c>
      <c r="R4">
        <f>IF($J$4=J6,IF(N4=CONCATENATE($I$4," THẮNG"),3,IF(N4=CONCATENATE($I$4," HÒA"),1,0)),"")</f>
        <v>0</v>
      </c>
    </row>
    <row r="5" spans="3:41" x14ac:dyDescent="0.25">
      <c r="C5" s="14">
        <v>43471</v>
      </c>
      <c r="D5" s="13">
        <v>0.45833333333333331</v>
      </c>
      <c r="E5" s="3">
        <f>HOUR(D5)</f>
        <v>11</v>
      </c>
      <c r="F5">
        <f t="shared" ref="F5:F26" si="0">IF($D$3&gt;0,HOUR($D$2),IF($D$3&lt;0,-HOUR($D$2),0))</f>
        <v>7</v>
      </c>
      <c r="G5">
        <f t="shared" ref="G5:G27" si="1">IF(E5+F5&gt;=24,1,IF(E5+F5&lt;0,-1,0))</f>
        <v>0</v>
      </c>
      <c r="I5" s="1" t="str">
        <f>'NHÁP 1'!N5</f>
        <v>UNITED ARAB EMIRATES</v>
      </c>
      <c r="J5">
        <f>'NHÁP 1'!V5</f>
        <v>5</v>
      </c>
      <c r="K5" t="str">
        <f>IF(COUNTIF('NHÁP 1'!$D$3:$D$38,CONCATENATE($I$5,"&amp;",K2))=1,VLOOKUP(CONCATENATE($I$5,"&amp;",K2),'NHÁP 1'!$D$3:$J$38,7,0),IF(COUNTIF('NHÁP 1'!$I$3:$I$38,CONCATENATE($I$5,"&amp;",K2))=1,VLOOKUP(CONCATENATE($I$5,"&amp;",K2),'NHÁP 1'!$I$3:$K$38,3,0),""))</f>
        <v>UNITED ARAB EMIRATES THẮNG</v>
      </c>
      <c r="L5" t="str">
        <f>IF(COUNTIF('NHÁP 1'!$D$3:$D$38,CONCATENATE($I$5,"&amp;",L2))=1,VLOOKUP(CONCATENATE($I$5,"&amp;",L2),'NHÁP 1'!$D$3:$J$38,7,0),IF(COUNTIF('NHÁP 1'!$I$3:$I$38,CONCATENATE($I$5,"&amp;",L2))=1,VLOOKUP(CONCATENATE($I$5,"&amp;",L2),'NHÁP 1'!$I$3:$K$38,3,0),""))</f>
        <v>UNITED ARAB EMIRATES HÒA</v>
      </c>
      <c r="M5" t="s">
        <v>263</v>
      </c>
      <c r="N5" t="str">
        <f>IF(COUNTIF('NHÁP 1'!$D$3:$D$38,CONCATENATE($I$5,"&amp;",N2))=1,VLOOKUP(CONCATENATE($I$5,"&amp;",N2),'NHÁP 1'!$D$3:$J$38,7,0),IF(COUNTIF('NHÁP 1'!$I$3:$I$38,CONCATENATE($I$5,"&amp;",N2))=1,VLOOKUP(CONCATENATE($I$5,"&amp;",N2),'NHÁP 1'!$I$3:$K$38,3,0),""))</f>
        <v>UNITED ARAB EMIRATES HÒA</v>
      </c>
      <c r="P5" t="str">
        <f>IF($J$5=J3,IF(K5=CONCATENATE($I$5," THẮNG"),3,IF(K5=CONCATENATE($I$5," HÒA"),1,0)),"")</f>
        <v/>
      </c>
      <c r="Q5" t="str">
        <f>IF($J$5=J4,IF(L5=CONCATENATE($I$5," THẮNG"),3,IF(L5=CONCATENATE($I$5," HÒA"),1,0)),"")</f>
        <v/>
      </c>
      <c r="R5" t="str">
        <f>IF($J$5=J6,IF(N5=CONCATENATE($I$5," THẮNG"),3,IF(N5=CONCATENATE($I$5," HÒA"),1,0)),"")</f>
        <v/>
      </c>
      <c r="W5" s="18">
        <v>43485</v>
      </c>
      <c r="X5" s="1">
        <v>0.45833333333333331</v>
      </c>
      <c r="Y5">
        <f>HOUR(X5)</f>
        <v>11</v>
      </c>
      <c r="Z5">
        <f>IF($D$3&gt;0,HOUR($D$2),IF($D$3&lt;0,-HOUR($D$2),0))</f>
        <v>7</v>
      </c>
      <c r="AA5">
        <f>IF(Y5+Z5&gt;=24,1,IF(Y5+Z5&lt;0,-1,0))</f>
        <v>0</v>
      </c>
    </row>
    <row r="6" spans="3:41" x14ac:dyDescent="0.25">
      <c r="C6" s="14">
        <v>43471</v>
      </c>
      <c r="D6" s="13">
        <v>0.5625</v>
      </c>
      <c r="E6" s="3">
        <f t="shared" ref="E6:E39" si="2">HOUR(D6)</f>
        <v>13</v>
      </c>
      <c r="F6">
        <f t="shared" si="0"/>
        <v>7</v>
      </c>
      <c r="G6">
        <f t="shared" si="1"/>
        <v>0</v>
      </c>
      <c r="I6" s="1" t="str">
        <f>'NHÁP 1'!N6</f>
        <v>THAILAND</v>
      </c>
      <c r="J6">
        <f>'NHÁP 1'!V6</f>
        <v>4</v>
      </c>
      <c r="K6" t="str">
        <f>IF(COUNTIF('NHÁP 1'!$D$3:$D$38,CONCATENATE($I$6,"&amp;",K2))=1,VLOOKUP(CONCATENATE($I$6,"&amp;",K2),'NHÁP 1'!$D$3:$J$38,7,0),IF(COUNTIF('NHÁP 1'!$I$3:$I$38,CONCATENATE($I$6,"&amp;",K2))=1,VLOOKUP(CONCATENATE($I$6,"&amp;",K2),'NHÁP 1'!$I$3:$K$38,3,0),""))</f>
        <v>THAILAND THUA</v>
      </c>
      <c r="L6" t="str">
        <f>IF(COUNTIF('NHÁP 1'!$D$3:$D$38,CONCATENATE($I$6,"&amp;",L2))=1,VLOOKUP(CONCATENATE($I$6,"&amp;",L2),'NHÁP 1'!$D$3:$J$38,7,0),IF(COUNTIF('NHÁP 1'!$I$3:$I$38,CONCATENATE($I$6,"&amp;",L2))=1,VLOOKUP(CONCATENATE($I$6,"&amp;",L2),'NHÁP 1'!$I$3:$K$38,3,0),""))</f>
        <v>THAILAND THẮNG</v>
      </c>
      <c r="M6" t="str">
        <f>IF(COUNTIF('NHÁP 1'!$D$3:$D$38,CONCATENATE($I$6,"&amp;",M2))=1,VLOOKUP(CONCATENATE($I$6,"&amp;",M2),'NHÁP 1'!$D$3:$J$38,7,0),IF(COUNTIF('NHÁP 1'!$I$3:$I$38,CONCATENATE($I$6,"&amp;",M2))=1,VLOOKUP(CONCATENATE($I$6,"&amp;",M2),'NHÁP 1'!$I$3:$K$38,3,0),""))</f>
        <v>THAILAND HÒA</v>
      </c>
      <c r="N6" t="s">
        <v>263</v>
      </c>
      <c r="P6" t="str">
        <f>IF($J$6=J3,IF(K6=CONCATENATE($I$6," THẮNG"),3,IF(K6=CONCATENATE($I$6," HÒA"),1,0)),"")</f>
        <v/>
      </c>
      <c r="Q6">
        <f>IF($J$6=J4,IF(L6=CONCATENATE($I$6," THẮNG"),3,IF(L6=CONCATENATE($I$6," HÒA"),1,0)),"")</f>
        <v>3</v>
      </c>
      <c r="R6" t="str">
        <f>IF($J$6=J5,IF(M6=CONCATENATE($I$6," THẮNG"),3,IF(M6=CONCATENATE($I$6," HÒA"),1,0)),"")</f>
        <v/>
      </c>
    </row>
    <row r="7" spans="3:41" x14ac:dyDescent="0.25">
      <c r="C7" s="14">
        <v>43471</v>
      </c>
      <c r="D7" s="13">
        <v>0.66666666666666663</v>
      </c>
      <c r="E7" s="3">
        <f t="shared" si="2"/>
        <v>16</v>
      </c>
      <c r="F7">
        <f t="shared" si="0"/>
        <v>7</v>
      </c>
      <c r="G7">
        <f t="shared" si="1"/>
        <v>0</v>
      </c>
      <c r="I7" s="15"/>
      <c r="J7" s="16"/>
    </row>
    <row r="8" spans="3:41" x14ac:dyDescent="0.25">
      <c r="C8" s="14">
        <v>43472</v>
      </c>
      <c r="D8" s="13">
        <v>0.45833333333333331</v>
      </c>
      <c r="E8" s="3">
        <f t="shared" si="2"/>
        <v>11</v>
      </c>
      <c r="F8">
        <f t="shared" si="0"/>
        <v>7</v>
      </c>
      <c r="G8">
        <f t="shared" si="1"/>
        <v>0</v>
      </c>
      <c r="K8" s="1" t="str">
        <f>'NHÁP 1'!N9</f>
        <v>AUSTRALIA</v>
      </c>
      <c r="L8" s="1" t="str">
        <f>'NHÁP 1'!N10</f>
        <v>JORDAN</v>
      </c>
      <c r="M8" s="1" t="str">
        <f>'NHÁP 1'!N11</f>
        <v>PALESTINE</v>
      </c>
      <c r="N8" s="1" t="str">
        <f>'NHÁP 1'!N12</f>
        <v>SYRIA</v>
      </c>
      <c r="AD8" s="11">
        <v>43489</v>
      </c>
      <c r="AE8" s="1">
        <v>0.54166666666666663</v>
      </c>
      <c r="AF8">
        <f>HOUR(AE8)</f>
        <v>13</v>
      </c>
      <c r="AG8">
        <f>IF($D$3&gt;0,HOUR($D$2),IF($D$3&lt;0,-HOUR($D$2),0))</f>
        <v>7</v>
      </c>
      <c r="AH8">
        <f>IF(AF8+AG8&gt;=24,1,IF(AF8+AG8&lt;0,-1,0))</f>
        <v>0</v>
      </c>
    </row>
    <row r="9" spans="3:41" x14ac:dyDescent="0.25">
      <c r="C9" s="14">
        <v>43472</v>
      </c>
      <c r="D9" s="13">
        <v>0.5625</v>
      </c>
      <c r="E9" s="3">
        <f t="shared" si="2"/>
        <v>13</v>
      </c>
      <c r="F9">
        <f t="shared" si="0"/>
        <v>7</v>
      </c>
      <c r="G9">
        <f t="shared" si="1"/>
        <v>0</v>
      </c>
      <c r="I9" s="1" t="str">
        <f>'NHÁP 1'!N9</f>
        <v>AUSTRALIA</v>
      </c>
      <c r="J9">
        <f>'NHÁP 1'!V9</f>
        <v>6</v>
      </c>
      <c r="K9" t="s">
        <v>263</v>
      </c>
      <c r="L9" t="str">
        <f>IF(COUNTIF('NHÁP 1'!$D$3:$D$38,CONCATENATE(I9,"&amp;",L8))=1,VLOOKUP(CONCATENATE(I9,"&amp;",L8),'NHÁP 1'!$D$3:$J$38,7,0),IF(COUNTIF('NHÁP 1'!$I$3:$I$38,CONCATENATE(I9,"&amp;",L8))=1,VLOOKUP(CONCATENATE(I9,"&amp;",L8),'NHÁP 1'!$I$3:$K$38,3,0),""))</f>
        <v>AUSTRALIA THUA</v>
      </c>
      <c r="M9" t="str">
        <f>IF(COUNTIF('NHÁP 1'!$D$3:$D$38,CONCATENATE(I9,"&amp;",M8))=1,VLOOKUP(CONCATENATE(I9,"&amp;",M8),'NHÁP 1'!$D$3:$J$38,7,0),IF(COUNTIF('NHÁP 1'!$I$3:$I$38,CONCATENATE(I9,"&amp;",M8))=1,VLOOKUP(CONCATENATE(I9,"&amp;",M8),'NHÁP 1'!$I$3:$K$38,3,0),""))</f>
        <v>AUSTRALIA THẮNG</v>
      </c>
      <c r="N9" t="str">
        <f>IF(COUNTIF('NHÁP 1'!$D$3:$D$38,CONCATENATE(I9,"&amp;",N8))=1,VLOOKUP(CONCATENATE(I9,"&amp;",N8),'NHÁP 1'!$D$3:$J$38,7,0),IF(COUNTIF('NHÁP 1'!$I$3:$I$38,CONCATENATE(I9,"&amp;",N8))=1,VLOOKUP(CONCATENATE(I9,"&amp;",N8),'NHÁP 1'!$I$3:$K$38,3,0),""))</f>
        <v>AUSTRALIA THẮNG</v>
      </c>
      <c r="P9" t="str">
        <f>IF(L9="","",IF(J9=J10,IF(L9=CONCATENATE(I9," THẮNG"),3,IF(L9=CONCATENATE(I9," HÒA"),1,0)),""))</f>
        <v/>
      </c>
      <c r="Q9" t="str">
        <f>IF(M9="","",IF(J9=J11,IF(M9=CONCATENATE(I9," THẮNG"),3,IF(M9=CONCATENATE(I9," HÒA"),1,0)),""))</f>
        <v/>
      </c>
      <c r="R9" t="str">
        <f>IF(N9="","",IF(J9=J12,IF(N9=CONCATENATE(I9," THẮNG"),3,IF(N9=CONCATENATE(I9," HÒA"),1,0)),""))</f>
        <v/>
      </c>
    </row>
    <row r="10" spans="3:41" x14ac:dyDescent="0.25">
      <c r="C10" s="14">
        <v>43472</v>
      </c>
      <c r="D10" s="13">
        <v>0.66666666666666663</v>
      </c>
      <c r="E10" s="3">
        <f t="shared" si="2"/>
        <v>16</v>
      </c>
      <c r="F10">
        <f t="shared" si="0"/>
        <v>7</v>
      </c>
      <c r="G10">
        <f t="shared" si="1"/>
        <v>0</v>
      </c>
      <c r="I10" s="1" t="str">
        <f>'NHÁP 1'!N10</f>
        <v>JORDAN</v>
      </c>
      <c r="J10">
        <f>'NHÁP 1'!V10</f>
        <v>7</v>
      </c>
      <c r="K10" t="str">
        <f>IF(COUNTIF('NHÁP 1'!$D$3:$D$38,CONCATENATE(I10,"&amp;",K8))=1,VLOOKUP(CONCATENATE(I10,"&amp;",K8),'NHÁP 1'!$D$3:$J$38,7,0),IF(COUNTIF('NHÁP 1'!$I$3:$I$38,CONCATENATE(I10,"&amp;",K8))=1,VLOOKUP(CONCATENATE(I10,"&amp;",K8),'NHÁP 1'!$I$3:$K$38,3,0),""))</f>
        <v>JORDAN THẮNG</v>
      </c>
      <c r="L10" t="s">
        <v>263</v>
      </c>
      <c r="M10" t="str">
        <f>IF(COUNTIF('NHÁP 1'!$D$3:$D$38,CONCATENATE(I10,"&amp;",M8))=1,VLOOKUP(CONCATENATE(I10,"&amp;",M8),'NHÁP 1'!$D$3:$J$38,7,0),IF(COUNTIF('NHÁP 1'!$I$3:$I$38,CONCATENATE(I10,"&amp;",M8))=1,VLOOKUP(CONCATENATE(I10,"&amp;",M8),'NHÁP 1'!$I$3:$K$38,3,0),""))</f>
        <v>JORDAN HÒA</v>
      </c>
      <c r="N10" t="str">
        <f>IF(COUNTIF('NHÁP 1'!$D$3:$D$38,CONCATENATE(I10,"&amp;",N8))=1,VLOOKUP(CONCATENATE(I10,"&amp;",N8),'NHÁP 1'!$D$3:$J$38,7,0),IF(COUNTIF('NHÁP 1'!$I$3:$I$38,CONCATENATE(I10,"&amp;",N8))=1,VLOOKUP(CONCATENATE(I10,"&amp;",N8),'NHÁP 1'!$I$3:$K$38,3,0),""))</f>
        <v>JORDAN THẮNG</v>
      </c>
      <c r="P10" t="str">
        <f>IF(K10="","",IF(J10=J9,IF(K10=CONCATENATE(I10," THẮNG"),3,IF(K10=CONCATENATE(I10," HÒA"),1,0)),""))</f>
        <v/>
      </c>
      <c r="Q10" t="str">
        <f>IF(M10="","",IF(J10=J11,IF(M10=CONCATENATE(I10," THẮNG"),3,IF(M10=CONCATENATE(I10," HÒA"),1,0)),""))</f>
        <v/>
      </c>
      <c r="R10" t="str">
        <f>IF(N10="","",IF(J10=J12,IF(N10=CONCATENATE(I10," THẮNG"),3,IF(N10=CONCATENATE(I10," HÒA"),1,0)),""))</f>
        <v/>
      </c>
    </row>
    <row r="11" spans="3:41" x14ac:dyDescent="0.25">
      <c r="C11" s="14">
        <v>43473</v>
      </c>
      <c r="D11" s="13">
        <v>0.5625</v>
      </c>
      <c r="E11" s="3">
        <f t="shared" si="2"/>
        <v>13</v>
      </c>
      <c r="F11">
        <f t="shared" si="0"/>
        <v>7</v>
      </c>
      <c r="G11">
        <f t="shared" si="1"/>
        <v>0</v>
      </c>
      <c r="I11" s="1" t="str">
        <f>'NHÁP 1'!N11</f>
        <v>PALESTINE</v>
      </c>
      <c r="J11">
        <f>'NHÁP 1'!V11</f>
        <v>2</v>
      </c>
      <c r="K11" t="str">
        <f>IF(COUNTIF('NHÁP 1'!$D$3:$D$38,CONCATENATE(I11,"&amp;",K8))=1,VLOOKUP(CONCATENATE(I11,"&amp;",K8),'NHÁP 1'!$D$3:$J$38,7,0),IF(COUNTIF('NHÁP 1'!$I$3:$I$38,CONCATENATE(I11,"&amp;",K8))=1,VLOOKUP(CONCATENATE(I11,"&amp;",K8),'NHÁP 1'!$I$3:$K$38,3,0),""))</f>
        <v>PALESTINE THUA</v>
      </c>
      <c r="L11" t="str">
        <f>IF(COUNTIF('NHÁP 1'!$D$3:$D$38,CONCATENATE(I11,"&amp;",L8))=1,VLOOKUP(CONCATENATE(I11,"&amp;",L8),'NHÁP 1'!$D$3:$J$38,7,0),IF(COUNTIF('NHÁP 1'!$I$3:$I$38,CONCATENATE(I11,"&amp;",L8))=1,VLOOKUP(CONCATENATE(I11,"&amp;",L8),'NHÁP 1'!$I$3:$K$38,3,0),""))</f>
        <v>PALESTINE HÒA</v>
      </c>
      <c r="M11" t="s">
        <v>263</v>
      </c>
      <c r="N11" t="str">
        <f>IF(COUNTIF('NHÁP 1'!$D$3:$D$38,CONCATENATE(I11,"&amp;",N8))=1,VLOOKUP(CONCATENATE(I11,"&amp;",N8),'NHÁP 1'!$D$3:$J$38,7,0),IF(COUNTIF('NHÁP 1'!$I$3:$I$38,CONCATENATE(I11,"&amp;",N8))=1,VLOOKUP(CONCATENATE(I11,"&amp;",N8),'NHÁP 1'!$I$3:$K$38,3,0),""))</f>
        <v>PALESTINE HÒA</v>
      </c>
      <c r="P11" t="str">
        <f>IF(K11="","",IF(J11=J9,IF(K11=CONCATENATE(I11," THẮNG"),3,IF(K11=CONCATENATE(I11," HÒA"),1,0)),""))</f>
        <v/>
      </c>
      <c r="Q11" t="str">
        <f>IF(L11="","",IF(J11=J10,IF(L11=CONCATENATE(I11," THẮNG"),3,IF(L11=CONCATENATE(I11," HÒA"),1,0)),""))</f>
        <v/>
      </c>
      <c r="R11" t="str">
        <f>IF(N11="","",IF(J11=J12,IF(N11=CONCATENATE(I11," THẮNG"),3,IF(N11=CONCATENATE(I11," HÒA"),1,0)),""))</f>
        <v/>
      </c>
      <c r="W11" s="11">
        <v>43486</v>
      </c>
      <c r="X11" s="1">
        <v>0.45833333333333331</v>
      </c>
      <c r="Y11">
        <f>HOUR(X11)</f>
        <v>11</v>
      </c>
      <c r="Z11">
        <f>IF($D$3&gt;0,HOUR($D$2),IF($D$3&lt;0,-HOUR($D$2),0))</f>
        <v>7</v>
      </c>
      <c r="AA11">
        <f>IF(Y11+Z11&gt;=24,1,IF(Y11+Z11&lt;0,-1,0))</f>
        <v>0</v>
      </c>
    </row>
    <row r="12" spans="3:41" x14ac:dyDescent="0.25">
      <c r="C12" s="14">
        <v>43473</v>
      </c>
      <c r="D12" s="13">
        <v>0.66666666666666663</v>
      </c>
      <c r="E12" s="3">
        <f t="shared" si="2"/>
        <v>16</v>
      </c>
      <c r="F12">
        <f t="shared" si="0"/>
        <v>7</v>
      </c>
      <c r="G12">
        <f t="shared" si="1"/>
        <v>0</v>
      </c>
      <c r="I12" s="1" t="str">
        <f>'NHÁP 1'!N12</f>
        <v>SYRIA</v>
      </c>
      <c r="J12">
        <f>'NHÁP 1'!V12</f>
        <v>1</v>
      </c>
      <c r="K12" t="str">
        <f>IF(COUNTIF('NHÁP 1'!$D$3:$D$38,CONCATENATE(I12,"&amp;",K8))=1,VLOOKUP(CONCATENATE(I12,"&amp;",K8),'NHÁP 1'!$D$3:$J$38,7,0),IF(COUNTIF('NHÁP 1'!$I$3:$I$38,CONCATENATE(I12,"&amp;",K8))=1,VLOOKUP(CONCATENATE(I12,"&amp;",K8),'NHÁP 1'!$I$3:$K$38,3,0),""))</f>
        <v>SYRIA THUA</v>
      </c>
      <c r="L12" t="str">
        <f>IF(COUNTIF('NHÁP 1'!$D$3:$D$38,CONCATENATE(I12,"&amp;",L8))=1,VLOOKUP(CONCATENATE(I12,"&amp;",L8),'NHÁP 1'!$D$3:$J$38,7,0),IF(COUNTIF('NHÁP 1'!$I$3:$I$38,CONCATENATE(I12,"&amp;",L8))=1,VLOOKUP(CONCATENATE(I12,"&amp;",L8),'NHÁP 1'!$I$3:$K$38,3,0),""))</f>
        <v>SYRIA THUA</v>
      </c>
      <c r="M12" t="str">
        <f>IF(COUNTIF('NHÁP 1'!$D$3:$D$38,CONCATENATE(I12,"&amp;",M8))=1,VLOOKUP(CONCATENATE(I12,"&amp;",M8),'NHÁP 1'!$D$3:$J$38,7,0),IF(COUNTIF('NHÁP 1'!$I$3:$I$38,CONCATENATE(I12,"&amp;",M8))=1,VLOOKUP(CONCATENATE(I12,"&amp;",M8),'NHÁP 1'!$I$3:$K$38,3,0),""))</f>
        <v>SYRIA HÒA</v>
      </c>
      <c r="N12" t="s">
        <v>263</v>
      </c>
      <c r="P12" t="str">
        <f>IF(K12="","",IF(J12=J9,IF(K12=CONCATENATE(I12," THẮNG"),3,IF(K12=CONCATENATE(I12," HÒA"),1,0)),""))</f>
        <v/>
      </c>
      <c r="Q12" t="str">
        <f>IF(L12="","",IF(J12=J10,IF(L12=CONCATENATE(I12," THẮNG"),3,IF(L12=CONCATENATE(I12," HÒA"),1,0)),""))</f>
        <v/>
      </c>
      <c r="R12" t="str">
        <f>IF(M12="","",IF(J12=J11,IF(M12=CONCATENATE(I12," THẮNG"),3,IF(M12=CONCATENATE(I12," HÒA"),1,0)),""))</f>
        <v/>
      </c>
    </row>
    <row r="13" spans="3:41" x14ac:dyDescent="0.25">
      <c r="C13" s="14">
        <v>43474</v>
      </c>
      <c r="D13" s="13">
        <v>0.45833333333333331</v>
      </c>
      <c r="E13" s="3">
        <f t="shared" si="2"/>
        <v>11</v>
      </c>
      <c r="F13">
        <f t="shared" si="0"/>
        <v>7</v>
      </c>
      <c r="G13">
        <f t="shared" si="1"/>
        <v>0</v>
      </c>
      <c r="I13" s="15"/>
      <c r="J13" s="16"/>
    </row>
    <row r="14" spans="3:41" x14ac:dyDescent="0.25">
      <c r="C14" s="14">
        <v>43474</v>
      </c>
      <c r="D14" s="13">
        <v>0.5625</v>
      </c>
      <c r="E14" s="3">
        <f t="shared" si="2"/>
        <v>13</v>
      </c>
      <c r="F14">
        <f t="shared" si="0"/>
        <v>7</v>
      </c>
      <c r="G14">
        <f t="shared" si="1"/>
        <v>0</v>
      </c>
      <c r="K14" s="1" t="str">
        <f>'NHÁP 1'!N15</f>
        <v>CHINA P.R.</v>
      </c>
      <c r="L14" s="1" t="str">
        <f>'NHÁP 1'!N16</f>
        <v>KOREA REPUBLIC</v>
      </c>
      <c r="M14" s="1" t="str">
        <f>'NHÁP 1'!N17</f>
        <v>KYRGYZSTAN</v>
      </c>
      <c r="N14" s="1" t="str">
        <f>'NHÁP 1'!N18</f>
        <v>PHILIPPINES</v>
      </c>
      <c r="AK14" s="11">
        <v>43493</v>
      </c>
      <c r="AL14" s="1">
        <v>0.58333333333333337</v>
      </c>
      <c r="AM14">
        <f>HOUR(AL14)</f>
        <v>14</v>
      </c>
      <c r="AN14">
        <f>IF($D$3&gt;0,HOUR($D$2),IF($D$3&lt;0,-HOUR($D$2),0))</f>
        <v>7</v>
      </c>
      <c r="AO14">
        <f>IF(AM14+AN14&gt;=24,1,IF(AM14+AN14&lt;0,-1,0))</f>
        <v>0</v>
      </c>
    </row>
    <row r="15" spans="3:41" x14ac:dyDescent="0.25">
      <c r="C15" s="14">
        <v>43474</v>
      </c>
      <c r="D15" s="13">
        <v>0.66666666666666663</v>
      </c>
      <c r="E15" s="3">
        <f t="shared" si="2"/>
        <v>16</v>
      </c>
      <c r="F15">
        <f t="shared" si="0"/>
        <v>7</v>
      </c>
      <c r="G15">
        <f t="shared" si="1"/>
        <v>0</v>
      </c>
      <c r="I15" s="1" t="str">
        <f>'NHÁP 1'!N15</f>
        <v>CHINA P.R.</v>
      </c>
      <c r="J15">
        <f>'NHÁP 1'!V15</f>
        <v>6</v>
      </c>
      <c r="K15" t="s">
        <v>263</v>
      </c>
      <c r="L15" t="str">
        <f>IF(COUNTIF('NHÁP 1'!$D$3:$D$38,CONCATENATE(I15,"&amp;",L14))=1,VLOOKUP(CONCATENATE(I15,"&amp;",L14),'NHÁP 1'!$D$3:$J$38,7,0),IF(COUNTIF('NHÁP 1'!$I$3:$I$38,CONCATENATE(I15,"&amp;",L14))=1,VLOOKUP(CONCATENATE(I15,"&amp;",L14),'NHÁP 1'!$I$3:$K$38,3,0),""))</f>
        <v>CHINA P.R. THUA</v>
      </c>
      <c r="M15" t="str">
        <f>IF(COUNTIF('NHÁP 1'!$D$3:$D$38,CONCATENATE(I15,"&amp;",M14))=1,VLOOKUP(CONCATENATE(I15,"&amp;",M14),'NHÁP 1'!$D$3:$J$38,7,0),IF(COUNTIF('NHÁP 1'!$I$3:$I$38,CONCATENATE(I15,"&amp;",M14))=1,VLOOKUP(CONCATENATE(I15,"&amp;",M14),'NHÁP 1'!$I$3:$K$38,3,0),""))</f>
        <v>CHINA P.R. THẮNG</v>
      </c>
      <c r="N15" t="str">
        <f>IF(COUNTIF('NHÁP 1'!$D$3:$D$38,CONCATENATE(I15,"&amp;",N14))=1,VLOOKUP(CONCATENATE(I15,"&amp;",N14),'NHÁP 1'!$D$3:$J$38,7,0),IF(COUNTIF('NHÁP 1'!$I$3:$I$38,CONCATENATE(I15,"&amp;",N14))=1,VLOOKUP(CONCATENATE(I15,"&amp;",N14),'NHÁP 1'!$I$3:$K$38,3,0),""))</f>
        <v>CHINA P.R. THẮNG</v>
      </c>
      <c r="P15" t="str">
        <f>IF(L15="","",IF(J15=J16,IF(L15=CONCATENATE(I15," THẮNG"),3,IF(L15=CONCATENATE(I15," HÒA"),1,0)),""))</f>
        <v/>
      </c>
      <c r="Q15" t="str">
        <f>IF(M15="","",IF(J15=J17,IF(M15=CONCATENATE(I15," THẮNG"),3,IF(M15=CONCATENATE(I15," HÒA"),1,0)),""))</f>
        <v/>
      </c>
      <c r="R15" t="str">
        <f>IF(N15="","",IF(J15=J18,IF(N15=CONCATENATE(I15," THẮNG"),3,IF(N15=CONCATENATE(I15," HÒA"),1,0)),""))</f>
        <v/>
      </c>
    </row>
    <row r="16" spans="3:41" x14ac:dyDescent="0.25">
      <c r="C16" s="14">
        <v>43475</v>
      </c>
      <c r="D16" s="13">
        <v>0.45833333333333331</v>
      </c>
      <c r="E16" s="3">
        <f t="shared" si="2"/>
        <v>11</v>
      </c>
      <c r="F16">
        <f t="shared" si="0"/>
        <v>7</v>
      </c>
      <c r="G16">
        <f t="shared" si="1"/>
        <v>0</v>
      </c>
      <c r="I16" s="1" t="str">
        <f>'NHÁP 1'!N16</f>
        <v>KOREA REPUBLIC</v>
      </c>
      <c r="J16">
        <f>'NHÁP 1'!V16</f>
        <v>9</v>
      </c>
      <c r="K16" t="str">
        <f>IF(COUNTIF('NHÁP 1'!$D$3:$D$38,CONCATENATE(I16,"&amp;",K14))=1,VLOOKUP(CONCATENATE(I16,"&amp;",K14),'NHÁP 1'!$D$3:$J$38,7,0),IF(COUNTIF('NHÁP 1'!$I$3:$I$38,CONCATENATE(I16,"&amp;",K14))=1,VLOOKUP(CONCATENATE(I16,"&amp;",K14),'NHÁP 1'!$I$3:$K$38,3,0),""))</f>
        <v>KOREA REPUBLIC THẮNG</v>
      </c>
      <c r="L16" t="s">
        <v>263</v>
      </c>
      <c r="M16" t="str">
        <f>IF(COUNTIF('NHÁP 1'!$D$3:$D$38,CONCATENATE(I16,"&amp;",M14))=1,VLOOKUP(CONCATENATE(I16,"&amp;",M14),'NHÁP 1'!$D$3:$J$38,7,0),IF(COUNTIF('NHÁP 1'!$I$3:$I$38,CONCATENATE(I16,"&amp;",M14))=1,VLOOKUP(CONCATENATE(I16,"&amp;",M14),'NHÁP 1'!$I$3:$K$38,3,0),""))</f>
        <v>KOREA REPUBLIC THẮNG</v>
      </c>
      <c r="N16" t="str">
        <f>IF(COUNTIF('NHÁP 1'!$D$3:$D$38,CONCATENATE(I16,"&amp;",N14))=1,VLOOKUP(CONCATENATE(I16,"&amp;",N14),'NHÁP 1'!$D$3:$J$38,7,0),IF(COUNTIF('NHÁP 1'!$I$3:$I$38,CONCATENATE(I16,"&amp;",N14))=1,VLOOKUP(CONCATENATE(I16,"&amp;",N14),'NHÁP 1'!$I$3:$K$38,3,0),""))</f>
        <v>KOREA REPUBLIC THẮNG</v>
      </c>
      <c r="P16" t="str">
        <f>IF(K16="","",IF(J16=J15,IF(K16=CONCATENATE(I16," THẮNG"),3,IF(K16=CONCATENATE(I16," HÒA"),1,0)),""))</f>
        <v/>
      </c>
      <c r="Q16" t="str">
        <f>IF(M16="","",IF(J16=J17,IF(M16=CONCATENATE(I16," THẮNG"),3,IF(M16=CONCATENATE(I16," HÒA"),1,0)),""))</f>
        <v/>
      </c>
      <c r="R16" t="str">
        <f>IF(N16="","",IF(J16=J18,IF(N16=CONCATENATE(I16," THẮNG"),3,IF(N16=CONCATENATE(I16," HÒA"),1,0)),""))</f>
        <v/>
      </c>
    </row>
    <row r="17" spans="3:48" x14ac:dyDescent="0.25">
      <c r="C17" s="14">
        <v>43475</v>
      </c>
      <c r="D17" s="13">
        <v>0.5625</v>
      </c>
      <c r="E17" s="3">
        <f t="shared" si="2"/>
        <v>13</v>
      </c>
      <c r="F17">
        <f t="shared" si="0"/>
        <v>7</v>
      </c>
      <c r="G17">
        <f t="shared" si="1"/>
        <v>0</v>
      </c>
      <c r="I17" s="1" t="str">
        <f>'NHÁP 1'!N17</f>
        <v>KYRGYZSTAN</v>
      </c>
      <c r="J17">
        <f>'NHÁP 1'!V17</f>
        <v>3</v>
      </c>
      <c r="K17" t="str">
        <f>IF(COUNTIF('NHÁP 1'!$D$3:$D$38,CONCATENATE(I17,"&amp;",K14))=1,VLOOKUP(CONCATENATE(I17,"&amp;",K14),'NHÁP 1'!$D$3:$J$38,7,0),IF(COUNTIF('NHÁP 1'!$I$3:$I$38,CONCATENATE(I17,"&amp;",K14))=1,VLOOKUP(CONCATENATE(I17,"&amp;",K14),'NHÁP 1'!$I$3:$K$38,3,0),""))</f>
        <v>KYRGYZSTAN THUA</v>
      </c>
      <c r="L17" t="str">
        <f>IF(COUNTIF('NHÁP 1'!$D$3:$D$38,CONCATENATE(I17,"&amp;",L14))=1,VLOOKUP(CONCATENATE(I17,"&amp;",L14),'NHÁP 1'!$D$3:$J$38,7,0),IF(COUNTIF('NHÁP 1'!$I$3:$I$38,CONCATENATE(I17,"&amp;",L14))=1,VLOOKUP(CONCATENATE(I17,"&amp;",L14),'NHÁP 1'!$I$3:$K$38,3,0),""))</f>
        <v>KYRGYZSTAN THUA</v>
      </c>
      <c r="M17" t="s">
        <v>263</v>
      </c>
      <c r="N17" t="str">
        <f>IF(COUNTIF('NHÁP 1'!$D$3:$D$38,CONCATENATE(I17,"&amp;",N14))=1,VLOOKUP(CONCATENATE(I17,"&amp;",N14),'NHÁP 1'!$D$3:$J$38,7,0),IF(COUNTIF('NHÁP 1'!$I$3:$I$38,CONCATENATE(I17,"&amp;",N14))=1,VLOOKUP(CONCATENATE(I17,"&amp;",N14),'NHÁP 1'!$I$3:$K$38,3,0),""))</f>
        <v>KYRGYZSTAN THẮNG</v>
      </c>
      <c r="P17" t="str">
        <f>IF(K17="","",IF(J17=J15,IF(K17=CONCATENATE(I17," THẮNG"),3,IF(K17=CONCATENATE(I17," HÒA"),1,0)),""))</f>
        <v/>
      </c>
      <c r="Q17" t="str">
        <f>IF(L17="","",IF(J17=J16,IF(L17=CONCATENATE(I17," THẮNG"),3,IF(L17=CONCATENATE(I17," HÒA"),1,0)),""))</f>
        <v/>
      </c>
      <c r="R17" t="str">
        <f>IF(N17="","",IF(J17=J18,IF(N17=CONCATENATE(I17," THẮNG"),3,IF(N17=CONCATENATE(I17," HÒA"),1,0)),""))</f>
        <v/>
      </c>
      <c r="W17" s="11">
        <v>43485</v>
      </c>
      <c r="X17" s="1">
        <v>0.58333333333333337</v>
      </c>
      <c r="Y17">
        <f>HOUR(X17)</f>
        <v>14</v>
      </c>
      <c r="Z17">
        <f>IF($D$3&gt;0,HOUR($D$2),IF($D$3&lt;0,-HOUR($D$2),0))</f>
        <v>7</v>
      </c>
      <c r="AA17">
        <f>IF(Y17+Z17&gt;=24,1,IF(Y17+Z17&lt;0,-1,0))</f>
        <v>0</v>
      </c>
    </row>
    <row r="18" spans="3:48" x14ac:dyDescent="0.25">
      <c r="C18" s="14">
        <v>43475</v>
      </c>
      <c r="D18" s="13">
        <v>0.66666666666666663</v>
      </c>
      <c r="E18" s="3">
        <f t="shared" si="2"/>
        <v>16</v>
      </c>
      <c r="F18">
        <f t="shared" si="0"/>
        <v>7</v>
      </c>
      <c r="G18">
        <f t="shared" si="1"/>
        <v>0</v>
      </c>
      <c r="I18" s="1" t="str">
        <f>'NHÁP 1'!N18</f>
        <v>PHILIPPINES</v>
      </c>
      <c r="J18">
        <f>'NHÁP 1'!V18</f>
        <v>0</v>
      </c>
      <c r="K18" t="str">
        <f>IF(COUNTIF('NHÁP 1'!$D$3:$D$38,CONCATENATE(I18,"&amp;",K14))=1,VLOOKUP(CONCATENATE(I18,"&amp;",K14),'NHÁP 1'!$D$3:$J$38,7,0),IF(COUNTIF('NHÁP 1'!$I$3:$I$38,CONCATENATE(I18,"&amp;",K14))=1,VLOOKUP(CONCATENATE(I18,"&amp;",K14),'NHÁP 1'!$I$3:$K$38,3,0),""))</f>
        <v>PHILIPPINES THUA</v>
      </c>
      <c r="L18" t="str">
        <f>IF(COUNTIF('NHÁP 1'!$D$3:$D$38,CONCATENATE(I18,"&amp;",L14))=1,VLOOKUP(CONCATENATE(I18,"&amp;",L14),'NHÁP 1'!$D$3:$J$38,7,0),IF(COUNTIF('NHÁP 1'!$I$3:$I$38,CONCATENATE(I18,"&amp;",L14))=1,VLOOKUP(CONCATENATE(I18,"&amp;",L14),'NHÁP 1'!$I$3:$K$38,3,0),""))</f>
        <v>PHILIPPINES THUA</v>
      </c>
      <c r="M18" t="str">
        <f>IF(COUNTIF('NHÁP 1'!$D$3:$D$38,CONCATENATE(I18,"&amp;",M14))=1,VLOOKUP(CONCATENATE(I18,"&amp;",M14),'NHÁP 1'!$D$3:$J$38,7,0),IF(COUNTIF('NHÁP 1'!$I$3:$I$38,CONCATENATE(I18,"&amp;",M14))=1,VLOOKUP(CONCATENATE(I18,"&amp;",M14),'NHÁP 1'!$I$3:$K$38,3,0),""))</f>
        <v>PHILIPPINES THUA</v>
      </c>
      <c r="N18" t="s">
        <v>263</v>
      </c>
      <c r="P18" t="str">
        <f>IF(K18="","",IF(J18=J15,IF(K18=CONCATENATE(I18," THẮNG"),3,IF(K18=CONCATENATE(I18," HÒA"),1,0)),""))</f>
        <v/>
      </c>
      <c r="Q18" t="str">
        <f>IF(L18="","",IF(J18=J16,IF(L18=CONCATENATE(I18," THẮNG"),3,IF(L18=CONCATENATE(I18," HÒA"),1,0)),""))</f>
        <v/>
      </c>
      <c r="R18" t="str">
        <f>IF(M18="","",IF(J18=J17,IF(M18=CONCATENATE(I18," THẮNG"),3,IF(M18=CONCATENATE(I18," HÒA"),1,0)),""))</f>
        <v/>
      </c>
    </row>
    <row r="19" spans="3:48" x14ac:dyDescent="0.25">
      <c r="C19" s="14">
        <v>43476</v>
      </c>
      <c r="D19" s="13">
        <v>0.45833333333333331</v>
      </c>
      <c r="E19" s="3">
        <f t="shared" si="2"/>
        <v>11</v>
      </c>
      <c r="F19">
        <f t="shared" si="0"/>
        <v>7</v>
      </c>
      <c r="G19">
        <f t="shared" si="1"/>
        <v>0</v>
      </c>
      <c r="I19" s="15"/>
      <c r="J19" s="16"/>
    </row>
    <row r="20" spans="3:48" x14ac:dyDescent="0.25">
      <c r="C20" s="14">
        <v>43476</v>
      </c>
      <c r="D20" s="13">
        <v>0.5625</v>
      </c>
      <c r="E20" s="3">
        <f t="shared" si="2"/>
        <v>13</v>
      </c>
      <c r="F20">
        <f t="shared" si="0"/>
        <v>7</v>
      </c>
      <c r="G20">
        <f t="shared" si="1"/>
        <v>0</v>
      </c>
      <c r="K20" s="1" t="str">
        <f>'NHÁP 1'!N21</f>
        <v>IRAQ</v>
      </c>
      <c r="L20" s="1" t="str">
        <f>'NHÁP 1'!N22</f>
        <v>IRAN</v>
      </c>
      <c r="M20" s="1" t="str">
        <f>'NHÁP 1'!N23</f>
        <v>VIETNAM</v>
      </c>
      <c r="N20" s="1" t="str">
        <f>'NHÁP 1'!N24</f>
        <v>YEMEN</v>
      </c>
      <c r="AD20" s="11">
        <v>43489</v>
      </c>
      <c r="AE20" s="1">
        <v>0.66666666666666663</v>
      </c>
      <c r="AF20">
        <f>HOUR(AE20)</f>
        <v>16</v>
      </c>
      <c r="AG20">
        <f>IF($D$3&gt;0,HOUR($D$2),IF($D$3&lt;0,-HOUR($D$2),0))</f>
        <v>7</v>
      </c>
      <c r="AH20">
        <f>IF(AF20+AG20&gt;=24,1,IF(AF20+AG20&lt;0,-1,0))</f>
        <v>0</v>
      </c>
    </row>
    <row r="21" spans="3:48" x14ac:dyDescent="0.25">
      <c r="C21" s="14">
        <v>43476</v>
      </c>
      <c r="D21" s="13">
        <v>0.66666666666666663</v>
      </c>
      <c r="E21" s="3">
        <f t="shared" si="2"/>
        <v>16</v>
      </c>
      <c r="F21">
        <f t="shared" si="0"/>
        <v>7</v>
      </c>
      <c r="G21">
        <f t="shared" si="1"/>
        <v>0</v>
      </c>
      <c r="I21" s="1" t="str">
        <f>'NHÁP 1'!N21</f>
        <v>IRAQ</v>
      </c>
      <c r="J21">
        <f>'NHÁP 1'!V21</f>
        <v>7</v>
      </c>
      <c r="K21" t="s">
        <v>263</v>
      </c>
      <c r="L21" t="str">
        <f>IF(COUNTIF('NHÁP 1'!$D$3:$D$38,CONCATENATE(I21,"&amp;",L20))=1,VLOOKUP(CONCATENATE(I21,"&amp;",L20),'NHÁP 1'!$D$3:$J$38,7,0),IF(COUNTIF('NHÁP 1'!$I$3:$I$38,CONCATENATE(I21,"&amp;",L20))=1,VLOOKUP(CONCATENATE(I21,"&amp;",L20),'NHÁP 1'!$I$3:$K$38,3,0),""))</f>
        <v>IRAQ HÒA</v>
      </c>
      <c r="M21" t="str">
        <f>IF(COUNTIF('NHÁP 1'!$D$3:$D$38,CONCATENATE(I21,"&amp;",M20))=1,VLOOKUP(CONCATENATE(I21,"&amp;",M20),'NHÁP 1'!$D$3:$J$38,7,0),IF(COUNTIF('NHÁP 1'!$I$3:$I$38,CONCATENATE(I21,"&amp;",M20))=1,VLOOKUP(CONCATENATE(I21,"&amp;",M20),'NHÁP 1'!$I$3:$K$38,3,0),""))</f>
        <v>IRAQ THẮNG</v>
      </c>
      <c r="N21" t="str">
        <f>IF(COUNTIF('NHÁP 1'!$D$3:$D$38,CONCATENATE(I21,"&amp;",N20))=1,VLOOKUP(CONCATENATE(I21,"&amp;",N20),'NHÁP 1'!$D$3:$J$38,7,0),IF(COUNTIF('NHÁP 1'!$I$3:$I$38,CONCATENATE(I21,"&amp;",N20))=1,VLOOKUP(CONCATENATE(I21,"&amp;",N20),'NHÁP 1'!$I$3:$K$38,3,0),""))</f>
        <v>IRAQ THẮNG</v>
      </c>
      <c r="P21">
        <f>IF(L21="","",IF(J21=J22,IF(L21=CONCATENATE(I21," THẮNG"),3,IF(L21=CONCATENATE(I21," HÒA"),1,0)),""))</f>
        <v>1</v>
      </c>
      <c r="Q21" t="str">
        <f>IF(M21="","",IF(J21=J23,IF(M21=CONCATENATE(I21," THẮNG"),3,IF(M21=CONCATENATE(I21," HÒA"),1,0)),""))</f>
        <v/>
      </c>
      <c r="R21" t="str">
        <f>IF(N21="","",IF(J21=J24,IF(N21=CONCATENATE(I21," THẮNG"),3,IF(N21=CONCATENATE(I21," HÒA"),1,0)),""))</f>
        <v/>
      </c>
    </row>
    <row r="22" spans="3:48" x14ac:dyDescent="0.25">
      <c r="C22" s="14">
        <v>43477</v>
      </c>
      <c r="D22" s="13">
        <v>0.45833333333333331</v>
      </c>
      <c r="E22" s="3">
        <f t="shared" si="2"/>
        <v>11</v>
      </c>
      <c r="F22">
        <f t="shared" si="0"/>
        <v>7</v>
      </c>
      <c r="G22">
        <f t="shared" si="1"/>
        <v>0</v>
      </c>
      <c r="I22" s="1" t="str">
        <f>'NHÁP 1'!N22</f>
        <v>IRAN</v>
      </c>
      <c r="J22">
        <f>'NHÁP 1'!V22</f>
        <v>7</v>
      </c>
      <c r="K22" t="str">
        <f>IF(COUNTIF('NHÁP 1'!$D$3:$D$38,CONCATENATE(I22,"&amp;",K20))=1,VLOOKUP(CONCATENATE(I22,"&amp;",K20),'NHÁP 1'!$D$3:$J$38,7,0),IF(COUNTIF('NHÁP 1'!$I$3:$I$38,CONCATENATE(I22,"&amp;",K20))=1,VLOOKUP(CONCATENATE(I22,"&amp;",K20),'NHÁP 1'!$I$3:$K$38,3,0),""))</f>
        <v>IRAN HÒA</v>
      </c>
      <c r="L22" t="s">
        <v>263</v>
      </c>
      <c r="M22" t="str">
        <f>IF(COUNTIF('NHÁP 1'!$D$3:$D$38,CONCATENATE(I22,"&amp;",M20))=1,VLOOKUP(CONCATENATE(I22,"&amp;",M20),'NHÁP 1'!$D$3:$J$38,7,0),IF(COUNTIF('NHÁP 1'!$I$3:$I$38,CONCATENATE(I22,"&amp;",M20))=1,VLOOKUP(CONCATENATE(I22,"&amp;",M20),'NHÁP 1'!$I$3:$K$38,3,0),""))</f>
        <v>IRAN THẮNG</v>
      </c>
      <c r="N22" t="str">
        <f>IF(COUNTIF('NHÁP 1'!$D$3:$D$38,CONCATENATE(I22,"&amp;",N20))=1,VLOOKUP(CONCATENATE(I22,"&amp;",N20),'NHÁP 1'!$D$3:$J$38,7,0),IF(COUNTIF('NHÁP 1'!$I$3:$I$38,CONCATENATE(I22,"&amp;",N20))=1,VLOOKUP(CONCATENATE(I22,"&amp;",N20),'NHÁP 1'!$I$3:$K$38,3,0),""))</f>
        <v>IRAN THẮNG</v>
      </c>
      <c r="P22">
        <f>IF(K22="","",IF(J22=J21,IF(K22=CONCATENATE(I22," THẮNG"),3,IF(K22=CONCATENATE(I22," HÒA"),1,0)),""))</f>
        <v>1</v>
      </c>
      <c r="Q22" t="str">
        <f>IF(M22="","",IF(J22=J23,IF(M22=CONCATENATE(I22," THẮNG"),3,IF(M22=CONCATENATE(I22," HÒA"),1,0)),""))</f>
        <v/>
      </c>
      <c r="R22" t="str">
        <f>IF(N22="","",IF(J22=J24,IF(N22=CONCATENATE(I22," THẮNG"),3,IF(N22=CONCATENATE(I22," HÒA"),1,0)),""))</f>
        <v/>
      </c>
    </row>
    <row r="23" spans="3:48" x14ac:dyDescent="0.25">
      <c r="C23" s="14">
        <v>43477</v>
      </c>
      <c r="D23" s="13">
        <v>0.5625</v>
      </c>
      <c r="E23" s="3">
        <f t="shared" si="2"/>
        <v>13</v>
      </c>
      <c r="F23">
        <f t="shared" si="0"/>
        <v>7</v>
      </c>
      <c r="G23">
        <f t="shared" si="1"/>
        <v>0</v>
      </c>
      <c r="I23" s="1" t="str">
        <f>'NHÁP 1'!N23</f>
        <v>VIETNAM</v>
      </c>
      <c r="J23">
        <f>'NHÁP 1'!V23</f>
        <v>3</v>
      </c>
      <c r="K23" t="str">
        <f>IF(COUNTIF('NHÁP 1'!$D$3:$D$38,CONCATENATE(I23,"&amp;",K20))=1,VLOOKUP(CONCATENATE(I23,"&amp;",K20),'NHÁP 1'!$D$3:$J$38,7,0),IF(COUNTIF('NHÁP 1'!$I$3:$I$38,CONCATENATE(I23,"&amp;",K20))=1,VLOOKUP(CONCATENATE(I23,"&amp;",K20),'NHÁP 1'!$I$3:$K$38,3,0),""))</f>
        <v>VIETNAM THUA</v>
      </c>
      <c r="L23" t="str">
        <f>IF(COUNTIF('NHÁP 1'!$D$3:$D$38,CONCATENATE(I23,"&amp;",L20))=1,VLOOKUP(CONCATENATE(I23,"&amp;",L20),'NHÁP 1'!$D$3:$J$38,7,0),IF(COUNTIF('NHÁP 1'!$I$3:$I$38,CONCATENATE(I23,"&amp;",L20))=1,VLOOKUP(CONCATENATE(I23,"&amp;",L20),'NHÁP 1'!$I$3:$K$38,3,0),""))</f>
        <v>VIETNAM THUA</v>
      </c>
      <c r="M23" t="s">
        <v>263</v>
      </c>
      <c r="N23" t="str">
        <f>IF(COUNTIF('NHÁP 1'!$D$3:$D$38,CONCATENATE(I23,"&amp;",N20))=1,VLOOKUP(CONCATENATE(I23,"&amp;",N20),'NHÁP 1'!$D$3:$J$38,7,0),IF(COUNTIF('NHÁP 1'!$I$3:$I$38,CONCATENATE(I23,"&amp;",N20))=1,VLOOKUP(CONCATENATE(I23,"&amp;",N20),'NHÁP 1'!$I$3:$K$38,3,0),""))</f>
        <v>VIETNAM THẮNG</v>
      </c>
      <c r="P23" t="str">
        <f>IF(K23="","",IF(J23=J21,IF(K23=CONCATENATE(I23," THẮNG"),3,IF(K23=CONCATENATE(I23," HÒA"),1,0)),""))</f>
        <v/>
      </c>
      <c r="Q23" t="str">
        <f>IF(L23="","",IF(J23=J22,IF(L23=CONCATENATE(I23," THẮNG"),3,IF(L23=CONCATENATE(I23," HÒA"),1,0)),""))</f>
        <v/>
      </c>
      <c r="R23" t="str">
        <f>IF(N23="","",IF(J23=J24,IF(N23=CONCATENATE(I23," THẮNG"),3,IF(N23=CONCATENATE(I23," HÒA"),1,0)),""))</f>
        <v/>
      </c>
      <c r="W23" s="11">
        <v>43485</v>
      </c>
      <c r="X23" s="1">
        <v>0.70833333333333337</v>
      </c>
      <c r="Y23">
        <f>HOUR(X23)</f>
        <v>17</v>
      </c>
      <c r="Z23">
        <f>IF($D$3&gt;0,HOUR($D$2),IF($D$3&lt;0,-HOUR($D$2),0))</f>
        <v>7</v>
      </c>
      <c r="AA23">
        <f>IF(Y23+Z23&gt;=24,1,IF(Y23+Z23&lt;0,-1,0))</f>
        <v>1</v>
      </c>
    </row>
    <row r="24" spans="3:48" x14ac:dyDescent="0.25">
      <c r="C24" s="14">
        <v>43477</v>
      </c>
      <c r="D24" s="13">
        <v>0.66666666666666663</v>
      </c>
      <c r="E24" s="3">
        <f t="shared" si="2"/>
        <v>16</v>
      </c>
      <c r="F24">
        <f t="shared" si="0"/>
        <v>7</v>
      </c>
      <c r="G24">
        <f t="shared" si="1"/>
        <v>0</v>
      </c>
      <c r="I24" s="1" t="str">
        <f>'NHÁP 1'!N24</f>
        <v>YEMEN</v>
      </c>
      <c r="J24">
        <f>'NHÁP 1'!V24</f>
        <v>0</v>
      </c>
      <c r="K24" t="str">
        <f>IF(COUNTIF('NHÁP 1'!$D$3:$D$38,CONCATENATE(I24,"&amp;",K20))=1,VLOOKUP(CONCATENATE(I24,"&amp;",K20),'NHÁP 1'!$D$3:$J$38,7,0),IF(COUNTIF('NHÁP 1'!$I$3:$I$38,CONCATENATE(I24,"&amp;",K20))=1,VLOOKUP(CONCATENATE(I24,"&amp;",K20),'NHÁP 1'!$I$3:$K$38,3,0),""))</f>
        <v>YEMEN THUA</v>
      </c>
      <c r="L24" t="str">
        <f>IF(COUNTIF('NHÁP 1'!$D$3:$D$38,CONCATENATE(I24,"&amp;",L20))=1,VLOOKUP(CONCATENATE(I24,"&amp;",L20),'NHÁP 1'!$D$3:$J$38,7,0),IF(COUNTIF('NHÁP 1'!$I$3:$I$38,CONCATENATE(I24,"&amp;",L20))=1,VLOOKUP(CONCATENATE(I24,"&amp;",L20),'NHÁP 1'!$I$3:$K$38,3,0),""))</f>
        <v>YEMEN THUA</v>
      </c>
      <c r="M24" t="str">
        <f>IF(COUNTIF('NHÁP 1'!$D$3:$D$38,CONCATENATE(I24,"&amp;",M20))=1,VLOOKUP(CONCATENATE(I24,"&amp;",M20),'NHÁP 1'!$D$3:$J$38,7,0),IF(COUNTIF('NHÁP 1'!$I$3:$I$38,CONCATENATE(I24,"&amp;",M20))=1,VLOOKUP(CONCATENATE(I24,"&amp;",M20),'NHÁP 1'!$I$3:$K$38,3,0),""))</f>
        <v>YEMEN THUA</v>
      </c>
      <c r="N24" t="s">
        <v>263</v>
      </c>
      <c r="P24" t="str">
        <f>IF(K24="","",IF(J24=J21,IF(K24=CONCATENATE(I24," THẮNG"),3,IF(K24=CONCATENATE(I24," HÒA"),1,0)),""))</f>
        <v/>
      </c>
      <c r="Q24" t="str">
        <f>IF(L24="","",IF(J24=J22,IF(L24=CONCATENATE(I24," THẮNG"),3,IF(L24=CONCATENATE(I24," HÒA"),1,0)),""))</f>
        <v/>
      </c>
      <c r="R24" t="str">
        <f>IF(M24="","",IF(J24=J23,IF(M24=CONCATENATE(I24," THẮNG"),3,IF(M24=CONCATENATE(I24," HÒA"),1,0)),""))</f>
        <v/>
      </c>
    </row>
    <row r="25" spans="3:48" x14ac:dyDescent="0.25">
      <c r="C25" s="14">
        <v>43478</v>
      </c>
      <c r="D25" s="13">
        <v>0.45833333333333331</v>
      </c>
      <c r="E25" s="3">
        <f t="shared" si="2"/>
        <v>11</v>
      </c>
      <c r="F25">
        <f t="shared" si="0"/>
        <v>7</v>
      </c>
      <c r="G25">
        <f t="shared" si="1"/>
        <v>0</v>
      </c>
      <c r="I25" s="15"/>
      <c r="J25" s="16"/>
    </row>
    <row r="26" spans="3:48" x14ac:dyDescent="0.25">
      <c r="C26" s="14">
        <v>43478</v>
      </c>
      <c r="D26" s="13">
        <v>0.5625</v>
      </c>
      <c r="E26" s="3">
        <f t="shared" si="2"/>
        <v>13</v>
      </c>
      <c r="F26">
        <f t="shared" si="0"/>
        <v>7</v>
      </c>
      <c r="G26">
        <f t="shared" si="1"/>
        <v>0</v>
      </c>
      <c r="K26" s="1" t="str">
        <f>'NHÁP 1'!N27</f>
        <v>DPR KOREA</v>
      </c>
      <c r="L26" s="1" t="str">
        <f>'NHÁP 1'!N28</f>
        <v>LEBANON</v>
      </c>
      <c r="M26" s="1" t="str">
        <f>'NHÁP 1'!N29</f>
        <v>QATAR</v>
      </c>
      <c r="N26" s="1" t="str">
        <f>'NHÁP 1'!N30</f>
        <v>SAUDI ARABIA</v>
      </c>
      <c r="AR26" s="11">
        <v>43497</v>
      </c>
      <c r="AS26" s="1">
        <v>0.58333333333333337</v>
      </c>
      <c r="AT26">
        <f>HOUR(AS26)</f>
        <v>14</v>
      </c>
      <c r="AU26">
        <f>IF($D$3&gt;0,HOUR($D$2),IF($D$3&lt;0,-HOUR($D$2),0))</f>
        <v>7</v>
      </c>
      <c r="AV26">
        <f>IF(AT26+AU26&gt;=24,1,IF(AT26+AU26&lt;0,-1,0))</f>
        <v>0</v>
      </c>
    </row>
    <row r="27" spans="3:48" x14ac:dyDescent="0.25">
      <c r="C27" s="14">
        <v>43478</v>
      </c>
      <c r="D27" s="13">
        <v>0.66666666666666663</v>
      </c>
      <c r="E27" s="3">
        <f t="shared" si="2"/>
        <v>16</v>
      </c>
      <c r="F27">
        <f>IF($D$3&gt;0,HOUR($D$2),IF($D$3&lt;0,-HOUR($D$2),0))</f>
        <v>7</v>
      </c>
      <c r="G27">
        <f t="shared" si="1"/>
        <v>0</v>
      </c>
      <c r="I27" s="1" t="str">
        <f>'NHÁP 1'!N27</f>
        <v>DPR KOREA</v>
      </c>
      <c r="J27">
        <f>'NHÁP 1'!V27</f>
        <v>0</v>
      </c>
      <c r="K27" t="s">
        <v>263</v>
      </c>
      <c r="L27" t="str">
        <f>IF(COUNTIF('NHÁP 1'!$D$3:$D$38,CONCATENATE(I27,"&amp;",L26))=1,VLOOKUP(CONCATENATE(I27,"&amp;",L26),'NHÁP 1'!$D$3:$J$38,7,0),IF(COUNTIF('NHÁP 1'!$I$3:$I$38,CONCATENATE(I27,"&amp;",L26))=1,VLOOKUP(CONCATENATE(I27,"&amp;",L26),'NHÁP 1'!$I$3:$K$38,3,0),""))</f>
        <v>DPR KOREA THUA</v>
      </c>
      <c r="M27" t="str">
        <f>IF(COUNTIF('NHÁP 1'!$D$3:$D$38,CONCATENATE(I27,"&amp;",M26))=1,VLOOKUP(CONCATENATE(I27,"&amp;",M26),'NHÁP 1'!$D$3:$J$38,7,0),IF(COUNTIF('NHÁP 1'!$I$3:$I$38,CONCATENATE(I27,"&amp;",M26))=1,VLOOKUP(CONCATENATE(I27,"&amp;",M26),'NHÁP 1'!$I$3:$K$38,3,0),""))</f>
        <v>DPR KOREA THUA</v>
      </c>
      <c r="N27" t="str">
        <f>IF(COUNTIF('NHÁP 1'!$D$3:$D$38,CONCATENATE(I27,"&amp;",N26))=1,VLOOKUP(CONCATENATE(I27,"&amp;",N26),'NHÁP 1'!$D$3:$J$38,7,0),IF(COUNTIF('NHÁP 1'!$I$3:$I$38,CONCATENATE(I27,"&amp;",N26))=1,VLOOKUP(CONCATENATE(I27,"&amp;",N26),'NHÁP 1'!$I$3:$K$38,3,0),""))</f>
        <v>DPR KOREA THUA</v>
      </c>
      <c r="P27" t="str">
        <f>IF(L27="","",IF(J27=J28,IF(L27=CONCATENATE(I27," THẮNG"),3,IF(L27=CONCATENATE(I27," HÒA"),1,0)),""))</f>
        <v/>
      </c>
      <c r="Q27" t="str">
        <f>IF(M27="","",IF(J27=J29,IF(M27=CONCATENATE(I27," THẮNG"),3,IF(M27=CONCATENATE(I27," HÒA"),1,0)),""))</f>
        <v/>
      </c>
      <c r="R27" t="str">
        <f>IF(N27="","",IF(J27=J30,IF(N27=CONCATENATE(I27," THẮNG"),3,IF(N27=CONCATENATE(I27," HÒA"),1,0)),""))</f>
        <v/>
      </c>
    </row>
    <row r="28" spans="3:48" x14ac:dyDescent="0.25">
      <c r="C28" s="14">
        <v>43479</v>
      </c>
      <c r="D28" s="116">
        <v>0.66666666666666663</v>
      </c>
      <c r="E28" s="118">
        <f t="shared" si="2"/>
        <v>16</v>
      </c>
      <c r="F28" s="117">
        <f>IF($D$3&gt;0,HOUR($D$2),IF($D$3&lt;0,-HOUR($D$2),0))</f>
        <v>7</v>
      </c>
      <c r="G28" s="117">
        <f>IF(E28+F28&gt;=24,1,IF(E28+F28&lt;0,-1,0))</f>
        <v>0</v>
      </c>
      <c r="I28" s="1" t="str">
        <f>'NHÁP 1'!N28</f>
        <v>LEBANON</v>
      </c>
      <c r="J28">
        <f>'NHÁP 1'!V28</f>
        <v>3</v>
      </c>
      <c r="K28" t="str">
        <f>IF(COUNTIF('NHÁP 1'!$D$3:$D$38,CONCATENATE(I28,"&amp;",K26))=1,VLOOKUP(CONCATENATE(I28,"&amp;",K26),'NHÁP 1'!$D$3:$J$38,7,0),IF(COUNTIF('NHÁP 1'!$I$3:$I$38,CONCATENATE(I28,"&amp;",K26))=1,VLOOKUP(CONCATENATE(I28,"&amp;",K26),'NHÁP 1'!$I$3:$K$38,3,0),""))</f>
        <v>LEBANON THẮNG</v>
      </c>
      <c r="L28" t="s">
        <v>263</v>
      </c>
      <c r="M28" t="str">
        <f>IF(COUNTIF('NHÁP 1'!$D$3:$D$38,CONCATENATE(I28,"&amp;",M26))=1,VLOOKUP(CONCATENATE(I28,"&amp;",M26),'NHÁP 1'!$D$3:$J$38,7,0),IF(COUNTIF('NHÁP 1'!$I$3:$I$38,CONCATENATE(I28,"&amp;",M26))=1,VLOOKUP(CONCATENATE(I28,"&amp;",M26),'NHÁP 1'!$I$3:$K$38,3,0),""))</f>
        <v>LEBANON THUA</v>
      </c>
      <c r="N28" t="str">
        <f>IF(COUNTIF('NHÁP 1'!$D$3:$D$38,CONCATENATE(I28,"&amp;",N26))=1,VLOOKUP(CONCATENATE(I28,"&amp;",N26),'NHÁP 1'!$D$3:$J$38,7,0),IF(COUNTIF('NHÁP 1'!$I$3:$I$38,CONCATENATE(I28,"&amp;",N26))=1,VLOOKUP(CONCATENATE(I28,"&amp;",N26),'NHÁP 1'!$I$3:$K$38,3,0),""))</f>
        <v>LEBANON THUA</v>
      </c>
      <c r="P28" t="str">
        <f>IF(K28="","",IF(J28=J27,IF(K28=CONCATENATE(I28," THẮNG"),3,IF(K28=CONCATENATE(I28," HÒA"),1,0)),""))</f>
        <v/>
      </c>
      <c r="Q28" t="str">
        <f>IF(M28="","",IF(J28=J29,IF(M28=CONCATENATE(I28," THẮNG"),3,IF(M28=CONCATENATE(I28," HÒA"),1,0)),""))</f>
        <v/>
      </c>
      <c r="R28" t="str">
        <f>IF(N28="","",IF(J28=J30,IF(N28=CONCATENATE(I28," THẮNG"),3,IF(N28=CONCATENATE(I28," HÒA"),1,0)),""))</f>
        <v/>
      </c>
    </row>
    <row r="29" spans="3:48" x14ac:dyDescent="0.25">
      <c r="C29" s="14">
        <v>43479</v>
      </c>
      <c r="D29" s="116">
        <v>0.66666666666666663</v>
      </c>
      <c r="E29" s="118">
        <f t="shared" si="2"/>
        <v>16</v>
      </c>
      <c r="F29" s="117">
        <f t="shared" ref="F29:F39" si="3">IF($D$3&gt;0,HOUR($D$2),IF($D$3&lt;0,-HOUR($D$2),0))</f>
        <v>7</v>
      </c>
      <c r="G29" s="117">
        <f t="shared" ref="G29:G39" si="4">IF(E29+F29&gt;=24,1,IF(E29+F29&lt;0,-1,0))</f>
        <v>0</v>
      </c>
      <c r="I29" s="1" t="str">
        <f>'NHÁP 1'!N29</f>
        <v>QATAR</v>
      </c>
      <c r="J29">
        <f>'NHÁP 1'!V29</f>
        <v>9</v>
      </c>
      <c r="K29" t="str">
        <f>IF(COUNTIF('NHÁP 1'!$D$3:$D$38,CONCATENATE(I29,"&amp;",K26))=1,VLOOKUP(CONCATENATE(I29,"&amp;",K26),'NHÁP 1'!$D$3:$J$38,7,0),IF(COUNTIF('NHÁP 1'!$I$3:$I$38,CONCATENATE(I29,"&amp;",K26))=1,VLOOKUP(CONCATENATE(I29,"&amp;",K26),'NHÁP 1'!$I$3:$K$38,3,0),""))</f>
        <v>QATAR THẮNG</v>
      </c>
      <c r="L29" t="str">
        <f>IF(COUNTIF('NHÁP 1'!$D$3:$D$38,CONCATENATE(I29,"&amp;",L26))=1,VLOOKUP(CONCATENATE(I29,"&amp;",L26),'NHÁP 1'!$D$3:$J$38,7,0),IF(COUNTIF('NHÁP 1'!$I$3:$I$38,CONCATENATE(I29,"&amp;",L26))=1,VLOOKUP(CONCATENATE(I29,"&amp;",L26),'NHÁP 1'!$I$3:$K$38,3,0),""))</f>
        <v>QATAR THẮNG</v>
      </c>
      <c r="M29" t="s">
        <v>263</v>
      </c>
      <c r="N29" t="str">
        <f>IF(COUNTIF('NHÁP 1'!$D$3:$D$38,CONCATENATE(I29,"&amp;",N26))=1,VLOOKUP(CONCATENATE(I29,"&amp;",N26),'NHÁP 1'!$D$3:$J$38,7,0),IF(COUNTIF('NHÁP 1'!$I$3:$I$38,CONCATENATE(I29,"&amp;",N26))=1,VLOOKUP(CONCATENATE(I29,"&amp;",N26),'NHÁP 1'!$I$3:$K$38,3,0),""))</f>
        <v>QATAR THẮNG</v>
      </c>
      <c r="P29" t="str">
        <f>IF(K29="","",IF(J29=J27,IF(K29=CONCATENATE(I29," THẮNG"),3,IF(K29=CONCATENATE(I29," HÒA"),1,0)),""))</f>
        <v/>
      </c>
      <c r="Q29" t="str">
        <f>IF(L29="","",IF(J29=J28,IF(L29=CONCATENATE(I29," THẮNG"),3,IF(L29=CONCATENATE(I29," HÒA"),1,0)),""))</f>
        <v/>
      </c>
      <c r="R29" t="str">
        <f>IF(N29="","",IF(J29=J30,IF(N29=CONCATENATE(I29," THẮNG"),3,IF(N29=CONCATENATE(I29," HÒA"),1,0)),""))</f>
        <v/>
      </c>
      <c r="W29" s="11">
        <v>43486</v>
      </c>
      <c r="X29" s="1">
        <v>0.58333333333333337</v>
      </c>
      <c r="Y29">
        <f>HOUR(X29)</f>
        <v>14</v>
      </c>
      <c r="Z29">
        <f>IF($D$3&gt;0,HOUR($D$2),IF($D$3&lt;0,-HOUR($D$2),0))</f>
        <v>7</v>
      </c>
      <c r="AA29">
        <f>IF(Y29+Z29&gt;=24,1,IF(Y29+Z29&lt;0,-1,0))</f>
        <v>0</v>
      </c>
    </row>
    <row r="30" spans="3:48" x14ac:dyDescent="0.25">
      <c r="C30" s="14">
        <v>43480</v>
      </c>
      <c r="D30" s="116">
        <v>0.5625</v>
      </c>
      <c r="E30" s="118">
        <f t="shared" si="2"/>
        <v>13</v>
      </c>
      <c r="F30" s="117">
        <f t="shared" si="3"/>
        <v>7</v>
      </c>
      <c r="G30" s="117">
        <f t="shared" si="4"/>
        <v>0</v>
      </c>
      <c r="I30" s="1" t="str">
        <f>'NHÁP 1'!N30</f>
        <v>SAUDI ARABIA</v>
      </c>
      <c r="J30">
        <f>'NHÁP 1'!V30</f>
        <v>6</v>
      </c>
      <c r="K30" t="str">
        <f>IF(COUNTIF('NHÁP 1'!$D$3:$D$38,CONCATENATE(I30,"&amp;",K26))=1,VLOOKUP(CONCATENATE(I30,"&amp;",K26),'NHÁP 1'!$D$3:$J$38,7,0),IF(COUNTIF('NHÁP 1'!$I$3:$I$38,CONCATENATE(I30,"&amp;",K26))=1,VLOOKUP(CONCATENATE(I30,"&amp;",K26),'NHÁP 1'!$I$3:$K$38,3,0),""))</f>
        <v>SAUDI ARABIA THẮNG</v>
      </c>
      <c r="L30" t="str">
        <f>IF(COUNTIF('NHÁP 1'!$D$3:$D$38,CONCATENATE(I30,"&amp;",L26))=1,VLOOKUP(CONCATENATE(I30,"&amp;",L26),'NHÁP 1'!$D$3:$J$38,7,0),IF(COUNTIF('NHÁP 1'!$I$3:$I$38,CONCATENATE(I30,"&amp;",L26))=1,VLOOKUP(CONCATENATE(I30,"&amp;",L26),'NHÁP 1'!$I$3:$K$38,3,0),""))</f>
        <v>SAUDI ARABIA THẮNG</v>
      </c>
      <c r="M30" t="str">
        <f>IF(COUNTIF('NHÁP 1'!$D$3:$D$38,CONCATENATE(I30,"&amp;",M26))=1,VLOOKUP(CONCATENATE(I30,"&amp;",M26),'NHÁP 1'!$D$3:$J$38,7,0),IF(COUNTIF('NHÁP 1'!$I$3:$I$38,CONCATENATE(I30,"&amp;",M26))=1,VLOOKUP(CONCATENATE(I30,"&amp;",M26),'NHÁP 1'!$I$3:$K$38,3,0),""))</f>
        <v>SAUDI ARABIA THUA</v>
      </c>
      <c r="N30" t="s">
        <v>263</v>
      </c>
      <c r="P30" t="str">
        <f>IF(K30="","",IF(J30=J27,IF(K30=CONCATENATE(I30," THẮNG"),3,IF(K30=CONCATENATE(I30," HÒA"),1,0)),""))</f>
        <v/>
      </c>
      <c r="Q30" t="str">
        <f>IF(L30="","",IF(J30=J28,IF(L30=CONCATENATE(I30," THẮNG"),3,IF(L30=CONCATENATE(I30," HÒA"),1,0)),""))</f>
        <v/>
      </c>
      <c r="R30" t="str">
        <f>IF(M30="","",IF(J30=J29,IF(M30=CONCATENATE(I30," THẮNG"),3,IF(M30=CONCATENATE(I30," HÒA"),1,0)),""))</f>
        <v/>
      </c>
    </row>
    <row r="31" spans="3:48" x14ac:dyDescent="0.25">
      <c r="C31" s="14">
        <v>43480</v>
      </c>
      <c r="D31" s="116">
        <v>0.5625</v>
      </c>
      <c r="E31" s="118">
        <f t="shared" si="2"/>
        <v>13</v>
      </c>
      <c r="F31" s="117">
        <f t="shared" si="3"/>
        <v>7</v>
      </c>
      <c r="G31" s="117">
        <f t="shared" si="4"/>
        <v>0</v>
      </c>
      <c r="I31" s="17"/>
      <c r="J31" s="16"/>
    </row>
    <row r="32" spans="3:48" x14ac:dyDescent="0.25">
      <c r="C32" s="114">
        <v>43481</v>
      </c>
      <c r="D32" s="116">
        <v>0.5625</v>
      </c>
      <c r="E32" s="118">
        <f t="shared" si="2"/>
        <v>13</v>
      </c>
      <c r="F32" s="117">
        <f t="shared" si="3"/>
        <v>7</v>
      </c>
      <c r="G32" s="117">
        <f t="shared" si="4"/>
        <v>0</v>
      </c>
      <c r="K32" s="1" t="str">
        <f>'NHÁP 1'!N33</f>
        <v>JAPAN</v>
      </c>
      <c r="L32" s="1" t="str">
        <f>'NHÁP 1'!N34</f>
        <v>OMAN</v>
      </c>
      <c r="M32" s="1" t="str">
        <f>'NHÁP 1'!N35</f>
        <v>TURKMENISTAN</v>
      </c>
      <c r="N32" s="1" t="str">
        <f>'NHÁP 1'!N36</f>
        <v>UZBEKISTAN</v>
      </c>
      <c r="AD32" s="11">
        <v>43490</v>
      </c>
      <c r="AE32" s="1">
        <v>0.66666666666666663</v>
      </c>
      <c r="AF32">
        <f>HOUR(AE32)</f>
        <v>16</v>
      </c>
      <c r="AG32">
        <f>IF($D$3&gt;0,HOUR($D$2),IF($D$3&lt;0,-HOUR($D$2),0))</f>
        <v>7</v>
      </c>
      <c r="AH32">
        <f>IF(AF32+AG32&gt;=24,1,IF(AF32+AG32&lt;0,-1,0))</f>
        <v>0</v>
      </c>
    </row>
    <row r="33" spans="3:41" x14ac:dyDescent="0.25">
      <c r="C33" s="115">
        <v>43481</v>
      </c>
      <c r="D33" s="116">
        <v>0.5625</v>
      </c>
      <c r="E33" s="118">
        <f t="shared" si="2"/>
        <v>13</v>
      </c>
      <c r="F33" s="117">
        <f t="shared" si="3"/>
        <v>7</v>
      </c>
      <c r="G33" s="117">
        <f t="shared" si="4"/>
        <v>0</v>
      </c>
      <c r="I33" s="1" t="str">
        <f>'NHÁP 1'!N33</f>
        <v>JAPAN</v>
      </c>
      <c r="J33">
        <f>'NHÁP 1'!V33</f>
        <v>9</v>
      </c>
      <c r="K33" t="s">
        <v>263</v>
      </c>
      <c r="L33" t="str">
        <f>IF(COUNTIF('NHÁP 1'!$D$3:$D$38,CONCATENATE(I33,"&amp;",L32))=1,VLOOKUP(CONCATENATE(I33,"&amp;",L32),'NHÁP 1'!$D$3:$J$38,7,0),IF(COUNTIF('NHÁP 1'!$I$3:$I$38,CONCATENATE(I33,"&amp;",L32))=1,VLOOKUP(CONCATENATE(I33,"&amp;",L32),'NHÁP 1'!$I$3:$K$38,3,0),""))</f>
        <v>JAPAN THẮNG</v>
      </c>
      <c r="M33" t="str">
        <f>IF(COUNTIF('NHÁP 1'!$D$3:$D$38,CONCATENATE(I33,"&amp;",M32))=1,VLOOKUP(CONCATENATE(I33,"&amp;",M32),'NHÁP 1'!$D$3:$J$38,7,0),IF(COUNTIF('NHÁP 1'!$I$3:$I$38,CONCATENATE(I33,"&amp;",M32))=1,VLOOKUP(CONCATENATE(I33,"&amp;",M32),'NHÁP 1'!$I$3:$K$38,3,0),""))</f>
        <v>JAPAN THẮNG</v>
      </c>
      <c r="N33" t="str">
        <f>IF(COUNTIF('NHÁP 1'!$D$3:$D$38,CONCATENATE(I33,"&amp;",N32))=1,VLOOKUP(CONCATENATE(I33,"&amp;",N32),'NHÁP 1'!$D$3:$J$38,7,0),IF(COUNTIF('NHÁP 1'!$I$3:$I$38,CONCATENATE(I33,"&amp;",N32))=1,VLOOKUP(CONCATENATE(I33,"&amp;",N32),'NHÁP 1'!$I$3:$K$38,3,0),""))</f>
        <v>JAPAN THẮNG</v>
      </c>
      <c r="P33" t="str">
        <f>IF(L33="","",IF(J33=J34,IF(L33=CONCATENATE(I33," THẮNG"),3,IF(L33=CONCATENATE(I33," HÒA"),1,0)),""))</f>
        <v/>
      </c>
      <c r="Q33" t="str">
        <f>IF(M33="","",IF(J33=J35,IF(M33=CONCATENATE(I33," THẮNG"),3,IF(M33=CONCATENATE(I33," HÒA"),1,0)),""))</f>
        <v/>
      </c>
      <c r="R33" t="str">
        <f>IF(N33="","",IF(J33=J36,IF(N33=CONCATENATE(I33," THẮNG"),3,IF(N33=CONCATENATE(I33," HÒA"),1,0)),""))</f>
        <v/>
      </c>
    </row>
    <row r="34" spans="3:41" x14ac:dyDescent="0.25">
      <c r="C34" s="114">
        <v>43481</v>
      </c>
      <c r="D34" s="116">
        <v>0.66666666666666663</v>
      </c>
      <c r="E34" s="118">
        <f t="shared" si="2"/>
        <v>16</v>
      </c>
      <c r="F34" s="117">
        <f t="shared" si="3"/>
        <v>7</v>
      </c>
      <c r="G34" s="117">
        <f t="shared" si="4"/>
        <v>0</v>
      </c>
      <c r="I34" s="1" t="str">
        <f>'NHÁP 1'!N34</f>
        <v>OMAN</v>
      </c>
      <c r="J34">
        <f>'NHÁP 1'!V34</f>
        <v>3</v>
      </c>
      <c r="K34" t="str">
        <f>IF(COUNTIF('NHÁP 1'!$D$3:$D$38,CONCATENATE(I34,"&amp;",K32))=1,VLOOKUP(CONCATENATE(I34,"&amp;",K32),'NHÁP 1'!$D$3:$J$38,7,0),IF(COUNTIF('NHÁP 1'!$I$3:$I$38,CONCATENATE(I34,"&amp;",K32))=1,VLOOKUP(CONCATENATE(I34,"&amp;",K32),'NHÁP 1'!$I$3:$K$38,3,0),""))</f>
        <v>OMAN THUA</v>
      </c>
      <c r="L34" t="s">
        <v>263</v>
      </c>
      <c r="M34" t="str">
        <f>IF(COUNTIF('NHÁP 1'!$D$3:$D$38,CONCATENATE(I34,"&amp;",M32))=1,VLOOKUP(CONCATENATE(I34,"&amp;",M32),'NHÁP 1'!$D$3:$J$38,7,0),IF(COUNTIF('NHÁP 1'!$I$3:$I$38,CONCATENATE(I34,"&amp;",M32))=1,VLOOKUP(CONCATENATE(I34,"&amp;",M32),'NHÁP 1'!$I$3:$K$38,3,0),""))</f>
        <v>OMAN THẮNG</v>
      </c>
      <c r="N34" t="str">
        <f>IF(COUNTIF('NHÁP 1'!$D$3:$D$38,CONCATENATE(I34,"&amp;",N32))=1,VLOOKUP(CONCATENATE(I34,"&amp;",N32),'NHÁP 1'!$D$3:$J$38,7,0),IF(COUNTIF('NHÁP 1'!$I$3:$I$38,CONCATENATE(I34,"&amp;",N32))=1,VLOOKUP(CONCATENATE(I34,"&amp;",N32),'NHÁP 1'!$I$3:$K$38,3,0),""))</f>
        <v>OMAN THUA</v>
      </c>
      <c r="P34" t="str">
        <f>IF(K34="","",IF(J34=J33,IF(K34=CONCATENATE(I34," THẮNG"),3,IF(K34=CONCATENATE(I34," HÒA"),1,0)),""))</f>
        <v/>
      </c>
      <c r="Q34" t="str">
        <f>IF(M34="","",IF(J34=J35,IF(M34=CONCATENATE(I34," THẮNG"),3,IF(M34=CONCATENATE(I34," HÒA"),1,0)),""))</f>
        <v/>
      </c>
      <c r="R34" t="str">
        <f>IF(N34="","",IF(J34=J36,IF(N34=CONCATENATE(I34," THẮNG"),3,IF(N34=CONCATENATE(I34," HÒA"),1,0)),""))</f>
        <v/>
      </c>
    </row>
    <row r="35" spans="3:41" x14ac:dyDescent="0.25">
      <c r="C35" s="115">
        <v>43481</v>
      </c>
      <c r="D35" s="116">
        <v>0.66666666666666663</v>
      </c>
      <c r="E35" s="118">
        <f t="shared" si="2"/>
        <v>16</v>
      </c>
      <c r="F35" s="117">
        <f t="shared" si="3"/>
        <v>7</v>
      </c>
      <c r="G35" s="117">
        <f t="shared" si="4"/>
        <v>0</v>
      </c>
      <c r="I35" s="1" t="str">
        <f>'NHÁP 1'!N35</f>
        <v>TURKMENISTAN</v>
      </c>
      <c r="J35">
        <f>'NHÁP 1'!V35</f>
        <v>0</v>
      </c>
      <c r="K35" t="str">
        <f>IF(COUNTIF('NHÁP 1'!$D$3:$D$38,CONCATENATE(I35,"&amp;",K32))=1,VLOOKUP(CONCATENATE(I35,"&amp;",K32),'NHÁP 1'!$D$3:$J$38,7,0),IF(COUNTIF('NHÁP 1'!$I$3:$I$38,CONCATENATE(I35,"&amp;",K32))=1,VLOOKUP(CONCATENATE(I35,"&amp;",K32),'NHÁP 1'!$I$3:$K$38,3,0),""))</f>
        <v>TURKMENISTAN THUA</v>
      </c>
      <c r="L35" t="str">
        <f>IF(COUNTIF('NHÁP 1'!$D$3:$D$38,CONCATENATE(I35,"&amp;",L32))=1,VLOOKUP(CONCATENATE(I35,"&amp;",L32),'NHÁP 1'!$D$3:$J$38,7,0),IF(COUNTIF('NHÁP 1'!$I$3:$I$38,CONCATENATE(I35,"&amp;",L32))=1,VLOOKUP(CONCATENATE(I35,"&amp;",L32),'NHÁP 1'!$I$3:$K$38,3,0),""))</f>
        <v>TURKMENISTAN THUA</v>
      </c>
      <c r="M35" t="s">
        <v>263</v>
      </c>
      <c r="N35" t="str">
        <f>IF(COUNTIF('NHÁP 1'!$D$3:$D$38,CONCATENATE(I35,"&amp;",N32))=1,VLOOKUP(CONCATENATE(I35,"&amp;",N32),'NHÁP 1'!$D$3:$J$38,7,0),IF(COUNTIF('NHÁP 1'!$I$3:$I$38,CONCATENATE(I35,"&amp;",N32))=1,VLOOKUP(CONCATENATE(I35,"&amp;",N32),'NHÁP 1'!$I$3:$K$38,3,0),""))</f>
        <v>TURKMENISTAN THUA</v>
      </c>
      <c r="P35" t="str">
        <f>IF(K35="","",IF(J35=J33,IF(K35=CONCATENATE(I35," THẮNG"),3,IF(K35=CONCATENATE(I35," HÒA"),1,0)),""))</f>
        <v/>
      </c>
      <c r="Q35" t="str">
        <f>IF(L35="","",IF(J35=J34,IF(L35=CONCATENATE(I35," THẮNG"),3,IF(L35=CONCATENATE(I35," HÒA"),1,0)),""))</f>
        <v/>
      </c>
      <c r="R35" t="str">
        <f>IF(N35="","",IF(J35=J36,IF(N35=CONCATENATE(I35," THẮNG"),3,IF(N35=CONCATENATE(I35," HÒA"),1,0)),""))</f>
        <v/>
      </c>
      <c r="W35" s="11">
        <v>43486</v>
      </c>
      <c r="X35" s="1">
        <v>0.70833333333333337</v>
      </c>
      <c r="Y35">
        <f>HOUR(X35)</f>
        <v>17</v>
      </c>
      <c r="Z35">
        <f>IF($D$3&gt;0,HOUR($D$2),IF($D$3&lt;0,-HOUR($D$2),0))</f>
        <v>7</v>
      </c>
      <c r="AA35">
        <f>IF(Y35+Z35&gt;=24,1,IF(Y35+Z35&lt;0,-1,0))</f>
        <v>1</v>
      </c>
    </row>
    <row r="36" spans="3:41" x14ac:dyDescent="0.25">
      <c r="C36" s="114">
        <v>43482</v>
      </c>
      <c r="D36" s="116">
        <v>0.5625</v>
      </c>
      <c r="E36" s="118">
        <f t="shared" si="2"/>
        <v>13</v>
      </c>
      <c r="F36" s="117">
        <f t="shared" si="3"/>
        <v>7</v>
      </c>
      <c r="G36" s="117">
        <f t="shared" si="4"/>
        <v>0</v>
      </c>
      <c r="I36" s="1" t="str">
        <f>'NHÁP 1'!N36</f>
        <v>UZBEKISTAN</v>
      </c>
      <c r="J36">
        <f>'NHÁP 1'!V36</f>
        <v>6</v>
      </c>
      <c r="K36" t="str">
        <f>IF(COUNTIF('NHÁP 1'!$D$3:$D$38,CONCATENATE(I36,"&amp;",K32))=1,VLOOKUP(CONCATENATE(I36,"&amp;",K32),'NHÁP 1'!$D$3:$J$38,7,0),IF(COUNTIF('NHÁP 1'!$I$3:$I$38,CONCATENATE(I36,"&amp;",K32))=1,VLOOKUP(CONCATENATE(I36,"&amp;",K32),'NHÁP 1'!$I$3:$K$38,3,0),""))</f>
        <v>UZBEKISTAN THUA</v>
      </c>
      <c r="L36" t="str">
        <f>IF(COUNTIF('NHÁP 1'!$D$3:$D$38,CONCATENATE(I36,"&amp;",L32))=1,VLOOKUP(CONCATENATE(I36,"&amp;",L32),'NHÁP 1'!$D$3:$J$38,7,0),IF(COUNTIF('NHÁP 1'!$I$3:$I$38,CONCATENATE(I36,"&amp;",L32))=1,VLOOKUP(CONCATENATE(I36,"&amp;",L32),'NHÁP 1'!$I$3:$K$38,3,0),""))</f>
        <v>UZBEKISTAN THẮNG</v>
      </c>
      <c r="M36" t="str">
        <f>IF(COUNTIF('NHÁP 1'!$D$3:$D$38,CONCATENATE(I36,"&amp;",M32))=1,VLOOKUP(CONCATENATE(I36,"&amp;",M32),'NHÁP 1'!$D$3:$J$38,7,0),IF(COUNTIF('NHÁP 1'!$I$3:$I$38,CONCATENATE(I36,"&amp;",M32))=1,VLOOKUP(CONCATENATE(I36,"&amp;",M32),'NHÁP 1'!$I$3:$K$38,3,0),""))</f>
        <v>UZBEKISTAN THẮNG</v>
      </c>
      <c r="N36" t="s">
        <v>263</v>
      </c>
      <c r="P36" t="str">
        <f>IF(K36="","",IF(J36=J33,IF(K36=CONCATENATE(I36," THẮNG"),3,IF(K36=CONCATENATE(I36," HÒA"),1,0)),""))</f>
        <v/>
      </c>
      <c r="Q36" t="str">
        <f>IF(L36="","",IF(J36=J34,IF(L36=CONCATENATE(I36," THẮNG"),3,IF(L36=CONCATENATE(I36," HÒA"),1,0)),""))</f>
        <v/>
      </c>
      <c r="R36" t="str">
        <f>IF(M36="","",IF(J36=J35,IF(M36=CONCATENATE(I36," THẮNG"),3,IF(M36=CONCATENATE(I36," HÒA"),1,0)),""))</f>
        <v/>
      </c>
    </row>
    <row r="37" spans="3:41" x14ac:dyDescent="0.25">
      <c r="C37" s="115">
        <v>43482</v>
      </c>
      <c r="D37" s="116">
        <v>0.5625</v>
      </c>
      <c r="E37" s="118">
        <f t="shared" si="2"/>
        <v>13</v>
      </c>
      <c r="F37" s="117">
        <f t="shared" si="3"/>
        <v>7</v>
      </c>
      <c r="G37" s="117">
        <f t="shared" si="4"/>
        <v>0</v>
      </c>
      <c r="I37" s="17"/>
      <c r="J37" s="16"/>
    </row>
    <row r="38" spans="3:41" x14ac:dyDescent="0.25">
      <c r="C38" s="114">
        <v>43482</v>
      </c>
      <c r="D38" s="116">
        <v>0.66666666666666663</v>
      </c>
      <c r="E38" s="118">
        <f t="shared" si="2"/>
        <v>16</v>
      </c>
      <c r="F38" s="117">
        <f t="shared" si="3"/>
        <v>7</v>
      </c>
      <c r="G38" s="117">
        <f t="shared" si="4"/>
        <v>0</v>
      </c>
      <c r="I38" s="17"/>
      <c r="J38" s="16"/>
      <c r="AK38" s="11">
        <v>43494</v>
      </c>
      <c r="AL38" s="1">
        <v>0.58333333333333337</v>
      </c>
      <c r="AM38">
        <f>HOUR(AL38)</f>
        <v>14</v>
      </c>
      <c r="AN38">
        <f>IF($D$3&gt;0,HOUR($D$2),IF($D$3&lt;0,-HOUR($D$2),0))</f>
        <v>7</v>
      </c>
      <c r="AO38">
        <f>IF(AM38+AN38&gt;=24,1,IF(AM38+AN38&lt;0,-1,0))</f>
        <v>0</v>
      </c>
    </row>
    <row r="39" spans="3:41" x14ac:dyDescent="0.25">
      <c r="C39" s="115">
        <v>43482</v>
      </c>
      <c r="D39" s="116">
        <v>0.66666666666666663</v>
      </c>
      <c r="E39" s="118">
        <f t="shared" si="2"/>
        <v>16</v>
      </c>
      <c r="F39" s="117">
        <f t="shared" si="3"/>
        <v>7</v>
      </c>
      <c r="G39" s="117">
        <f t="shared" si="4"/>
        <v>0</v>
      </c>
      <c r="I39" s="17"/>
      <c r="J39" s="16"/>
    </row>
    <row r="41" spans="3:41" x14ac:dyDescent="0.25">
      <c r="W41" s="11">
        <v>43487</v>
      </c>
      <c r="X41" s="1">
        <v>0.54166666666666663</v>
      </c>
      <c r="Y41">
        <f>HOUR(X41)</f>
        <v>13</v>
      </c>
      <c r="Z41">
        <f>IF($D$3&gt;0,HOUR($D$2),IF($D$3&lt;0,-HOUR($D$2),0))</f>
        <v>7</v>
      </c>
      <c r="AA41">
        <f>IF(Y41+Z41&gt;=24,1,IF(Y41+Z41&lt;0,-1,0))</f>
        <v>0</v>
      </c>
    </row>
    <row r="44" spans="3:41" x14ac:dyDescent="0.25">
      <c r="AD44" s="11">
        <v>43490</v>
      </c>
      <c r="AE44" s="1">
        <v>0.54166666666666663</v>
      </c>
      <c r="AF44">
        <f>HOUR(AE44)</f>
        <v>13</v>
      </c>
      <c r="AG44">
        <f>IF($D$3&gt;0,HOUR($D$2),IF($D$3&lt;0,-HOUR($D$2),0))</f>
        <v>7</v>
      </c>
      <c r="AH44">
        <f>IF(AF44+AG44&gt;=24,1,IF(AF44+AG44&lt;0,-1,0))</f>
        <v>0</v>
      </c>
    </row>
    <row r="47" spans="3:41" x14ac:dyDescent="0.25">
      <c r="W47" s="11">
        <v>43487</v>
      </c>
      <c r="X47" s="1">
        <v>0.66666666666666663</v>
      </c>
      <c r="Y47">
        <f>HOUR(X47)</f>
        <v>16</v>
      </c>
      <c r="Z47">
        <f>IF($D$3&gt;0,HOUR($D$2),IF($D$3&lt;0,-HOUR($D$2),0))</f>
        <v>7</v>
      </c>
      <c r="AA47">
        <f>IF(Y47+Z47&gt;=24,1,IF(Y47+Z47&lt;0,-1,0))</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CÀI ĐẶT</vt:lpstr>
      <vt:lpstr>THÔNG TIN</vt:lpstr>
      <vt:lpstr>VÒNG BẢNG</vt:lpstr>
      <vt:lpstr>NHÁP 1</vt:lpstr>
      <vt:lpstr>NHÁP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Cấn Lâm</dc:creator>
  <cp:lastModifiedBy>Cấn Lâm</cp:lastModifiedBy>
  <dcterms:created xsi:type="dcterms:W3CDTF">2019-01-07T08:42:02Z</dcterms:created>
  <dcterms:modified xsi:type="dcterms:W3CDTF">2019-03-10T08:00:45Z</dcterms:modified>
</cp:coreProperties>
</file>