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b9\AC\Temp\"/>
    </mc:Choice>
  </mc:AlternateContent>
  <xr:revisionPtr revIDLastSave="0" documentId="8_{31AB6D2C-C1C4-4509-ACE9-0466529ED091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Tồng hợp" sheetId="16" r:id="rId1"/>
    <sheet name="Chi tiết" sheetId="13" r:id="rId2"/>
    <sheet name="Sổ quỹ" sheetId="17" r:id="rId3"/>
    <sheet name="Techcombank" sheetId="19" r:id="rId4"/>
    <sheet name="Vietinbank" sheetId="20" r:id="rId5"/>
    <sheet name="SHB" sheetId="21" r:id="rId6"/>
    <sheet name="Tiền mặt" sheetId="22" r:id="rId7"/>
  </sheets>
  <definedNames>
    <definedName name="_xlnm._FilterDatabase" localSheetId="1" hidden="1">'Chi tiết'!$A$6:$I$408</definedName>
    <definedName name="cong">'Chi tiết'!$E:$E</definedName>
    <definedName name="KHKH">'Chi tiết'!$C:$C</definedName>
    <definedName name="thang">'Chi tiết'!$B:$B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9" l="1"/>
  <c r="E59" i="13"/>
  <c r="E29" i="20"/>
  <c r="F28" i="17"/>
  <c r="F29" i="20"/>
  <c r="G28" i="17"/>
  <c r="E6" i="22"/>
  <c r="F26" i="17"/>
  <c r="F6" i="22"/>
  <c r="G26" i="17"/>
  <c r="H9" i="17"/>
  <c r="C14" i="17"/>
  <c r="H14" i="17"/>
  <c r="C19" i="17"/>
  <c r="H19" i="17"/>
  <c r="C24" i="17"/>
  <c r="H24" i="17"/>
  <c r="C29" i="17"/>
  <c r="H29" i="17"/>
  <c r="F9" i="20"/>
  <c r="F6" i="20"/>
  <c r="G8" i="17"/>
  <c r="H8" i="17"/>
  <c r="C13" i="17"/>
  <c r="E10" i="20"/>
  <c r="F13" i="17"/>
  <c r="F10" i="20"/>
  <c r="G13" i="17"/>
  <c r="H13" i="17"/>
  <c r="C18" i="17"/>
  <c r="E16" i="20"/>
  <c r="F18" i="17"/>
  <c r="F16" i="20"/>
  <c r="G18" i="17"/>
  <c r="H18" i="17"/>
  <c r="C23" i="17"/>
  <c r="F23" i="20"/>
  <c r="G23" i="17"/>
  <c r="H23" i="17"/>
  <c r="C28" i="17"/>
  <c r="H7" i="17"/>
  <c r="C12" i="17"/>
  <c r="H12" i="17"/>
  <c r="C17" i="17"/>
  <c r="H17" i="17"/>
  <c r="C22" i="17"/>
  <c r="H22" i="17"/>
  <c r="C27" i="17"/>
  <c r="H27" i="17"/>
  <c r="H6" i="17"/>
  <c r="C11" i="17"/>
  <c r="H11" i="17"/>
  <c r="C16" i="17"/>
  <c r="H16" i="17"/>
  <c r="C21" i="17"/>
  <c r="H21" i="17"/>
  <c r="C26" i="17"/>
  <c r="H28" i="17"/>
  <c r="H26" i="17"/>
  <c r="E33" i="19"/>
  <c r="F30" i="17"/>
  <c r="F33" i="19"/>
  <c r="G30" i="17"/>
  <c r="F6" i="19"/>
  <c r="G10" i="17"/>
  <c r="F10" i="19"/>
  <c r="G15" i="17"/>
  <c r="F16" i="19"/>
  <c r="G20" i="17"/>
  <c r="F28" i="19"/>
  <c r="G25" i="17"/>
  <c r="G111" i="17"/>
  <c r="E6" i="19"/>
  <c r="G6" i="19"/>
  <c r="C10" i="19"/>
  <c r="E10" i="19"/>
  <c r="G10" i="19"/>
  <c r="C16" i="19"/>
  <c r="E16" i="19"/>
  <c r="G16" i="19"/>
  <c r="C28" i="19"/>
  <c r="E28" i="19"/>
  <c r="G28" i="19"/>
  <c r="C33" i="19"/>
  <c r="E6" i="20"/>
  <c r="G6" i="20"/>
  <c r="C10" i="20"/>
  <c r="G10" i="20"/>
  <c r="C16" i="20"/>
  <c r="G16" i="20"/>
  <c r="C23" i="20"/>
  <c r="E23" i="20"/>
  <c r="G23" i="20"/>
  <c r="C29" i="20"/>
  <c r="G29" i="20"/>
  <c r="F25" i="17"/>
  <c r="F111" i="17"/>
  <c r="H10" i="17"/>
  <c r="C15" i="17"/>
  <c r="H15" i="17"/>
  <c r="C20" i="17"/>
  <c r="H20" i="17"/>
  <c r="C25" i="17"/>
  <c r="H25" i="17"/>
  <c r="C30" i="17"/>
  <c r="E13" i="13"/>
  <c r="F6" i="21"/>
  <c r="E6" i="21"/>
  <c r="G6" i="21"/>
  <c r="F12" i="16"/>
  <c r="G6" i="22"/>
  <c r="B16" i="16"/>
  <c r="F15" i="16"/>
  <c r="K10" i="16"/>
  <c r="G7" i="16"/>
  <c r="F7" i="16"/>
  <c r="F8" i="16"/>
  <c r="D15" i="16"/>
  <c r="I9" i="16"/>
  <c r="E10" i="16"/>
  <c r="L6" i="16"/>
  <c r="D10" i="16"/>
  <c r="E8" i="16"/>
  <c r="K7" i="16"/>
  <c r="J10" i="16"/>
  <c r="I14" i="16"/>
  <c r="I7" i="16"/>
  <c r="K9" i="16"/>
  <c r="I10" i="16"/>
  <c r="J14" i="16"/>
  <c r="L13" i="16"/>
  <c r="F14" i="16"/>
  <c r="K4" i="16"/>
  <c r="I15" i="16"/>
  <c r="D7" i="16"/>
  <c r="J15" i="16"/>
  <c r="D8" i="16"/>
  <c r="K12" i="16"/>
  <c r="I5" i="16"/>
  <c r="I11" i="16"/>
  <c r="J9" i="16"/>
  <c r="L15" i="16"/>
  <c r="D13" i="16"/>
  <c r="K11" i="16"/>
  <c r="J11" i="16"/>
  <c r="I4" i="16"/>
  <c r="L12" i="16"/>
  <c r="G8" i="16"/>
  <c r="L10" i="16"/>
  <c r="E4" i="16"/>
  <c r="L9" i="16"/>
  <c r="K15" i="16"/>
  <c r="D12" i="16"/>
  <c r="D6" i="16"/>
  <c r="F5" i="16"/>
  <c r="F6" i="16"/>
  <c r="I13" i="16"/>
  <c r="I8" i="16"/>
  <c r="D5" i="16"/>
  <c r="J4" i="16"/>
  <c r="K5" i="16"/>
  <c r="L14" i="16"/>
  <c r="J12" i="16"/>
  <c r="J5" i="16"/>
  <c r="L4" i="16"/>
  <c r="L11" i="16"/>
  <c r="G13" i="16"/>
  <c r="F10" i="16"/>
  <c r="K6" i="16"/>
  <c r="J7" i="16"/>
  <c r="E13" i="16"/>
  <c r="E5" i="16"/>
  <c r="E7" i="16"/>
  <c r="L5" i="16"/>
  <c r="K13" i="16"/>
  <c r="D4" i="16"/>
  <c r="F13" i="16"/>
  <c r="G4" i="16"/>
  <c r="I12" i="16"/>
  <c r="G10" i="16"/>
  <c r="E12" i="16"/>
  <c r="G5" i="16"/>
  <c r="G11" i="16"/>
  <c r="D11" i="16"/>
  <c r="K8" i="16"/>
  <c r="L8" i="16"/>
  <c r="E14" i="16"/>
  <c r="J6" i="16"/>
  <c r="G9" i="16"/>
  <c r="E15" i="16"/>
  <c r="F4" i="16"/>
  <c r="G14" i="16"/>
  <c r="E11" i="16"/>
  <c r="J13" i="16"/>
  <c r="G12" i="16"/>
  <c r="E6" i="16"/>
  <c r="L7" i="16"/>
  <c r="G6" i="16"/>
  <c r="I6" i="16"/>
  <c r="D9" i="16"/>
  <c r="K14" i="16"/>
  <c r="F9" i="16"/>
  <c r="E9" i="16"/>
  <c r="F11" i="16"/>
  <c r="D14" i="16"/>
  <c r="J8" i="16"/>
  <c r="G15" i="16"/>
  <c r="H30" i="17"/>
  <c r="G33" i="19"/>
  <c r="M13" i="16"/>
  <c r="M4" i="16"/>
  <c r="H14" i="16"/>
  <c r="H12" i="16"/>
  <c r="M9" i="16"/>
  <c r="M8" i="16"/>
  <c r="H13" i="16"/>
  <c r="C13" i="16"/>
  <c r="H5" i="16"/>
  <c r="E16" i="16"/>
  <c r="K16" i="16"/>
  <c r="H9" i="16"/>
  <c r="F16" i="16"/>
  <c r="H10" i="16"/>
  <c r="H15" i="16"/>
  <c r="G16" i="16"/>
  <c r="M7" i="16"/>
  <c r="I16" i="16"/>
  <c r="M12" i="16"/>
  <c r="C12" i="16"/>
  <c r="M14" i="16"/>
  <c r="C14" i="16"/>
  <c r="D16" i="16"/>
  <c r="H11" i="16"/>
  <c r="H7" i="16"/>
  <c r="C7" i="16"/>
  <c r="M5" i="16"/>
  <c r="L16" i="16"/>
  <c r="H8" i="16"/>
  <c r="M10" i="16"/>
  <c r="M11" i="16"/>
  <c r="J16" i="16"/>
  <c r="M15" i="16"/>
  <c r="H4" i="16"/>
  <c r="C4" i="16"/>
  <c r="H6" i="16"/>
  <c r="M6" i="16"/>
  <c r="C5" i="16"/>
  <c r="C9" i="16"/>
  <c r="C8" i="16"/>
  <c r="H16" i="16"/>
  <c r="C10" i="16"/>
  <c r="C11" i="16"/>
  <c r="C15" i="16"/>
  <c r="M16" i="16"/>
  <c r="C6" i="16"/>
  <c r="C16" i="16"/>
</calcChain>
</file>

<file path=xl/sharedStrings.xml><?xml version="1.0" encoding="utf-8"?>
<sst xmlns="http://schemas.openxmlformats.org/spreadsheetml/2006/main" count="657" uniqueCount="174">
  <si>
    <t>QUẢN LÝ THU - CHI VACONS</t>
  </si>
  <si>
    <t>Tháng</t>
  </si>
  <si>
    <t>Tồn Đầu</t>
  </si>
  <si>
    <t>Tổng Còn Lại</t>
  </si>
  <si>
    <t>Thu</t>
  </si>
  <si>
    <t>Chi</t>
  </si>
  <si>
    <t>Techcombank</t>
  </si>
  <si>
    <t>Vietinbank</t>
  </si>
  <si>
    <t>SHB</t>
  </si>
  <si>
    <t>Tiền Mặt</t>
  </si>
  <si>
    <t>Tổng Thu</t>
  </si>
  <si>
    <t>Tổng Chi</t>
  </si>
  <si>
    <t>Tổng:</t>
  </si>
  <si>
    <t xml:space="preserve"> </t>
  </si>
  <si>
    <t>CHI TIẾT</t>
  </si>
  <si>
    <r>
      <rPr>
        <b/>
        <sz val="10"/>
        <rFont val="Arial"/>
        <family val="2"/>
      </rPr>
      <t>DC</t>
    </r>
    <r>
      <rPr>
        <sz val="10"/>
        <rFont val="Arial"/>
        <family val="2"/>
        <charset val="163"/>
      </rPr>
      <t>: Đặt cọc</t>
    </r>
  </si>
  <si>
    <r>
      <rPr>
        <b/>
        <sz val="10"/>
        <rFont val="Arial"/>
        <family val="2"/>
      </rPr>
      <t>NCC</t>
    </r>
    <r>
      <rPr>
        <sz val="10"/>
        <rFont val="Arial"/>
        <family val="2"/>
        <charset val="163"/>
      </rPr>
      <t>: Nhà cung cấp</t>
    </r>
  </si>
  <si>
    <t>Thu Techcombank</t>
  </si>
  <si>
    <t>+ttcb</t>
  </si>
  <si>
    <t>Chi Techcombank</t>
  </si>
  <si>
    <t>-ctcb</t>
  </si>
  <si>
    <r>
      <rPr>
        <b/>
        <sz val="10"/>
        <rFont val="Arial"/>
        <family val="2"/>
      </rPr>
      <t>NH</t>
    </r>
    <r>
      <rPr>
        <sz val="10"/>
        <rFont val="Arial"/>
        <family val="2"/>
        <charset val="163"/>
      </rPr>
      <t>: Ngân hàng</t>
    </r>
  </si>
  <si>
    <t>Thu Vietinbank</t>
  </si>
  <si>
    <t>+tvtb</t>
  </si>
  <si>
    <t>Chi Vietinbank</t>
  </si>
  <si>
    <t>-cvtb</t>
  </si>
  <si>
    <r>
      <rPr>
        <b/>
        <sz val="10"/>
        <rFont val="Arial"/>
        <family val="2"/>
      </rPr>
      <t>CN</t>
    </r>
    <r>
      <rPr>
        <sz val="10"/>
        <rFont val="Arial"/>
        <family val="2"/>
        <charset val="163"/>
      </rPr>
      <t>: Cá nhân</t>
    </r>
  </si>
  <si>
    <t>Thu SHB</t>
  </si>
  <si>
    <t>+tshb</t>
  </si>
  <si>
    <t>Chi SHB</t>
  </si>
  <si>
    <t>-cshb</t>
  </si>
  <si>
    <r>
      <rPr>
        <b/>
        <sz val="10"/>
        <rFont val="Arial"/>
        <family val="2"/>
      </rPr>
      <t>TP</t>
    </r>
    <r>
      <rPr>
        <sz val="10"/>
        <rFont val="Arial"/>
        <family val="2"/>
        <charset val="163"/>
      </rPr>
      <t>: Thợ phụ</t>
    </r>
  </si>
  <si>
    <t>Thu Tiền Mặt</t>
  </si>
  <si>
    <t>+ttm</t>
  </si>
  <si>
    <t>Chi Tiền Mặt</t>
  </si>
  <si>
    <t>-ctm</t>
  </si>
  <si>
    <r>
      <rPr>
        <b/>
        <sz val="10"/>
        <rFont val="Arial"/>
        <family val="2"/>
      </rPr>
      <t>CT</t>
    </r>
    <r>
      <rPr>
        <sz val="10"/>
        <rFont val="Arial"/>
        <family val="2"/>
        <charset val="163"/>
      </rPr>
      <t>: Công ty</t>
    </r>
  </si>
  <si>
    <t>Ngày</t>
  </si>
  <si>
    <t>Ký hiệu</t>
  </si>
  <si>
    <t>Diển giải</t>
  </si>
  <si>
    <t>Số tiền</t>
  </si>
  <si>
    <t>Thanh toán</t>
  </si>
  <si>
    <t>Mã</t>
  </si>
  <si>
    <t>Đề nghi</t>
  </si>
  <si>
    <t>Công trình</t>
  </si>
  <si>
    <t>Ghi chú</t>
  </si>
  <si>
    <r>
      <rPr>
        <b/>
        <sz val="10"/>
        <rFont val="Arial"/>
        <family val="2"/>
      </rPr>
      <t>TU</t>
    </r>
    <r>
      <rPr>
        <sz val="10"/>
        <rFont val="Arial"/>
        <family val="2"/>
        <charset val="163"/>
      </rPr>
      <t>: Tạm ứng</t>
    </r>
  </si>
  <si>
    <r>
      <rPr>
        <b/>
        <sz val="10"/>
        <rFont val="Arial"/>
        <family val="2"/>
      </rPr>
      <t>TK</t>
    </r>
    <r>
      <rPr>
        <sz val="10"/>
        <rFont val="Arial"/>
        <family val="2"/>
      </rPr>
      <t>: Tiếp khách</t>
    </r>
  </si>
  <si>
    <t>4</t>
  </si>
  <si>
    <t>1</t>
  </si>
  <si>
    <t>TT lương thợ Tuần 5 Tháng 12.2020</t>
  </si>
  <si>
    <t>TCB</t>
  </si>
  <si>
    <t>TP</t>
  </si>
  <si>
    <t>Vacons</t>
  </si>
  <si>
    <t>TT phí thuê VP Vacons Tháng 1.2021</t>
  </si>
  <si>
    <t>CT</t>
  </si>
  <si>
    <t>TT tiếp khách Agency</t>
  </si>
  <si>
    <t>TT tạm ứng đợt 1 (40%) thi công PCCC - ME&amp;G</t>
  </si>
  <si>
    <t>VTB</t>
  </si>
  <si>
    <t>NCC</t>
  </si>
  <si>
    <t>Mr Lil QS</t>
  </si>
  <si>
    <t>UR 1073</t>
  </si>
  <si>
    <t>TT hạng mục ghế bar - FURNI</t>
  </si>
  <si>
    <t>Mr Nam QS</t>
  </si>
  <si>
    <t>SJ 1062</t>
  </si>
  <si>
    <t>Phí giao dịch đi ủy nhiệm chi cho NCC</t>
  </si>
  <si>
    <t>NH</t>
  </si>
  <si>
    <t>5</t>
  </si>
  <si>
    <t>TT bổ sung lương thợ Tuần 5 Tháng 12.2020 cho CT CNT (Ms Hằng</t>
  </si>
  <si>
    <t>TT kệ kho - Ngọc Tín</t>
  </si>
  <si>
    <t>Mr Nhã QS</t>
  </si>
  <si>
    <t>Vietcredit</t>
  </si>
  <si>
    <t>TT gia hạn tên miền vaarchitecture.com.vn</t>
  </si>
  <si>
    <t>Mr Đạm IT</t>
  </si>
  <si>
    <t>TT chip resat mực máy Epson WF</t>
  </si>
  <si>
    <t>TT đồ mộc - Hợp Nhất</t>
  </si>
  <si>
    <t>AWOT</t>
  </si>
  <si>
    <t>Thu Jaccs VACA-2101011 VACONS - PMRDATE 28/12/2020</t>
  </si>
  <si>
    <t>THU</t>
  </si>
  <si>
    <t>Jaccs</t>
  </si>
  <si>
    <t>TT đặt cọc thi công HTMB T19 Jaccs, tòa nhà Centec VP Sao Phương Nam</t>
  </si>
  <si>
    <t>DC</t>
  </si>
  <si>
    <t>Mr Phú TC</t>
  </si>
  <si>
    <t>Jaccs HTMB T19</t>
  </si>
  <si>
    <t>TT phụ kiện cửa - Nguyễn Quang</t>
  </si>
  <si>
    <t>TT tạm ứng đợt 2 (40%) cửa gỗ - Win</t>
  </si>
  <si>
    <t>CNT 1064</t>
  </si>
  <si>
    <t>TT hạng mục ghế sofa - IFURNI</t>
  </si>
  <si>
    <t>6</t>
  </si>
  <si>
    <t>Thu UP L1 theo HĐ số 1812/HĐTC2020/VA-UP</t>
  </si>
  <si>
    <t>Thu UP  L2 theo HĐ số 2711/HĐTC2020/VA-OM</t>
  </si>
  <si>
    <t>OM 1067</t>
  </si>
  <si>
    <t>TT đơn hàng HDMI lưu kho Vacons - KTC</t>
  </si>
  <si>
    <t>TT còn lại hạng mục kính chống cháy E160 - An Toàn Sài Gòn</t>
  </si>
  <si>
    <t>BNP 1055</t>
  </si>
  <si>
    <t>TT bảo hiểm CT và bảo hiểm bên thứ 3 - Company Limited</t>
  </si>
  <si>
    <t>Mr Trí TC</t>
  </si>
  <si>
    <t>TT còn lại phí 4 ghế sofa đơn - Đông Ngàn</t>
  </si>
  <si>
    <t>Ms Thúy KD</t>
  </si>
  <si>
    <t>Nam Thuận MR T19 1057</t>
  </si>
  <si>
    <t xml:space="preserve">TT tạm ứng đợt 2 (40%) quãng cáo - Mr Thắng </t>
  </si>
  <si>
    <t>Diag ND 1069</t>
  </si>
  <si>
    <t xml:space="preserve">TT mua khay nhôm đựng bút </t>
  </si>
  <si>
    <t>Ms Tiên KD</t>
  </si>
  <si>
    <t>TT phí tiếp khách MJ khi trình mẫu</t>
  </si>
  <si>
    <t>TK</t>
  </si>
  <si>
    <t>MJ 1066</t>
  </si>
  <si>
    <t>TT tạm ứng đợt 1 (50%) vách thạch cao - Mr Thường</t>
  </si>
  <si>
    <t>TT phí Agency Vietcredit T3 - Nguyen Ngoc An</t>
  </si>
  <si>
    <t>Vietcredit T3 1066</t>
  </si>
  <si>
    <t xml:space="preserve">TT mua 2 gương đèn Led </t>
  </si>
  <si>
    <t>Mr Thảo TK</t>
  </si>
  <si>
    <t>TT mua bổ sung 2 tấm PVC 3D</t>
  </si>
  <si>
    <t>Mr Thành TC</t>
  </si>
  <si>
    <t xml:space="preserve">TT phí vận chuyển rèm, mẫu </t>
  </si>
  <si>
    <t>TT vẽ tranh tường - Mr Huy</t>
  </si>
  <si>
    <t>AWOT 1063</t>
  </si>
  <si>
    <t>TT đèn led nhôm định hình - BKS</t>
  </si>
  <si>
    <t>7</t>
  </si>
  <si>
    <t>TT 5 khung treo tivi - Tường Vy</t>
  </si>
  <si>
    <t>Mr Hòa TC</t>
  </si>
  <si>
    <t>TT nắp điện tròn - Rồng Phường Bắc</t>
  </si>
  <si>
    <t>TT tam ung dot 1 (50%) don hang gach 50x50 theo HD so 0000446 - Long Thuy</t>
  </si>
  <si>
    <t>Sếp</t>
  </si>
  <si>
    <t>Group Zalo</t>
  </si>
  <si>
    <t>TT tam ung dot 1 (50%) don hang gach theo HD so 0000445 - Long Thuy</t>
  </si>
  <si>
    <t>TT tivi+khung treo - Điện Máy Sài Gòn</t>
  </si>
  <si>
    <t>TT tạm ứng đợt 1(60%) khung bảo vệ - Mr Giang</t>
  </si>
  <si>
    <t>TT mâm kệ kho - Ngọc Tín</t>
  </si>
  <si>
    <t>Nộp tài khoản nhận từ VAT 10% của Cty Long Thủy</t>
  </si>
  <si>
    <t>UOA</t>
  </si>
  <si>
    <t>8</t>
  </si>
  <si>
    <t>TT con lai don hang gach 50x50 theo HD so 0000446 - Long Thuy</t>
  </si>
  <si>
    <t>TT con lai don hang gach theo HD so 0000445 - Long Thuy</t>
  </si>
  <si>
    <t>Thu Cty SUNJIN theo hóa đơn số 104,105</t>
  </si>
  <si>
    <t>TT tạm ứng đợt 1 (40%) đơn hàng hệ lạnh - Mai Anh</t>
  </si>
  <si>
    <t>TT đơn hàng điện - Vạn Lợi</t>
  </si>
  <si>
    <t>TT tạm ứng đợt 1 đơn hàng PCCC - Thành Công</t>
  </si>
  <si>
    <t>TT mua bìa kiếng A3</t>
  </si>
  <si>
    <t>TM</t>
  </si>
  <si>
    <t>Mr Khoa TC</t>
  </si>
  <si>
    <t>Nộp vào quỹ tiền mặt</t>
  </si>
  <si>
    <t>TT phí dịch vụ VAT</t>
  </si>
  <si>
    <t xml:space="preserve">TT bảo dưỡng xe Cty </t>
  </si>
  <si>
    <t>TT phí dự phòng CT CNT</t>
  </si>
  <si>
    <t>TU</t>
  </si>
  <si>
    <t>TT tạm ứng đợt 1 vách gỗ conwood</t>
  </si>
  <si>
    <t>TT phí Agency gửi bảo vệ</t>
  </si>
  <si>
    <t xml:space="preserve">TT tạm ứng đợt 1 (60%) phí thẩm duyệt PCCC </t>
  </si>
  <si>
    <t>Nạp tiền điện thoại của Sếp</t>
  </si>
  <si>
    <t>CN</t>
  </si>
  <si>
    <t>Cá Nhân</t>
  </si>
  <si>
    <t>SỔ QUỸ CHI TIẾT PHÁT SINH</t>
  </si>
  <si>
    <t>THÁNG 01/2021</t>
  </si>
  <si>
    <t>STT</t>
  </si>
  <si>
    <t>Ghi sổ</t>
  </si>
  <si>
    <t>Tồn đầu</t>
  </si>
  <si>
    <t>Diễn giải</t>
  </si>
  <si>
    <t>Tồn cuối</t>
  </si>
  <si>
    <t>04/01/2021</t>
  </si>
  <si>
    <t>Công Ty</t>
  </si>
  <si>
    <t>05/01/2021</t>
  </si>
  <si>
    <t>06/01/2021</t>
  </si>
  <si>
    <t>08/01/2021</t>
  </si>
  <si>
    <t>.</t>
  </si>
  <si>
    <t>Tổng Cộng:</t>
  </si>
  <si>
    <t>SỔ QUỸ CHI TIẾT NGÂN HÀNG TECHCOMBANK</t>
  </si>
  <si>
    <t>Diễn Giải</t>
  </si>
  <si>
    <t>TT gia hạn tên miền vaarchitecture.com.vn + bơm mực</t>
  </si>
  <si>
    <t>SỔ QUỸ CHI TIẾT NGÂN HÀNG VIETINBANK</t>
  </si>
  <si>
    <t>THÁNG 01/2020</t>
  </si>
  <si>
    <t>SỔ QUỸ CHI TIẾT NGÂN HÀNG SHB</t>
  </si>
  <si>
    <t>THÁNG 12/2020</t>
  </si>
  <si>
    <t>SỔ QUỸ CHI TIẾT TIỀN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</si>
</sst>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color rgb="FFFF0000"/>
      <name val="Times New Roman"/>
      <family val="1"/>
    </font>
    <font>
      <sz val="12"/>
      <color rgb="FF00206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  <scheme val="major"/>
    </font>
    <font>
      <sz val="10"/>
      <name val="Arial"/>
      <family val="2"/>
      <scheme val="minor"/>
    </font>
    <font>
      <b/>
      <sz val="10"/>
      <color rgb="FF7030A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31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334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4" fontId="6" fillId="5" borderId="3" xfId="1" applyNumberFormat="1" applyFont="1" applyFill="1" applyBorder="1"/>
    <xf numFmtId="164" fontId="5" fillId="5" borderId="3" xfId="1" applyNumberFormat="1" applyFont="1" applyFill="1" applyBorder="1"/>
    <xf numFmtId="0" fontId="5" fillId="5" borderId="4" xfId="0" applyFont="1" applyFill="1" applyBorder="1" applyAlignment="1">
      <alignment horizontal="center" vertical="center"/>
    </xf>
    <xf numFmtId="164" fontId="6" fillId="5" borderId="4" xfId="1" applyNumberFormat="1" applyFont="1" applyFill="1" applyBorder="1"/>
    <xf numFmtId="164" fontId="5" fillId="5" borderId="4" xfId="1" applyNumberFormat="1" applyFont="1" applyFill="1" applyBorder="1"/>
    <xf numFmtId="0" fontId="5" fillId="5" borderId="5" xfId="0" applyFont="1" applyFill="1" applyBorder="1" applyAlignment="1">
      <alignment horizontal="center" vertical="center"/>
    </xf>
    <xf numFmtId="164" fontId="6" fillId="5" borderId="5" xfId="1" applyNumberFormat="1" applyFont="1" applyFill="1" applyBorder="1"/>
    <xf numFmtId="164" fontId="0" fillId="0" borderId="0" xfId="0" applyNumberFormat="1" applyProtection="1">
      <protection locked="0"/>
    </xf>
    <xf numFmtId="164" fontId="5" fillId="5" borderId="5" xfId="1" applyNumberFormat="1" applyFont="1" applyFill="1" applyBorder="1"/>
    <xf numFmtId="164" fontId="5" fillId="6" borderId="1" xfId="1" applyNumberFormat="1" applyFont="1" applyFill="1" applyBorder="1"/>
    <xf numFmtId="164" fontId="6" fillId="6" borderId="1" xfId="1" applyNumberFormat="1" applyFont="1" applyFill="1" applyBorder="1"/>
    <xf numFmtId="164" fontId="5" fillId="5" borderId="6" xfId="1" applyNumberFormat="1" applyFont="1" applyFill="1" applyBorder="1"/>
    <xf numFmtId="0" fontId="8" fillId="0" borderId="0" xfId="0" applyFont="1" applyFill="1" applyProtection="1">
      <protection locked="0"/>
    </xf>
    <xf numFmtId="164" fontId="8" fillId="0" borderId="0" xfId="1" applyNumberFormat="1" applyFont="1" applyFill="1" applyProtection="1">
      <protection locked="0"/>
    </xf>
    <xf numFmtId="164" fontId="7" fillId="0" borderId="0" xfId="0" applyNumberFormat="1" applyFont="1" applyFill="1" applyProtection="1">
      <protection locked="0"/>
    </xf>
    <xf numFmtId="164" fontId="16" fillId="7" borderId="1" xfId="1" applyNumberFormat="1" applyFont="1" applyFill="1" applyBorder="1"/>
    <xf numFmtId="0" fontId="16" fillId="7" borderId="1" xfId="0" applyFont="1" applyFill="1" applyBorder="1" applyAlignment="1">
      <alignment horizontal="left" vertical="center"/>
    </xf>
    <xf numFmtId="0" fontId="7" fillId="0" borderId="0" xfId="0" applyFont="1" applyProtection="1">
      <protection locked="0"/>
    </xf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17" fillId="0" borderId="3" xfId="1" applyNumberFormat="1" applyFont="1" applyFill="1" applyBorder="1"/>
    <xf numFmtId="164" fontId="5" fillId="0" borderId="3" xfId="1" applyNumberFormat="1" applyFont="1" applyBorder="1"/>
    <xf numFmtId="3" fontId="5" fillId="0" borderId="3" xfId="0" applyNumberFormat="1" applyFont="1" applyBorder="1" applyAlignment="1" applyProtection="1">
      <alignment horizontal="right"/>
      <protection locked="0"/>
    </xf>
    <xf numFmtId="3" fontId="18" fillId="0" borderId="3" xfId="0" applyNumberFormat="1" applyFont="1" applyFill="1" applyBorder="1"/>
    <xf numFmtId="0" fontId="5" fillId="0" borderId="3" xfId="0" applyFont="1" applyBorder="1"/>
    <xf numFmtId="3" fontId="18" fillId="0" borderId="4" xfId="0" applyNumberFormat="1" applyFont="1" applyFill="1" applyBorder="1"/>
    <xf numFmtId="3" fontId="5" fillId="0" borderId="4" xfId="0" applyNumberFormat="1" applyFont="1" applyBorder="1" applyAlignment="1" applyProtection="1">
      <alignment horizontal="right"/>
      <protection locked="0"/>
    </xf>
    <xf numFmtId="0" fontId="5" fillId="0" borderId="4" xfId="0" applyFont="1" applyBorder="1"/>
    <xf numFmtId="164" fontId="17" fillId="0" borderId="7" xfId="1" applyNumberFormat="1" applyFont="1" applyFill="1" applyBorder="1"/>
    <xf numFmtId="0" fontId="11" fillId="0" borderId="4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/>
    <xf numFmtId="3" fontId="5" fillId="0" borderId="0" xfId="0" applyNumberFormat="1" applyFont="1" applyBorder="1" applyAlignment="1" applyProtection="1">
      <alignment horizontal="right"/>
      <protection locked="0"/>
    </xf>
    <xf numFmtId="0" fontId="5" fillId="0" borderId="5" xfId="0" applyFont="1" applyBorder="1"/>
    <xf numFmtId="164" fontId="17" fillId="0" borderId="8" xfId="1" applyNumberFormat="1" applyFont="1" applyFill="1" applyBorder="1"/>
    <xf numFmtId="0" fontId="11" fillId="0" borderId="8" xfId="0" applyFont="1" applyBorder="1" applyAlignment="1" applyProtection="1">
      <alignment horizontal="left" vertical="center" wrapText="1"/>
      <protection locked="0"/>
    </xf>
    <xf numFmtId="3" fontId="5" fillId="0" borderId="9" xfId="0" applyNumberFormat="1" applyFont="1" applyBorder="1" applyAlignment="1" applyProtection="1">
      <alignment horizontal="right"/>
      <protection locked="0"/>
    </xf>
    <xf numFmtId="3" fontId="5" fillId="0" borderId="10" xfId="0" applyNumberFormat="1" applyFont="1" applyBorder="1" applyAlignment="1" applyProtection="1">
      <alignment horizontal="right"/>
      <protection locked="0"/>
    </xf>
    <xf numFmtId="3" fontId="18" fillId="0" borderId="8" xfId="0" applyNumberFormat="1" applyFont="1" applyFill="1" applyBorder="1"/>
    <xf numFmtId="0" fontId="5" fillId="0" borderId="8" xfId="0" applyFont="1" applyBorder="1"/>
    <xf numFmtId="3" fontId="17" fillId="0" borderId="3" xfId="0" applyNumberFormat="1" applyFont="1" applyFill="1" applyBorder="1"/>
    <xf numFmtId="0" fontId="5" fillId="0" borderId="0" xfId="0" applyFont="1" applyBorder="1"/>
    <xf numFmtId="3" fontId="5" fillId="0" borderId="11" xfId="0" applyNumberFormat="1" applyFont="1" applyBorder="1" applyAlignment="1" applyProtection="1">
      <alignment horizontal="right"/>
      <protection locked="0"/>
    </xf>
    <xf numFmtId="3" fontId="5" fillId="0" borderId="5" xfId="0" applyNumberFormat="1" applyFont="1" applyBorder="1" applyAlignment="1" applyProtection="1">
      <alignment horizontal="right"/>
      <protection locked="0"/>
    </xf>
    <xf numFmtId="164" fontId="5" fillId="0" borderId="8" xfId="1" applyNumberFormat="1" applyFont="1" applyBorder="1"/>
    <xf numFmtId="3" fontId="5" fillId="0" borderId="8" xfId="0" applyNumberFormat="1" applyFont="1" applyBorder="1" applyAlignment="1" applyProtection="1">
      <alignment horizontal="right"/>
      <protection locked="0"/>
    </xf>
    <xf numFmtId="0" fontId="7" fillId="0" borderId="0" xfId="0" applyFont="1"/>
    <xf numFmtId="164" fontId="5" fillId="0" borderId="4" xfId="1" applyNumberFormat="1" applyFont="1" applyBorder="1"/>
    <xf numFmtId="164" fontId="5" fillId="0" borderId="5" xfId="1" applyNumberFormat="1" applyFont="1" applyBorder="1"/>
    <xf numFmtId="164" fontId="5" fillId="0" borderId="12" xfId="1" applyNumberFormat="1" applyFont="1" applyBorder="1"/>
    <xf numFmtId="3" fontId="5" fillId="0" borderId="13" xfId="0" applyNumberFormat="1" applyFont="1" applyBorder="1" applyAlignment="1" applyProtection="1">
      <alignment horizontal="right"/>
      <protection locked="0"/>
    </xf>
    <xf numFmtId="0" fontId="0" fillId="0" borderId="0" xfId="0" applyFill="1"/>
    <xf numFmtId="3" fontId="17" fillId="0" borderId="8" xfId="0" applyNumberFormat="1" applyFont="1" applyFill="1" applyBorder="1"/>
    <xf numFmtId="3" fontId="18" fillId="0" borderId="14" xfId="0" applyNumberFormat="1" applyFont="1" applyFill="1" applyBorder="1"/>
    <xf numFmtId="3" fontId="5" fillId="0" borderId="8" xfId="0" applyNumberFormat="1" applyFont="1" applyBorder="1"/>
    <xf numFmtId="0" fontId="7" fillId="0" borderId="0" xfId="0" applyFont="1" applyFill="1"/>
    <xf numFmtId="0" fontId="5" fillId="0" borderId="6" xfId="0" applyFont="1" applyBorder="1"/>
    <xf numFmtId="0" fontId="5" fillId="8" borderId="1" xfId="0" applyFont="1" applyFill="1" applyBorder="1"/>
    <xf numFmtId="164" fontId="6" fillId="8" borderId="1" xfId="1" applyNumberFormat="1" applyFont="1" applyFill="1" applyBorder="1"/>
    <xf numFmtId="3" fontId="6" fillId="8" borderId="1" xfId="0" applyNumberFormat="1" applyFont="1" applyFill="1" applyBorder="1"/>
    <xf numFmtId="0" fontId="2" fillId="0" borderId="0" xfId="0" applyFont="1" applyAlignment="1">
      <alignment horizontal="right"/>
    </xf>
    <xf numFmtId="0" fontId="12" fillId="0" borderId="0" xfId="0" applyFont="1"/>
    <xf numFmtId="164" fontId="17" fillId="0" borderId="6" xfId="1" applyNumberFormat="1" applyFont="1" applyFill="1" applyBorder="1"/>
    <xf numFmtId="3" fontId="5" fillId="0" borderId="6" xfId="0" applyNumberFormat="1" applyFont="1" applyBorder="1" applyAlignment="1" applyProtection="1">
      <alignment horizontal="right"/>
      <protection locked="0"/>
    </xf>
    <xf numFmtId="3" fontId="17" fillId="0" borderId="6" xfId="0" applyNumberFormat="1" applyFont="1" applyFill="1" applyBorder="1"/>
    <xf numFmtId="164" fontId="5" fillId="0" borderId="6" xfId="1" applyNumberFormat="1" applyFont="1" applyBorder="1"/>
    <xf numFmtId="0" fontId="12" fillId="0" borderId="0" xfId="0" applyFont="1" applyProtection="1">
      <protection locked="0"/>
    </xf>
    <xf numFmtId="3" fontId="11" fillId="0" borderId="4" xfId="0" applyNumberFormat="1" applyFont="1" applyFill="1" applyBorder="1" applyAlignment="1" applyProtection="1">
      <alignment horizontal="right"/>
      <protection locked="0"/>
    </xf>
    <xf numFmtId="3" fontId="5" fillId="0" borderId="3" xfId="1" applyNumberFormat="1" applyFont="1" applyBorder="1"/>
    <xf numFmtId="3" fontId="5" fillId="0" borderId="6" xfId="1" applyNumberFormat="1" applyFont="1" applyBorder="1"/>
    <xf numFmtId="3" fontId="5" fillId="0" borderId="4" xfId="1" applyNumberFormat="1" applyFont="1" applyBorder="1"/>
    <xf numFmtId="3" fontId="5" fillId="0" borderId="5" xfId="1" applyNumberFormat="1" applyFont="1" applyBorder="1"/>
    <xf numFmtId="3" fontId="5" fillId="0" borderId="12" xfId="1" applyNumberFormat="1" applyFont="1" applyBorder="1"/>
    <xf numFmtId="0" fontId="12" fillId="0" borderId="4" xfId="0" applyFont="1" applyBorder="1"/>
    <xf numFmtId="0" fontId="12" fillId="0" borderId="8" xfId="0" applyFont="1" applyBorder="1"/>
    <xf numFmtId="0" fontId="5" fillId="0" borderId="8" xfId="0" applyFont="1" applyBorder="1" applyAlignment="1" applyProtection="1">
      <alignment horizontal="left"/>
      <protection locked="0"/>
    </xf>
    <xf numFmtId="0" fontId="19" fillId="0" borderId="0" xfId="0" applyFont="1"/>
    <xf numFmtId="3" fontId="11" fillId="0" borderId="4" xfId="0" applyNumberFormat="1" applyFont="1" applyFill="1" applyBorder="1" applyProtection="1">
      <protection locked="0"/>
    </xf>
    <xf numFmtId="164" fontId="11" fillId="0" borderId="4" xfId="1" applyNumberFormat="1" applyFont="1" applyFill="1" applyBorder="1" applyAlignment="1">
      <alignment horizontal="right" vertical="center" wrapText="1"/>
    </xf>
    <xf numFmtId="0" fontId="11" fillId="0" borderId="4" xfId="0" applyFont="1" applyBorder="1"/>
    <xf numFmtId="0" fontId="14" fillId="0" borderId="0" xfId="0" applyFont="1" applyProtection="1">
      <protection locked="0"/>
    </xf>
    <xf numFmtId="49" fontId="11" fillId="0" borderId="4" xfId="0" applyNumberFormat="1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left"/>
      <protection locked="0"/>
    </xf>
    <xf numFmtId="0" fontId="11" fillId="0" borderId="4" xfId="0" applyFont="1" applyFill="1" applyBorder="1" applyAlignment="1" applyProtection="1">
      <alignment horizontal="center"/>
      <protection locked="0"/>
    </xf>
    <xf numFmtId="49" fontId="11" fillId="0" borderId="11" xfId="0" applyNumberFormat="1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left" wrapText="1"/>
      <protection locked="0"/>
    </xf>
    <xf numFmtId="0" fontId="20" fillId="0" borderId="4" xfId="0" applyFont="1" applyFill="1" applyBorder="1" applyAlignment="1">
      <alignment vertical="center" wrapText="1"/>
    </xf>
    <xf numFmtId="3" fontId="17" fillId="9" borderId="3" xfId="0" applyNumberFormat="1" applyFont="1" applyFill="1" applyBorder="1"/>
    <xf numFmtId="0" fontId="5" fillId="9" borderId="3" xfId="0" applyFont="1" applyFill="1" applyBorder="1"/>
    <xf numFmtId="3" fontId="5" fillId="9" borderId="3" xfId="0" applyNumberFormat="1" applyFont="1" applyFill="1" applyBorder="1" applyAlignment="1" applyProtection="1">
      <alignment horizontal="right"/>
      <protection locked="0"/>
    </xf>
    <xf numFmtId="3" fontId="18" fillId="9" borderId="4" xfId="0" applyNumberFormat="1" applyFont="1" applyFill="1" applyBorder="1"/>
    <xf numFmtId="3" fontId="17" fillId="9" borderId="6" xfId="0" applyNumberFormat="1" applyFont="1" applyFill="1" applyBorder="1"/>
    <xf numFmtId="0" fontId="5" fillId="9" borderId="0" xfId="0" applyFont="1" applyFill="1" applyBorder="1"/>
    <xf numFmtId="3" fontId="5" fillId="9" borderId="6" xfId="0" applyNumberFormat="1" applyFont="1" applyFill="1" applyBorder="1" applyAlignment="1" applyProtection="1">
      <alignment horizontal="right"/>
      <protection locked="0"/>
    </xf>
    <xf numFmtId="0" fontId="5" fillId="9" borderId="6" xfId="0" applyFont="1" applyFill="1" applyBorder="1"/>
    <xf numFmtId="3" fontId="17" fillId="9" borderId="4" xfId="0" applyNumberFormat="1" applyFont="1" applyFill="1" applyBorder="1"/>
    <xf numFmtId="3" fontId="5" fillId="9" borderId="11" xfId="0" applyNumberFormat="1" applyFont="1" applyFill="1" applyBorder="1" applyAlignment="1" applyProtection="1">
      <alignment horizontal="right"/>
      <protection locked="0"/>
    </xf>
    <xf numFmtId="3" fontId="5" fillId="9" borderId="4" xfId="0" applyNumberFormat="1" applyFont="1" applyFill="1" applyBorder="1" applyAlignment="1" applyProtection="1">
      <alignment horizontal="right"/>
      <protection locked="0"/>
    </xf>
    <xf numFmtId="0" fontId="5" fillId="9" borderId="4" xfId="0" applyFont="1" applyFill="1" applyBorder="1"/>
    <xf numFmtId="3" fontId="17" fillId="9" borderId="5" xfId="0" applyNumberFormat="1" applyFont="1" applyFill="1" applyBorder="1"/>
    <xf numFmtId="0" fontId="11" fillId="9" borderId="4" xfId="0" applyFont="1" applyFill="1" applyBorder="1" applyAlignment="1" applyProtection="1">
      <alignment horizontal="left" vertical="center" wrapText="1"/>
      <protection locked="0"/>
    </xf>
    <xf numFmtId="3" fontId="5" fillId="9" borderId="0" xfId="0" applyNumberFormat="1" applyFont="1" applyFill="1" applyBorder="1" applyAlignment="1" applyProtection="1">
      <alignment horizontal="right"/>
      <protection locked="0"/>
    </xf>
    <xf numFmtId="3" fontId="5" fillId="9" borderId="5" xfId="0" applyNumberFormat="1" applyFont="1" applyFill="1" applyBorder="1" applyAlignment="1" applyProtection="1">
      <alignment horizontal="right"/>
      <protection locked="0"/>
    </xf>
    <xf numFmtId="0" fontId="5" fillId="9" borderId="5" xfId="0" applyFont="1" applyFill="1" applyBorder="1"/>
    <xf numFmtId="3" fontId="17" fillId="9" borderId="8" xfId="0" applyNumberFormat="1" applyFont="1" applyFill="1" applyBorder="1"/>
    <xf numFmtId="0" fontId="11" fillId="9" borderId="8" xfId="0" applyFont="1" applyFill="1" applyBorder="1" applyAlignment="1" applyProtection="1">
      <alignment horizontal="left" vertical="center" wrapText="1"/>
      <protection locked="0"/>
    </xf>
    <xf numFmtId="0" fontId="5" fillId="9" borderId="8" xfId="0" applyFont="1" applyFill="1" applyBorder="1"/>
    <xf numFmtId="3" fontId="5" fillId="9" borderId="8" xfId="0" applyNumberFormat="1" applyFont="1" applyFill="1" applyBorder="1" applyAlignment="1" applyProtection="1">
      <alignment horizontal="right"/>
      <protection locked="0"/>
    </xf>
    <xf numFmtId="164" fontId="5" fillId="9" borderId="3" xfId="1" applyNumberFormat="1" applyFont="1" applyFill="1" applyBorder="1"/>
    <xf numFmtId="3" fontId="18" fillId="9" borderId="3" xfId="0" applyNumberFormat="1" applyFont="1" applyFill="1" applyBorder="1"/>
    <xf numFmtId="164" fontId="5" fillId="9" borderId="6" xfId="1" applyNumberFormat="1" applyFont="1" applyFill="1" applyBorder="1"/>
    <xf numFmtId="164" fontId="5" fillId="9" borderId="15" xfId="1" applyNumberFormat="1" applyFont="1" applyFill="1" applyBorder="1"/>
    <xf numFmtId="3" fontId="5" fillId="9" borderId="16" xfId="0" applyNumberFormat="1" applyFont="1" applyFill="1" applyBorder="1" applyAlignment="1" applyProtection="1">
      <alignment horizontal="right"/>
      <protection locked="0"/>
    </xf>
    <xf numFmtId="3" fontId="5" fillId="9" borderId="12" xfId="0" applyNumberFormat="1" applyFont="1" applyFill="1" applyBorder="1" applyAlignment="1" applyProtection="1">
      <alignment horizontal="right"/>
      <protection locked="0"/>
    </xf>
    <xf numFmtId="164" fontId="5" fillId="9" borderId="8" xfId="1" applyNumberFormat="1" applyFont="1" applyFill="1" applyBorder="1"/>
    <xf numFmtId="3" fontId="18" fillId="9" borderId="8" xfId="0" applyNumberFormat="1" applyFont="1" applyFill="1" applyBorder="1"/>
    <xf numFmtId="164" fontId="5" fillId="9" borderId="4" xfId="1" applyNumberFormat="1" applyFont="1" applyFill="1" applyBorder="1"/>
    <xf numFmtId="3" fontId="5" fillId="9" borderId="3" xfId="0" applyNumberFormat="1" applyFont="1" applyFill="1" applyBorder="1"/>
    <xf numFmtId="3" fontId="5" fillId="9" borderId="3" xfId="1" applyNumberFormat="1" applyFont="1" applyFill="1" applyBorder="1"/>
    <xf numFmtId="3" fontId="5" fillId="9" borderId="6" xfId="0" applyNumberFormat="1" applyFont="1" applyFill="1" applyBorder="1"/>
    <xf numFmtId="3" fontId="5" fillId="9" borderId="15" xfId="1" applyNumberFormat="1" applyFont="1" applyFill="1" applyBorder="1"/>
    <xf numFmtId="3" fontId="5" fillId="9" borderId="4" xfId="1" applyNumberFormat="1" applyFont="1" applyFill="1" applyBorder="1"/>
    <xf numFmtId="3" fontId="5" fillId="9" borderId="5" xfId="0" applyNumberFormat="1" applyFont="1" applyFill="1" applyBorder="1"/>
    <xf numFmtId="3" fontId="5" fillId="9" borderId="8" xfId="1" applyNumberFormat="1" applyFont="1" applyFill="1" applyBorder="1"/>
    <xf numFmtId="3" fontId="5" fillId="0" borderId="4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1" fillId="0" borderId="6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3" fontId="11" fillId="0" borderId="8" xfId="0" applyNumberFormat="1" applyFont="1" applyFill="1" applyBorder="1" applyAlignment="1" applyProtection="1">
      <alignment horizontal="right"/>
      <protection locked="0"/>
    </xf>
    <xf numFmtId="49" fontId="11" fillId="0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left" vertical="center" wrapText="1"/>
      <protection locked="0"/>
    </xf>
    <xf numFmtId="3" fontId="11" fillId="0" borderId="4" xfId="0" applyNumberFormat="1" applyFont="1" applyFill="1" applyBorder="1" applyAlignment="1" applyProtection="1">
      <alignment horizontal="right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3" fontId="16" fillId="7" borderId="1" xfId="0" applyNumberFormat="1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1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 applyProtection="1">
      <alignment horizontal="center"/>
      <protection locked="0"/>
    </xf>
    <xf numFmtId="3" fontId="5" fillId="0" borderId="8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16" fillId="5" borderId="4" xfId="1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 applyProtection="1">
      <alignment horizontal="left" wrapText="1"/>
      <protection locked="0"/>
    </xf>
    <xf numFmtId="164" fontId="5" fillId="0" borderId="4" xfId="1" applyNumberFormat="1" applyFont="1" applyFill="1" applyBorder="1" applyAlignment="1">
      <alignment horizontal="right" vertical="center"/>
    </xf>
    <xf numFmtId="164" fontId="18" fillId="0" borderId="4" xfId="1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3" fontId="5" fillId="9" borderId="8" xfId="0" applyNumberFormat="1" applyFont="1" applyFill="1" applyBorder="1"/>
    <xf numFmtId="3" fontId="5" fillId="9" borderId="4" xfId="0" applyNumberFormat="1" applyFont="1" applyFill="1" applyBorder="1"/>
    <xf numFmtId="0" fontId="12" fillId="0" borderId="3" xfId="0" applyFont="1" applyBorder="1" applyProtection="1">
      <protection locked="0"/>
    </xf>
    <xf numFmtId="0" fontId="12" fillId="0" borderId="4" xfId="0" applyFont="1" applyBorder="1" applyProtection="1">
      <protection locked="0"/>
    </xf>
    <xf numFmtId="0" fontId="12" fillId="0" borderId="4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5" fillId="0" borderId="8" xfId="0" applyFont="1" applyFill="1" applyBorder="1" applyAlignment="1" applyProtection="1">
      <alignment horizontal="left"/>
      <protection locked="0"/>
    </xf>
    <xf numFmtId="164" fontId="18" fillId="4" borderId="3" xfId="0" applyNumberFormat="1" applyFont="1" applyFill="1" applyBorder="1"/>
    <xf numFmtId="0" fontId="19" fillId="4" borderId="3" xfId="0" applyFont="1" applyFill="1" applyBorder="1"/>
    <xf numFmtId="164" fontId="5" fillId="4" borderId="3" xfId="0" applyNumberFormat="1" applyFont="1" applyFill="1" applyBorder="1" applyAlignment="1">
      <alignment horizontal="right" vertical="center"/>
    </xf>
    <xf numFmtId="164" fontId="18" fillId="4" borderId="3" xfId="1" applyNumberFormat="1" applyFont="1" applyFill="1" applyBorder="1" applyAlignment="1">
      <alignment horizontal="center" vertical="center"/>
    </xf>
    <xf numFmtId="0" fontId="21" fillId="4" borderId="3" xfId="0" applyFont="1" applyFill="1" applyBorder="1"/>
    <xf numFmtId="164" fontId="5" fillId="4" borderId="3" xfId="1" applyNumberFormat="1" applyFont="1" applyFill="1" applyBorder="1" applyAlignment="1">
      <alignment horizontal="right" vertical="center"/>
    </xf>
    <xf numFmtId="164" fontId="18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right" vertical="center"/>
    </xf>
    <xf numFmtId="164" fontId="22" fillId="4" borderId="3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 wrapText="1"/>
    </xf>
    <xf numFmtId="0" fontId="11" fillId="0" borderId="8" xfId="0" applyFont="1" applyFill="1" applyBorder="1" applyAlignment="1" applyProtection="1">
      <alignment horizontal="left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3" fontId="5" fillId="0" borderId="4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/>
    <xf numFmtId="0" fontId="12" fillId="0" borderId="6" xfId="0" applyFont="1" applyBorder="1" applyProtection="1">
      <protection locked="0"/>
    </xf>
    <xf numFmtId="3" fontId="11" fillId="0" borderId="4" xfId="0" applyNumberFormat="1" applyFont="1" applyFill="1" applyBorder="1" applyAlignment="1" applyProtection="1">
      <alignment vertical="center"/>
      <protection locked="0"/>
    </xf>
    <xf numFmtId="0" fontId="21" fillId="0" borderId="4" xfId="0" applyFont="1" applyFill="1" applyBorder="1"/>
    <xf numFmtId="3" fontId="24" fillId="0" borderId="0" xfId="0" applyNumberFormat="1" applyFont="1"/>
    <xf numFmtId="0" fontId="5" fillId="0" borderId="4" xfId="0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49" fontId="5" fillId="0" borderId="0" xfId="0" applyNumberFormat="1" applyFont="1" applyFill="1" applyBorder="1" applyAlignment="1" applyProtection="1">
      <alignment horizontal="left" wrapText="1"/>
      <protection locked="0"/>
    </xf>
    <xf numFmtId="49" fontId="5" fillId="0" borderId="0" xfId="0" applyNumberFormat="1" applyFont="1" applyFill="1" applyBorder="1"/>
    <xf numFmtId="3" fontId="11" fillId="0" borderId="5" xfId="0" applyNumberFormat="1" applyFont="1" applyFill="1" applyBorder="1" applyProtection="1">
      <protection locked="0"/>
    </xf>
    <xf numFmtId="0" fontId="25" fillId="0" borderId="0" xfId="0" applyFont="1"/>
    <xf numFmtId="0" fontId="11" fillId="0" borderId="5" xfId="0" applyFont="1" applyFill="1" applyBorder="1" applyAlignment="1" applyProtection="1">
      <alignment horizontal="left"/>
      <protection locked="0"/>
    </xf>
    <xf numFmtId="0" fontId="5" fillId="0" borderId="5" xfId="0" applyFont="1" applyFill="1" applyBorder="1" applyAlignment="1" applyProtection="1">
      <alignment horizontal="left"/>
      <protection locked="0"/>
    </xf>
    <xf numFmtId="0" fontId="12" fillId="0" borderId="5" xfId="0" applyFont="1" applyBorder="1" applyProtection="1">
      <protection locked="0"/>
    </xf>
    <xf numFmtId="3" fontId="6" fillId="5" borderId="5" xfId="0" applyNumberFormat="1" applyFont="1" applyFill="1" applyBorder="1" applyAlignment="1">
      <alignment horizontal="center" vertical="center"/>
    </xf>
    <xf numFmtId="14" fontId="12" fillId="0" borderId="4" xfId="0" applyNumberFormat="1" applyFont="1" applyBorder="1" applyProtection="1">
      <protection locked="0"/>
    </xf>
    <xf numFmtId="0" fontId="8" fillId="0" borderId="0" xfId="0" applyFont="1"/>
    <xf numFmtId="0" fontId="11" fillId="0" borderId="8" xfId="0" applyFont="1" applyFill="1" applyBorder="1" applyAlignment="1" applyProtection="1">
      <alignment horizontal="left" vertical="center" wrapText="1"/>
      <protection locked="0"/>
    </xf>
    <xf numFmtId="0" fontId="11" fillId="0" borderId="8" xfId="0" applyFont="1" applyFill="1" applyBorder="1" applyAlignment="1" applyProtection="1">
      <alignment horizontal="left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0" borderId="4" xfId="0" applyFont="1" applyBorder="1" applyAlignment="1" applyProtection="1">
      <alignment horizontal="left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1" fillId="0" borderId="5" xfId="0" applyFont="1" applyFill="1" applyBorder="1" applyAlignment="1" applyProtection="1">
      <alignment horizontal="center"/>
      <protection locked="0"/>
    </xf>
    <xf numFmtId="3" fontId="5" fillId="0" borderId="3" xfId="0" applyNumberFormat="1" applyFont="1" applyFill="1" applyBorder="1"/>
    <xf numFmtId="3" fontId="5" fillId="0" borderId="3" xfId="1" applyNumberFormat="1" applyFont="1" applyFill="1" applyBorder="1"/>
    <xf numFmtId="0" fontId="5" fillId="0" borderId="3" xfId="0" applyFont="1" applyFill="1" applyBorder="1"/>
    <xf numFmtId="3" fontId="5" fillId="0" borderId="6" xfId="0" applyNumberFormat="1" applyFont="1" applyFill="1" applyBorder="1"/>
    <xf numFmtId="3" fontId="5" fillId="0" borderId="15" xfId="1" applyNumberFormat="1" applyFont="1" applyFill="1" applyBorder="1"/>
    <xf numFmtId="0" fontId="5" fillId="0" borderId="6" xfId="0" applyFont="1" applyFill="1" applyBorder="1"/>
    <xf numFmtId="3" fontId="5" fillId="0" borderId="4" xfId="1" applyNumberFormat="1" applyFont="1" applyFill="1" applyBorder="1"/>
    <xf numFmtId="3" fontId="5" fillId="0" borderId="16" xfId="0" applyNumberFormat="1" applyFont="1" applyFill="1" applyBorder="1" applyAlignment="1" applyProtection="1">
      <alignment horizontal="right"/>
      <protection locked="0"/>
    </xf>
    <xf numFmtId="0" fontId="5" fillId="0" borderId="4" xfId="0" applyFont="1" applyFill="1" applyBorder="1"/>
    <xf numFmtId="3" fontId="5" fillId="0" borderId="5" xfId="0" applyNumberFormat="1" applyFont="1" applyFill="1" applyBorder="1"/>
    <xf numFmtId="3" fontId="5" fillId="0" borderId="12" xfId="0" applyNumberFormat="1" applyFont="1" applyFill="1" applyBorder="1" applyAlignment="1" applyProtection="1">
      <alignment horizontal="right"/>
      <protection locked="0"/>
    </xf>
    <xf numFmtId="0" fontId="5" fillId="0" borderId="5" xfId="0" applyFont="1" applyFill="1" applyBorder="1"/>
    <xf numFmtId="3" fontId="5" fillId="0" borderId="8" xfId="0" applyNumberFormat="1" applyFont="1" applyFill="1" applyBorder="1" applyAlignment="1" applyProtection="1">
      <alignment horizontal="right"/>
      <protection locked="0"/>
    </xf>
    <xf numFmtId="3" fontId="5" fillId="0" borderId="8" xfId="1" applyNumberFormat="1" applyFont="1" applyFill="1" applyBorder="1"/>
    <xf numFmtId="0" fontId="5" fillId="0" borderId="8" xfId="0" applyFont="1" applyFill="1" applyBorder="1"/>
    <xf numFmtId="3" fontId="11" fillId="0" borderId="8" xfId="0" applyNumberFormat="1" applyFont="1" applyFill="1" applyBorder="1" applyProtection="1">
      <protection locked="0"/>
    </xf>
    <xf numFmtId="0" fontId="12" fillId="0" borderId="5" xfId="0" applyFont="1" applyBorder="1"/>
    <xf numFmtId="0" fontId="11" fillId="0" borderId="17" xfId="0" applyFont="1" applyFill="1" applyBorder="1" applyAlignment="1" applyProtection="1">
      <alignment horizontal="left" wrapText="1"/>
      <protection locked="0"/>
    </xf>
    <xf numFmtId="0" fontId="11" fillId="0" borderId="18" xfId="0" applyFont="1" applyFill="1" applyBorder="1" applyAlignment="1" applyProtection="1">
      <alignment horizontal="left" wrapText="1"/>
      <protection locked="0"/>
    </xf>
    <xf numFmtId="0" fontId="11" fillId="0" borderId="19" xfId="0" applyFont="1" applyBorder="1" applyProtection="1">
      <protection locked="0"/>
    </xf>
    <xf numFmtId="0" fontId="11" fillId="0" borderId="4" xfId="0" applyFont="1" applyBorder="1" applyProtection="1">
      <protection locked="0"/>
    </xf>
    <xf numFmtId="3" fontId="11" fillId="0" borderId="8" xfId="0" applyNumberFormat="1" applyFont="1" applyFill="1" applyBorder="1" applyAlignment="1" applyProtection="1">
      <alignment horizontal="right" vertical="center"/>
      <protection locked="0"/>
    </xf>
    <xf numFmtId="3" fontId="24" fillId="0" borderId="4" xfId="0" applyNumberFormat="1" applyFont="1" applyBorder="1"/>
    <xf numFmtId="0" fontId="11" fillId="0" borderId="5" xfId="0" applyFont="1" applyFill="1" applyBorder="1" applyAlignment="1" applyProtection="1">
      <alignment horizontal="left" vertical="center" wrapText="1"/>
      <protection locked="0"/>
    </xf>
    <xf numFmtId="3" fontId="11" fillId="0" borderId="5" xfId="0" applyNumberFormat="1" applyFont="1" applyFill="1" applyBorder="1" applyAlignment="1" applyProtection="1">
      <alignment horizontal="right" vertical="center"/>
      <protection locked="0"/>
    </xf>
    <xf numFmtId="0" fontId="10" fillId="8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26" fillId="7" borderId="0" xfId="0" applyFont="1" applyFill="1" applyAlignment="1" applyProtection="1">
      <alignment horizontal="center"/>
      <protection locked="0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6" borderId="24" xfId="0" applyFont="1" applyFill="1" applyBorder="1" applyAlignment="1" applyProtection="1">
      <alignment horizontal="center" wrapText="1"/>
      <protection locked="0"/>
    </xf>
    <xf numFmtId="0" fontId="6" fillId="6" borderId="25" xfId="0" applyFont="1" applyFill="1" applyBorder="1" applyAlignment="1" applyProtection="1">
      <alignment horizontal="center" wrapText="1"/>
      <protection locked="0"/>
    </xf>
    <xf numFmtId="0" fontId="6" fillId="10" borderId="26" xfId="0" applyFont="1" applyFill="1" applyBorder="1" applyAlignment="1">
      <alignment horizontal="center" vertical="center"/>
    </xf>
    <xf numFmtId="49" fontId="6" fillId="10" borderId="27" xfId="0" applyNumberFormat="1" applyFont="1" applyFill="1" applyBorder="1" applyAlignment="1">
      <alignment horizontal="center" vertical="center"/>
    </xf>
    <xf numFmtId="49" fontId="6" fillId="10" borderId="28" xfId="0" applyNumberFormat="1" applyFont="1" applyFill="1" applyBorder="1" applyAlignment="1">
      <alignment horizontal="center" vertical="center"/>
    </xf>
    <xf numFmtId="49" fontId="6" fillId="10" borderId="29" xfId="0" applyNumberFormat="1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3" fontId="6" fillId="10" borderId="29" xfId="0" applyNumberFormat="1" applyFont="1" applyFill="1" applyBorder="1" applyAlignment="1">
      <alignment horizontal="center" vertical="center"/>
    </xf>
    <xf numFmtId="3" fontId="16" fillId="8" borderId="21" xfId="0" applyNumberFormat="1" applyFont="1" applyFill="1" applyBorder="1" applyAlignment="1">
      <alignment horizontal="center"/>
    </xf>
    <xf numFmtId="3" fontId="16" fillId="8" borderId="23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14" fontId="5" fillId="9" borderId="2" xfId="0" applyNumberFormat="1" applyFont="1" applyFill="1" applyBorder="1" applyAlignment="1">
      <alignment horizontal="center" vertical="center"/>
    </xf>
    <xf numFmtId="0" fontId="11" fillId="9" borderId="32" xfId="0" applyFont="1" applyFill="1" applyBorder="1" applyAlignment="1" applyProtection="1">
      <alignment horizontal="left" wrapText="1"/>
      <protection locked="0"/>
    </xf>
    <xf numFmtId="0" fontId="11" fillId="9" borderId="33" xfId="0" applyFont="1" applyFill="1" applyBorder="1" applyAlignment="1" applyProtection="1">
      <alignment horizontal="left" wrapText="1"/>
      <protection locked="0"/>
    </xf>
    <xf numFmtId="0" fontId="11" fillId="9" borderId="34" xfId="0" applyFont="1" applyFill="1" applyBorder="1" applyAlignment="1" applyProtection="1">
      <alignment horizontal="left" wrapText="1"/>
      <protection locked="0"/>
    </xf>
    <xf numFmtId="0" fontId="11" fillId="9" borderId="35" xfId="0" applyFont="1" applyFill="1" applyBorder="1" applyAlignment="1" applyProtection="1">
      <alignment horizontal="left" wrapText="1"/>
      <protection locked="0"/>
    </xf>
    <xf numFmtId="0" fontId="11" fillId="9" borderId="36" xfId="0" applyFont="1" applyFill="1" applyBorder="1" applyAlignment="1" applyProtection="1">
      <alignment horizontal="left" vertical="center" wrapText="1"/>
      <protection locked="0"/>
    </xf>
    <xf numFmtId="0" fontId="11" fillId="9" borderId="24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5" fillId="0" borderId="37" xfId="0" applyNumberFormat="1" applyFont="1" applyBorder="1" applyAlignment="1" applyProtection="1">
      <alignment horizontal="center" vertical="center"/>
      <protection locked="0"/>
    </xf>
    <xf numFmtId="49" fontId="5" fillId="0" borderId="30" xfId="0" applyNumberFormat="1" applyFont="1" applyBorder="1" applyAlignment="1" applyProtection="1">
      <alignment horizontal="center" vertical="center"/>
      <protection locked="0"/>
    </xf>
    <xf numFmtId="49" fontId="5" fillId="0" borderId="38" xfId="0" applyNumberFormat="1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left" wrapText="1"/>
      <protection locked="0"/>
    </xf>
    <xf numFmtId="0" fontId="11" fillId="0" borderId="33" xfId="0" applyFont="1" applyBorder="1" applyAlignment="1" applyProtection="1">
      <alignment horizontal="left" wrapText="1"/>
      <protection locked="0"/>
    </xf>
    <xf numFmtId="0" fontId="11" fillId="0" borderId="34" xfId="0" applyFont="1" applyBorder="1" applyAlignment="1" applyProtection="1">
      <alignment horizontal="left" wrapText="1"/>
      <protection locked="0"/>
    </xf>
    <xf numFmtId="0" fontId="11" fillId="0" borderId="35" xfId="0" applyFont="1" applyBorder="1" applyAlignment="1" applyProtection="1">
      <alignment horizontal="left" wrapText="1"/>
      <protection locked="0"/>
    </xf>
    <xf numFmtId="0" fontId="11" fillId="0" borderId="36" xfId="0" applyFont="1" applyBorder="1" applyAlignment="1" applyProtection="1">
      <alignment horizontal="left" vertical="center" wrapText="1"/>
      <protection locked="0"/>
    </xf>
    <xf numFmtId="0" fontId="11" fillId="0" borderId="24" xfId="0" applyFont="1" applyBorder="1" applyAlignment="1" applyProtection="1">
      <alignment horizontal="left" vertical="center" wrapText="1"/>
      <protection locked="0"/>
    </xf>
    <xf numFmtId="0" fontId="10" fillId="8" borderId="2" xfId="0" applyFont="1" applyFill="1" applyBorder="1" applyAlignment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20" xfId="0" applyNumberFormat="1" applyFont="1" applyBorder="1" applyAlignment="1" applyProtection="1">
      <alignment horizontal="center" vertical="center"/>
      <protection locked="0"/>
    </xf>
    <xf numFmtId="49" fontId="5" fillId="9" borderId="2" xfId="0" applyNumberFormat="1" applyFont="1" applyFill="1" applyBorder="1" applyAlignment="1" applyProtection="1">
      <alignment horizontal="center" vertical="center"/>
      <protection locked="0"/>
    </xf>
    <xf numFmtId="49" fontId="5" fillId="9" borderId="7" xfId="0" applyNumberFormat="1" applyFont="1" applyFill="1" applyBorder="1" applyAlignment="1" applyProtection="1">
      <alignment horizontal="center" vertical="center"/>
      <protection locked="0"/>
    </xf>
    <xf numFmtId="49" fontId="5" fillId="9" borderId="2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 applyProtection="1">
      <alignment horizontal="left" wrapText="1"/>
      <protection locked="0"/>
    </xf>
    <xf numFmtId="0" fontId="11" fillId="0" borderId="33" xfId="0" applyFont="1" applyFill="1" applyBorder="1" applyAlignment="1" applyProtection="1">
      <alignment horizontal="left" wrapText="1"/>
      <protection locked="0"/>
    </xf>
    <xf numFmtId="0" fontId="11" fillId="0" borderId="34" xfId="0" applyFont="1" applyFill="1" applyBorder="1" applyAlignment="1" applyProtection="1">
      <alignment horizontal="left" wrapText="1"/>
      <protection locked="0"/>
    </xf>
    <xf numFmtId="0" fontId="11" fillId="0" borderId="35" xfId="0" applyFont="1" applyFill="1" applyBorder="1" applyAlignment="1" applyProtection="1">
      <alignment horizontal="left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id="{9D66B4CC-5C2B-487F-8AFB-02B97F9912C8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id="{027590F8-E4B3-498F-BA4A-EE9B1CADA3D3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id="{36BDE20C-7FF9-4313-9DAE-3507063E5E9C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id="{44A62552-A00A-42AA-9470-D1806085C840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id="{E0B9C565-AA68-4097-A55D-E33F3E3AC13A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id="{F06BF488-7303-4A87-9849-A83F2FF0B815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3</xdr:col>
      <xdr:colOff>266700</xdr:colOff>
      <xdr:row>2</xdr:row>
      <xdr:rowOff>161925</xdr:rowOff>
    </xdr:to>
    <xdr:pic>
      <xdr:nvPicPr>
        <xdr:cNvPr id="976368" name="Picture 1">
          <a:extLst>
            <a:ext uri="{FF2B5EF4-FFF2-40B4-BE49-F238E27FC236}">
              <a16:creationId xmlns:a16="http://schemas.microsoft.com/office/drawing/2014/main" id="{5F712965-C9F6-4A2D-9F41-A03733F6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24860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3</xdr:col>
      <xdr:colOff>171450</xdr:colOff>
      <xdr:row>2</xdr:row>
      <xdr:rowOff>161925</xdr:rowOff>
    </xdr:to>
    <xdr:pic>
      <xdr:nvPicPr>
        <xdr:cNvPr id="977392" name="Picture 1">
          <a:extLst>
            <a:ext uri="{FF2B5EF4-FFF2-40B4-BE49-F238E27FC236}">
              <a16:creationId xmlns:a16="http://schemas.microsoft.com/office/drawing/2014/main" id="{81019284-26D1-4B5A-954E-F084DDCAB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27813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628650</xdr:colOff>
      <xdr:row>2</xdr:row>
      <xdr:rowOff>142875</xdr:rowOff>
    </xdr:to>
    <xdr:pic>
      <xdr:nvPicPr>
        <xdr:cNvPr id="978417" name="Picture 1">
          <a:extLst>
            <a:ext uri="{FF2B5EF4-FFF2-40B4-BE49-F238E27FC236}">
              <a16:creationId xmlns:a16="http://schemas.microsoft.com/office/drawing/2014/main" id="{0F67015C-4B21-410D-9D28-6CDB5650B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32670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2</xdr:col>
      <xdr:colOff>1228725</xdr:colOff>
      <xdr:row>2</xdr:row>
      <xdr:rowOff>142875</xdr:rowOff>
    </xdr:to>
    <xdr:pic>
      <xdr:nvPicPr>
        <xdr:cNvPr id="979440" name="Picture 1">
          <a:extLst>
            <a:ext uri="{FF2B5EF4-FFF2-40B4-BE49-F238E27FC236}">
              <a16:creationId xmlns:a16="http://schemas.microsoft.com/office/drawing/2014/main" id="{CB491881-1CF1-4475-981F-946BBBA1F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907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3</xdr:col>
      <xdr:colOff>19050</xdr:colOff>
      <xdr:row>2</xdr:row>
      <xdr:rowOff>161925</xdr:rowOff>
    </xdr:to>
    <xdr:pic>
      <xdr:nvPicPr>
        <xdr:cNvPr id="980465" name="Picture 1">
          <a:extLst>
            <a:ext uri="{FF2B5EF4-FFF2-40B4-BE49-F238E27FC236}">
              <a16:creationId xmlns:a16="http://schemas.microsoft.com/office/drawing/2014/main" id="{E8660C08-FF3A-4833-92AB-5A757B0CA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371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G34" sqref="G34"/>
    </sheetView>
  </sheetViews>
  <sheetFormatPr defaultColWidth="9.140625" defaultRowHeight="12.75"/>
  <cols>
    <col min="1" max="1" width="9.5703125" style="5" customWidth="1"/>
    <col min="2" max="2" width="17.85546875" style="5" customWidth="1"/>
    <col min="3" max="3" width="17.5703125" style="5" customWidth="1"/>
    <col min="4" max="4" width="16" style="5" customWidth="1"/>
    <col min="5" max="5" width="16.85546875" style="5" customWidth="1"/>
    <col min="6" max="6" width="17.85546875" style="5" customWidth="1"/>
    <col min="7" max="7" width="16.7109375" style="5" customWidth="1"/>
    <col min="8" max="8" width="17.28515625" style="5" customWidth="1"/>
    <col min="9" max="9" width="17" style="5" customWidth="1"/>
    <col min="10" max="10" width="16.7109375" style="5" customWidth="1"/>
    <col min="11" max="11" width="16.5703125" style="5" customWidth="1"/>
    <col min="12" max="12" width="16.28515625" style="5" customWidth="1"/>
    <col min="13" max="13" width="17.28515625" style="5" customWidth="1"/>
    <col min="14" max="16384" width="9.140625" style="5"/>
  </cols>
  <sheetData>
    <row r="1" spans="1:13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3" ht="14.25">
      <c r="A2" s="247" t="s">
        <v>1</v>
      </c>
      <c r="B2" s="247" t="s">
        <v>2</v>
      </c>
      <c r="C2" s="247" t="s">
        <v>3</v>
      </c>
      <c r="D2" s="250" t="s">
        <v>4</v>
      </c>
      <c r="E2" s="251"/>
      <c r="F2" s="251"/>
      <c r="G2" s="251"/>
      <c r="H2" s="251"/>
      <c r="I2" s="251" t="s">
        <v>5</v>
      </c>
      <c r="J2" s="251"/>
      <c r="K2" s="251"/>
      <c r="L2" s="251"/>
      <c r="M2" s="252"/>
    </row>
    <row r="3" spans="1:13" ht="14.25">
      <c r="A3" s="248"/>
      <c r="B3" s="248"/>
      <c r="C3" s="248"/>
      <c r="D3" s="12" t="s">
        <v>6</v>
      </c>
      <c r="E3" s="12" t="s">
        <v>7</v>
      </c>
      <c r="F3" s="12" t="s">
        <v>8</v>
      </c>
      <c r="G3" s="12" t="s">
        <v>9</v>
      </c>
      <c r="H3" s="14" t="s">
        <v>10</v>
      </c>
      <c r="I3" s="12" t="s">
        <v>6</v>
      </c>
      <c r="J3" s="12" t="s">
        <v>7</v>
      </c>
      <c r="K3" s="12" t="s">
        <v>8</v>
      </c>
      <c r="L3" s="12" t="s">
        <v>9</v>
      </c>
      <c r="M3" s="13" t="s">
        <v>11</v>
      </c>
    </row>
    <row r="4" spans="1:13" ht="14.25">
      <c r="A4" s="15">
        <v>1</v>
      </c>
      <c r="B4" s="208">
        <v>688671641</v>
      </c>
      <c r="C4" s="16">
        <f t="shared" ref="C4:C15" si="0">ROUND(B4+H4-M4,2)</f>
        <v>2385950417</v>
      </c>
      <c r="D4" s="17">
        <f>SUMPRODUCT(('Chi tiết'!$B$8:$B$3022="1")*('Chi tiết'!$C$8:$C$3022="+ttcb")*('Chi tiết'!$E$8:$E$3022))</f>
        <v>1074358000</v>
      </c>
      <c r="E4" s="17">
        <f>SUMPRODUCT(('Chi tiết'!$B$8:$B$3022="1")*('Chi tiết'!$C$8:$C$3022="+tvtb")*('Chi tiết'!$E$8:$E$3022))</f>
        <v>2348314847</v>
      </c>
      <c r="F4" s="17">
        <f>SUMPRODUCT(('Chi tiết'!$B$8:$B$3022="1")*('Chi tiết'!$C$8:$C$3022="+tshb")*('Chi tiết'!$E$8:$E$3022))</f>
        <v>0</v>
      </c>
      <c r="G4" s="17">
        <f>SUMPRODUCT(('Chi tiết'!$B$8:$B$3022="1")*('Chi tiết'!$C$8:$C$3022="+ttm")*('Chi tiết'!$E$8:$E$3022))</f>
        <v>30000000</v>
      </c>
      <c r="H4" s="16">
        <f>SUM(D4:G4)</f>
        <v>3452672847</v>
      </c>
      <c r="I4" s="17">
        <f>SUMPRODUCT(('Chi tiết'!$B$8:$B$3022="1")*('Chi tiết'!$C$8:$C$3022="-ctcb")*('Chi tiết'!$E$8:$E$3022))</f>
        <v>372552980</v>
      </c>
      <c r="J4" s="17">
        <f>SUMPRODUCT(('Chi tiết'!$B$8:$B$3022="1")*('Chi tiết'!$C$8:$C$3022="-cvtb")*('Chi tiết'!$E$8:$E$3022))</f>
        <v>1352781091</v>
      </c>
      <c r="K4" s="17">
        <f>SUMPRODUCT(('Chi tiết'!$B$8:$B$3022="1")*('Chi tiết'!$C$8:$C$3022="-cshb")*('Chi tiết'!$E$8:$E$3022))</f>
        <v>0</v>
      </c>
      <c r="L4" s="17">
        <f>SUMPRODUCT(('Chi tiết'!$B$8:$B$3022="1")*('Chi tiết'!$C$8:$C$3022="-ctm")*('Chi tiết'!$E$8:$E$3022))</f>
        <v>30060000</v>
      </c>
      <c r="M4" s="16">
        <f t="shared" ref="M4:M15" si="1">SUM(I4:L4)</f>
        <v>1755394071</v>
      </c>
    </row>
    <row r="5" spans="1:13" ht="14.25">
      <c r="A5" s="18">
        <v>2</v>
      </c>
      <c r="B5" s="155"/>
      <c r="C5" s="19">
        <f t="shared" si="0"/>
        <v>0</v>
      </c>
      <c r="D5" s="20">
        <f>SUMPRODUCT(('Chi tiết'!$B$8:$B$3022="2")*('Chi tiết'!$C$8:$C$3022="+ttcb")*('Chi tiết'!$E$8:$E$3022))</f>
        <v>0</v>
      </c>
      <c r="E5" s="27">
        <f>SUMPRODUCT(('Chi tiết'!$B$8:$B$3022="2")*('Chi tiết'!$C$8:$C$3022="+tvtb")*('Chi tiết'!$E$8:$E$3022))</f>
        <v>0</v>
      </c>
      <c r="F5" s="20">
        <f>SUMPRODUCT(('Chi tiết'!$B$8:$B$3022="2")*('Chi tiết'!$C$8:$C$3022="+tshb")*('Chi tiết'!$E$8:$E$3022))</f>
        <v>0</v>
      </c>
      <c r="G5" s="20">
        <f>SUMPRODUCT(('Chi tiết'!$B$8:$B$3022="2")*('Chi tiết'!$C$8:$C$3022="+ttm")*('Chi tiết'!$E$8:$E$3022))</f>
        <v>0</v>
      </c>
      <c r="H5" s="19">
        <f t="shared" ref="H5:H16" si="2">SUM(D5:G5)</f>
        <v>0</v>
      </c>
      <c r="I5" s="20">
        <f>SUMPRODUCT(('Chi tiết'!$B$8:$B$3022="2")*('Chi tiết'!$C$8:$C$3022="-ctcb")*('Chi tiết'!$E$8:$E$3022))</f>
        <v>0</v>
      </c>
      <c r="J5" s="20">
        <f>SUMPRODUCT(('Chi tiết'!$B$8:$B$3022="2")*('Chi tiết'!$C$8:$C$3022="-cvtb")*('Chi tiết'!$E$8:$E$3022))</f>
        <v>0</v>
      </c>
      <c r="K5" s="20">
        <f>SUMPRODUCT(('Chi tiết'!$B$8:$B$3022="2")*('Chi tiết'!$C$8:$C$3022="-cshb")*('Chi tiết'!$E$8:$E$3022))</f>
        <v>0</v>
      </c>
      <c r="L5" s="20">
        <f>SUMPRODUCT(('Chi tiết'!$B$8:$B$3022="2")*('Chi tiết'!$C$8:$C$3022="-ctm")*('Chi tiết'!$E$8:$E$3022))</f>
        <v>0</v>
      </c>
      <c r="M5" s="19">
        <f t="shared" si="1"/>
        <v>0</v>
      </c>
    </row>
    <row r="6" spans="1:13" ht="14.25">
      <c r="A6" s="18">
        <v>3</v>
      </c>
      <c r="B6" s="155"/>
      <c r="C6" s="19">
        <f t="shared" si="0"/>
        <v>0</v>
      </c>
      <c r="D6" s="20">
        <f>SUMPRODUCT(('Chi tiết'!$B$8:$B$3022="3")*('Chi tiết'!$C$8:$C$3022="+ttcb")*('Chi tiết'!$E$8:$E$3022))</f>
        <v>0</v>
      </c>
      <c r="E6" s="20">
        <f>SUMPRODUCT(('Chi tiết'!$B$8:$B$3022="3")*('Chi tiết'!$C$8:$C$3022="+tvtb")*('Chi tiết'!$E$8:$E$3022))</f>
        <v>0</v>
      </c>
      <c r="F6" s="20">
        <f>SUMPRODUCT(('Chi tiết'!$B$8:$B$3022="3")*('Chi tiết'!$C$8:$C$3022="+tshb")*('Chi tiết'!$E$8:$E$3022))</f>
        <v>0</v>
      </c>
      <c r="G6" s="20">
        <f>SUMPRODUCT(('Chi tiết'!$B$8:$B$3022="3")*('Chi tiết'!$C$8:$C$3022="+ttm")*('Chi tiết'!$E$8:$E$3022))</f>
        <v>0</v>
      </c>
      <c r="H6" s="19">
        <f t="shared" si="2"/>
        <v>0</v>
      </c>
      <c r="I6" s="20">
        <f>SUMPRODUCT(('Chi tiết'!$B$8:$B$3022="3")*('Chi tiết'!$C$8:$C$3022="-ctcb")*('Chi tiết'!$E$8:$E$3022))</f>
        <v>0</v>
      </c>
      <c r="J6" s="20">
        <f>SUMPRODUCT(('Chi tiết'!$B$8:$B$3022="3")*('Chi tiết'!$C$8:$C$3022="-cvtb")*('Chi tiết'!$E$8:$E$3022))</f>
        <v>0</v>
      </c>
      <c r="K6" s="20">
        <f>SUMPRODUCT(('Chi tiết'!$B$8:$B$3022="3")*('Chi tiết'!$C$8:$C$3022="-cshb")*('Chi tiết'!$E$8:$E$3022))</f>
        <v>0</v>
      </c>
      <c r="L6" s="20">
        <f>SUMPRODUCT(('Chi tiết'!$B$8:$B$3022="3")*('Chi tiết'!$C$8:$C$3022="-ctm")*('Chi tiết'!$E$8:$E$3022))</f>
        <v>0</v>
      </c>
      <c r="M6" s="19">
        <f t="shared" si="1"/>
        <v>0</v>
      </c>
    </row>
    <row r="7" spans="1:13" ht="14.25">
      <c r="A7" s="18">
        <v>4</v>
      </c>
      <c r="B7" s="155"/>
      <c r="C7" s="19">
        <f t="shared" si="0"/>
        <v>0</v>
      </c>
      <c r="D7" s="20">
        <f>SUMPRODUCT(('Chi tiết'!$B$8:$B$3022="4")*('Chi tiết'!$C$8:$C$3022="+ttcb")*('Chi tiết'!$E$8:$E$3022))</f>
        <v>0</v>
      </c>
      <c r="E7" s="20">
        <f>SUMPRODUCT(('Chi tiết'!$B$8:$B$3022="4")*('Chi tiết'!$C$8:$C$3022="+tvtb")*('Chi tiết'!$E$8:$E$3022))</f>
        <v>0</v>
      </c>
      <c r="F7" s="20">
        <f>SUMPRODUCT(('Chi tiết'!$B$8:$B$3022="4")*('Chi tiết'!$C$8:$C$3022="+tshb")*('Chi tiết'!$E$8:$E$3022))</f>
        <v>0</v>
      </c>
      <c r="G7" s="20">
        <f>SUMPRODUCT(('Chi tiết'!$B$8:$B$3022="4")*('Chi tiết'!$C$8:$C$3022="+ttm")*('Chi tiết'!$E$8:$E$3022))</f>
        <v>0</v>
      </c>
      <c r="H7" s="19">
        <f t="shared" si="2"/>
        <v>0</v>
      </c>
      <c r="I7" s="20">
        <f>SUMPRODUCT(('Chi tiết'!$B$8:$B$3022="4")*('Chi tiết'!$C$8:$C$3022="-ctcb")*('Chi tiết'!$E$8:$E$3022))</f>
        <v>0</v>
      </c>
      <c r="J7" s="20">
        <f>SUMPRODUCT(('Chi tiết'!$B$8:$B$3022="4")*('Chi tiết'!$C$8:$C$3022="-cvtb")*('Chi tiết'!$E$8:$E$3022))</f>
        <v>0</v>
      </c>
      <c r="K7" s="20">
        <f>SUMPRODUCT(('Chi tiết'!$B$8:$B$3022="4")*('Chi tiết'!$C$8:$C$3022="-cshb")*('Chi tiết'!$E$8:$E$3022))</f>
        <v>0</v>
      </c>
      <c r="L7" s="20">
        <f>SUMPRODUCT(('Chi tiết'!$B$8:$B$3022="4")*('Chi tiết'!$C$8:$C$3022="-ctm")*('Chi tiết'!$E$8:$E$3022))</f>
        <v>0</v>
      </c>
      <c r="M7" s="19">
        <f t="shared" si="1"/>
        <v>0</v>
      </c>
    </row>
    <row r="8" spans="1:13" ht="14.25">
      <c r="A8" s="18">
        <v>5</v>
      </c>
      <c r="B8" s="155"/>
      <c r="C8" s="19">
        <f t="shared" si="0"/>
        <v>0</v>
      </c>
      <c r="D8" s="20">
        <f>SUMPRODUCT(('Chi tiết'!$B$8:$B$3022="5")*('Chi tiết'!$C$8:$C$3022="+ttcb")*('Chi tiết'!$E$8:$E$3022))</f>
        <v>0</v>
      </c>
      <c r="E8" s="20">
        <f>SUMPRODUCT(('Chi tiết'!$B$8:$B$3022="5")*('Chi tiết'!$C$8:$C$3022="+tvtb")*('Chi tiết'!$E$8:$E$3022))</f>
        <v>0</v>
      </c>
      <c r="F8" s="20">
        <f>SUMPRODUCT(('Chi tiết'!$B$8:$B$3022="5")*('Chi tiết'!$C$8:$C$3022="+tshb")*('Chi tiết'!$E$8:$E$3022))</f>
        <v>0</v>
      </c>
      <c r="G8" s="20">
        <f>SUMPRODUCT(('Chi tiết'!$B$8:$B$3022="5")*('Chi tiết'!$C$8:$C$3022="+ttm")*('Chi tiết'!$E$8:$E$3022))</f>
        <v>0</v>
      </c>
      <c r="H8" s="19">
        <f t="shared" si="2"/>
        <v>0</v>
      </c>
      <c r="I8" s="20">
        <f>SUMPRODUCT(('Chi tiết'!$B$8:$B$3022="5")*('Chi tiết'!$C$8:$C$3022="-ctcb")*('Chi tiết'!$E$8:$E$3022))</f>
        <v>0</v>
      </c>
      <c r="J8" s="20">
        <f>SUMPRODUCT(('Chi tiết'!$B$8:$B$3022="5")*('Chi tiết'!$C$8:$C$3022="-cvtb")*('Chi tiết'!$E$8:$E$3022))</f>
        <v>0</v>
      </c>
      <c r="K8" s="20">
        <f>SUMPRODUCT(('Chi tiết'!$B$8:$B$3022="5")*('Chi tiết'!$C$8:$C$3022="-cshb")*('Chi tiết'!$E$8:$E$3022))</f>
        <v>0</v>
      </c>
      <c r="L8" s="20">
        <f>SUMPRODUCT(('Chi tiết'!$B$8:$B$3022="5")*('Chi tiết'!$C$8:$C$3022="-ctm")*('Chi tiết'!$E$8:$E$3022))</f>
        <v>0</v>
      </c>
      <c r="M8" s="19">
        <f t="shared" si="1"/>
        <v>0</v>
      </c>
    </row>
    <row r="9" spans="1:13" ht="14.25">
      <c r="A9" s="18">
        <v>6</v>
      </c>
      <c r="B9" s="155"/>
      <c r="C9" s="19">
        <f t="shared" si="0"/>
        <v>0</v>
      </c>
      <c r="D9" s="20">
        <f>SUMPRODUCT(('Chi tiết'!$B$8:$B$3022="6")*('Chi tiết'!$C$8:$C$3022="+ttcb")*('Chi tiết'!$E$8:$E$3022))</f>
        <v>0</v>
      </c>
      <c r="E9" s="20">
        <f>SUMPRODUCT(('Chi tiết'!$B$8:$B$3022="6")*('Chi tiết'!$C$8:$C$3022="+tvtb")*('Chi tiết'!$E$8:$E$3022))</f>
        <v>0</v>
      </c>
      <c r="F9" s="20">
        <f>SUMPRODUCT(('Chi tiết'!$B$8:$B$3022="6")*('Chi tiết'!$C$8:$C$3022="+tshb")*('Chi tiết'!$E$8:$E$3022))</f>
        <v>0</v>
      </c>
      <c r="G9" s="20">
        <f>SUMPRODUCT(('Chi tiết'!$B$8:$B$3022="6")*('Chi tiết'!$C$8:$C$3022="+ttm")*('Chi tiết'!$E$8:$E$3022))</f>
        <v>0</v>
      </c>
      <c r="H9" s="19">
        <f t="shared" si="2"/>
        <v>0</v>
      </c>
      <c r="I9" s="20">
        <f>SUMPRODUCT(('Chi tiết'!$B$8:$B$3022="6")*('Chi tiết'!$C$8:$C$3022="-ctcb")*('Chi tiết'!$E$8:$E$3022))</f>
        <v>0</v>
      </c>
      <c r="J9" s="20">
        <f>SUMPRODUCT(('Chi tiết'!$B$8:$B$3022="6")*('Chi tiết'!$C$8:$C$3022="-cvtb")*('Chi tiết'!$E$8:$E$3022))</f>
        <v>0</v>
      </c>
      <c r="K9" s="20">
        <f>SUMPRODUCT(('Chi tiết'!$B$8:$B$3022="6")*('Chi tiết'!$C$8:$C$3022="-cshb")*('Chi tiết'!$E$8:$E$3022))</f>
        <v>0</v>
      </c>
      <c r="L9" s="20">
        <f>SUMPRODUCT(('Chi tiết'!$B$8:$B$3022="6")*('Chi tiết'!$C$8:$C$3022="-ctm")*('Chi tiết'!$E$8:$E$3022))</f>
        <v>0</v>
      </c>
      <c r="M9" s="19">
        <f t="shared" si="1"/>
        <v>0</v>
      </c>
    </row>
    <row r="10" spans="1:13" ht="14.25">
      <c r="A10" s="18">
        <v>7</v>
      </c>
      <c r="B10" s="156"/>
      <c r="C10" s="19">
        <f t="shared" si="0"/>
        <v>0</v>
      </c>
      <c r="D10" s="20">
        <f>SUMPRODUCT(('Chi tiết'!$B$8:$B$3022="7")*('Chi tiết'!$C$8:$C$3022="+ttcb")*('Chi tiết'!$E$8:$E$3022))</f>
        <v>0</v>
      </c>
      <c r="E10" s="20">
        <f>SUMPRODUCT(('Chi tiết'!$B$8:$B$3022="7")*('Chi tiết'!$C$8:$C$3022="+tvtb")*('Chi tiết'!$E$8:$E$3022))</f>
        <v>0</v>
      </c>
      <c r="F10" s="20">
        <f>SUMPRODUCT(('Chi tiết'!$B$8:$B$3022="7")*('Chi tiết'!$C$8:$C$3022="+tshb")*('Chi tiết'!$E$8:$E$3022))</f>
        <v>0</v>
      </c>
      <c r="G10" s="20">
        <f>SUMPRODUCT(('Chi tiết'!$B$8:$B$3022="7")*('Chi tiết'!$C$8:$C$3022="+ttm")*('Chi tiết'!$E$8:$E$3022))</f>
        <v>0</v>
      </c>
      <c r="H10" s="19">
        <f t="shared" si="2"/>
        <v>0</v>
      </c>
      <c r="I10" s="20">
        <f>SUMPRODUCT(('Chi tiết'!$B$8:$B$3022="7")*('Chi tiết'!$C$8:$C$3022="-ctcb")*('Chi tiết'!$E$8:$E$3022))</f>
        <v>0</v>
      </c>
      <c r="J10" s="20">
        <f>SUMPRODUCT(('Chi tiết'!$B$8:$B$3022="7")*('Chi tiết'!$C$8:$C$3022="-cvtb")*('Chi tiết'!$E$8:$E$3022))</f>
        <v>0</v>
      </c>
      <c r="K10" s="20">
        <f>SUMPRODUCT(('Chi tiết'!$B$8:$B$3022="7")*('Chi tiết'!$C$8:$C$3022="-cshb")*('Chi tiết'!$E$8:$E$3022))</f>
        <v>0</v>
      </c>
      <c r="L10" s="20">
        <f>SUMPRODUCT(('Chi tiết'!$B$8:$B$3022="7")*('Chi tiết'!$C$8:$C$3022="-ctm")*('Chi tiết'!$E$8:$E$3022))</f>
        <v>0</v>
      </c>
      <c r="M10" s="19">
        <f t="shared" si="1"/>
        <v>0</v>
      </c>
    </row>
    <row r="11" spans="1:13" ht="14.25">
      <c r="A11" s="18">
        <v>8</v>
      </c>
      <c r="B11" s="160"/>
      <c r="C11" s="19">
        <f t="shared" si="0"/>
        <v>0</v>
      </c>
      <c r="D11" s="20">
        <f>SUMPRODUCT(('Chi tiết'!$B$8:$B$3022="8")*('Chi tiết'!$C$8:$C$3022="+ttcb")*('Chi tiết'!$E$8:$E$3022))</f>
        <v>0</v>
      </c>
      <c r="E11" s="20">
        <f>SUMPRODUCT(('Chi tiết'!$B$8:$B$3022="8")*('Chi tiết'!$C$8:$C$3022="+tvtb")*('Chi tiết'!$E$8:$E$3022))</f>
        <v>0</v>
      </c>
      <c r="F11" s="20">
        <f>SUMPRODUCT(('Chi tiết'!$B$8:$B$3022="8")*('Chi tiết'!$C$8:$C$3022="+tshb")*('Chi tiết'!$E$8:$E$3022))</f>
        <v>0</v>
      </c>
      <c r="G11" s="20">
        <f>SUMPRODUCT(('Chi tiết'!$B$8:$B$3022="8")*('Chi tiết'!$C$8:$C$3022="+ttm")*('Chi tiết'!$E$8:$E$3022))</f>
        <v>0</v>
      </c>
      <c r="H11" s="19">
        <f t="shared" si="2"/>
        <v>0</v>
      </c>
      <c r="I11" s="20">
        <f>SUMPRODUCT(('Chi tiết'!$B$8:$B$3022="8")*('Chi tiết'!$C$8:$C$3022="-ctcb")*('Chi tiết'!$E$8:$E$3022))</f>
        <v>0</v>
      </c>
      <c r="J11" s="20">
        <f>SUMPRODUCT(('Chi tiết'!$B$8:$B$3022="8")*('Chi tiết'!$C$8:$C$3022="-cvtb")*('Chi tiết'!$E$8:$E$3022))</f>
        <v>0</v>
      </c>
      <c r="K11" s="20">
        <f>SUMPRODUCT(('Chi tiết'!$B$8:$B$3022="8")*('Chi tiết'!$C$8:$C$3022="-cshb")*('Chi tiết'!$E$8:$E$3022))</f>
        <v>0</v>
      </c>
      <c r="L11" s="20">
        <f>SUMPRODUCT(('Chi tiết'!$B$8:$B$3022="8")*('Chi tiết'!$C$8:$C$3022="-ctm")*('Chi tiết'!$E$8:$E$3022))</f>
        <v>0</v>
      </c>
      <c r="M11" s="19">
        <f t="shared" si="1"/>
        <v>0</v>
      </c>
    </row>
    <row r="12" spans="1:13" ht="14.25">
      <c r="A12" s="18">
        <v>9</v>
      </c>
      <c r="B12" s="155"/>
      <c r="C12" s="19">
        <f t="shared" si="0"/>
        <v>0</v>
      </c>
      <c r="D12" s="20">
        <f>SUMPRODUCT(('Chi tiết'!$B$8:$B$3022="9")*('Chi tiết'!$C$8:$C$3022="+ttcb")*('Chi tiết'!$E$8:$E$3022))</f>
        <v>0</v>
      </c>
      <c r="E12" s="20">
        <f>SUMPRODUCT(('Chi tiết'!$B$8:$B$3022="9")*('Chi tiết'!$C$8:$C$3022="+tvtb")*('Chi tiết'!$E$8:$E$3022))</f>
        <v>0</v>
      </c>
      <c r="F12" s="20">
        <f>SUMPRODUCT(('Chi tiết'!$B$8:$B$3022="9")*('Chi tiết'!$C$8:$C$3022="+tshb")*('Chi tiết'!$E$8:$E$3022))</f>
        <v>0</v>
      </c>
      <c r="G12" s="20">
        <f>SUMPRODUCT(('Chi tiết'!$B$8:$B$3022="9")*('Chi tiết'!$C$8:$C$3022="+ttm")*('Chi tiết'!$E$8:$E$3022))</f>
        <v>0</v>
      </c>
      <c r="H12" s="19">
        <f t="shared" si="2"/>
        <v>0</v>
      </c>
      <c r="I12" s="20">
        <f>SUMPRODUCT(('Chi tiết'!$B$8:$B$3022="9")*('Chi tiết'!$C$8:$C$3022="-ctcb")*('Chi tiết'!$E$8:$E$3022))</f>
        <v>0</v>
      </c>
      <c r="J12" s="20">
        <f>SUMPRODUCT(('Chi tiết'!$B$8:$B$3022="9")*('Chi tiết'!$C$8:$C$3022="-cvtb")*('Chi tiết'!$E$8:$E$3022))</f>
        <v>0</v>
      </c>
      <c r="K12" s="20">
        <f>SUMPRODUCT(('Chi tiết'!$B$8:$B$3022="9")*('Chi tiết'!$C$8:$C$3022="-cshb")*('Chi tiết'!$E$8:$E$3022))</f>
        <v>0</v>
      </c>
      <c r="L12" s="20">
        <f>SUMPRODUCT(('Chi tiết'!$B$8:$B$3022="9")*('Chi tiết'!$C$8:$C$3022="-ctm")*('Chi tiết'!$E$8:$E$3022))</f>
        <v>0</v>
      </c>
      <c r="M12" s="19">
        <f t="shared" si="1"/>
        <v>0</v>
      </c>
    </row>
    <row r="13" spans="1:13" ht="14.25">
      <c r="A13" s="18">
        <v>10</v>
      </c>
      <c r="B13" s="185"/>
      <c r="C13" s="19">
        <f t="shared" si="0"/>
        <v>0</v>
      </c>
      <c r="D13" s="20">
        <f>SUMPRODUCT(('Chi tiết'!$B$8:$B$3022="10")*('Chi tiết'!$C$8:$C$3022="+ttcb")*('Chi tiết'!$E$8:$E$3022))</f>
        <v>0</v>
      </c>
      <c r="E13" s="20">
        <f>SUMPRODUCT(('Chi tiết'!$B$8:$B$3022="10")*('Chi tiết'!$C$8:$C$3022="+tvtb")*('Chi tiết'!$E$8:$E$3022))</f>
        <v>0</v>
      </c>
      <c r="F13" s="20">
        <f>SUMPRODUCT(('Chi tiết'!$B$8:$B$3022="10")*('Chi tiết'!$C$8:$C$3022="+tshb")*('Chi tiết'!$E$8:$E$3022))</f>
        <v>0</v>
      </c>
      <c r="G13" s="20">
        <f>SUMPRODUCT(('Chi tiết'!$B$8:$B$3022="10")*('Chi tiết'!$C$8:$C$3022="+ttm")*('Chi tiết'!$E$8:$E$3022))</f>
        <v>0</v>
      </c>
      <c r="H13" s="19">
        <f t="shared" si="2"/>
        <v>0</v>
      </c>
      <c r="I13" s="20">
        <f>SUMPRODUCT(('Chi tiết'!$B$8:$B$3022="10")*('Chi tiết'!$C$8:$C$3022="-ctcb")*('Chi tiết'!$E$8:$E$3022))</f>
        <v>0</v>
      </c>
      <c r="J13" s="20">
        <f>SUMPRODUCT(('Chi tiết'!$B$8:$B$3022="10")*('Chi tiết'!$C$8:$C$3022="-cvtb")*('Chi tiết'!$E$8:$E$3022))</f>
        <v>0</v>
      </c>
      <c r="K13" s="20">
        <f>SUMPRODUCT(('Chi tiết'!$B$8:$B$3022="10")*('Chi tiết'!$C$8:$C$3022="-cshb")*('Chi tiết'!$E$8:$E$3022))</f>
        <v>0</v>
      </c>
      <c r="L13" s="20">
        <f>SUMPRODUCT(('Chi tiết'!$B$8:$B$3022="10")*('Chi tiết'!$C$8:$C$3022="-ctm")*('Chi tiết'!$E$8:$E$3022))</f>
        <v>0</v>
      </c>
      <c r="M13" s="19">
        <f t="shared" si="1"/>
        <v>0</v>
      </c>
    </row>
    <row r="14" spans="1:13" ht="14.25">
      <c r="A14" s="18">
        <v>11</v>
      </c>
      <c r="B14" s="155"/>
      <c r="C14" s="19">
        <f t="shared" si="0"/>
        <v>0</v>
      </c>
      <c r="D14" s="20">
        <f>SUMPRODUCT(('Chi tiết'!$B$8:$B$3022="11")*('Chi tiết'!$C$8:$C$3022="+ttcb")*('Chi tiết'!$E$8:$E$3022))</f>
        <v>0</v>
      </c>
      <c r="E14" s="20">
        <f>SUMPRODUCT(('Chi tiết'!$B$8:$B$3022="11")*('Chi tiết'!$C$8:$C$3022="+tvtb")*('Chi tiết'!$E$8:$E$3022))</f>
        <v>0</v>
      </c>
      <c r="F14" s="20">
        <f>SUMPRODUCT(('Chi tiết'!$B$8:$B$3022="11")*('Chi tiết'!$C$8:$C$3022="+tshb")*('Chi tiết'!$E$8:$E$3022))</f>
        <v>0</v>
      </c>
      <c r="G14" s="20">
        <f>SUMPRODUCT(('Chi tiết'!$B$8:$B$3022="11")*('Chi tiết'!$C$8:$C$3022="+ttm")*('Chi tiết'!$E$8:$E$3022))</f>
        <v>0</v>
      </c>
      <c r="H14" s="19">
        <f t="shared" si="2"/>
        <v>0</v>
      </c>
      <c r="I14" s="20">
        <f>SUMPRODUCT(('Chi tiết'!$B$8:$B$3022="11")*('Chi tiết'!$C$8:$C$3022="-ctcb")*('Chi tiết'!$E$8:$E$3022))</f>
        <v>0</v>
      </c>
      <c r="J14" s="20">
        <f>SUMPRODUCT(('Chi tiết'!$B$8:$B$3022="11")*('Chi tiết'!$C$8:$C$3022="-cvtb")*('Chi tiết'!$E$8:$E$3022))</f>
        <v>0</v>
      </c>
      <c r="K14" s="20">
        <f>SUMPRODUCT(('Chi tiết'!$B$8:$B$3022="11")*('Chi tiết'!$C$8:$C$3022="-cshb")*('Chi tiết'!$E$8:$E$3022))</f>
        <v>0</v>
      </c>
      <c r="L14" s="20">
        <f>SUMPRODUCT(('Chi tiết'!$B$8:$B$3022="11")*('Chi tiết'!$C$8:$C$3022="-ctm")*('Chi tiết'!$E$8:$E$3022))</f>
        <v>0</v>
      </c>
      <c r="M14" s="19">
        <f t="shared" si="1"/>
        <v>0</v>
      </c>
    </row>
    <row r="15" spans="1:13" ht="14.25">
      <c r="A15" s="21">
        <v>12</v>
      </c>
      <c r="B15" s="208"/>
      <c r="C15" s="19">
        <f t="shared" si="0"/>
        <v>0</v>
      </c>
      <c r="D15" s="24">
        <f>SUMPRODUCT(('Chi tiết'!$B$8:$B$3022="12")*('Chi tiết'!$C$8:$C$3022="+ttcb")*('Chi tiết'!$E$8:$E$3022))</f>
        <v>0</v>
      </c>
      <c r="E15" s="24">
        <f>SUMPRODUCT(('Chi tiết'!$B$8:$B$3022="12")*('Chi tiết'!$C$8:$C$3022="+tvtb")*('Chi tiết'!$E$8:$E$3022))</f>
        <v>0</v>
      </c>
      <c r="F15" s="24">
        <f>SUMPRODUCT(('Chi tiết'!$B$8:$B$3022="12")*('Chi tiết'!$C$8:$C$3022="+tshb")*('Chi tiết'!$E$8:$E$3022))</f>
        <v>0</v>
      </c>
      <c r="G15" s="24">
        <f>SUMPRODUCT(('Chi tiết'!$B$8:$B$3022="12")*('Chi tiết'!$C$8:$C$3022="+ttm")*('Chi tiết'!$E$8:$E$3022))</f>
        <v>0</v>
      </c>
      <c r="H15" s="22">
        <f t="shared" si="2"/>
        <v>0</v>
      </c>
      <c r="I15" s="24">
        <f>SUMPRODUCT(('Chi tiết'!$B$8:$B$3022="12")*('Chi tiết'!$C$8:$C$3022="-ctcb")*('Chi tiết'!$E$8:$E$3022))</f>
        <v>0</v>
      </c>
      <c r="J15" s="24">
        <f>SUMPRODUCT(('Chi tiết'!$B$8:$B$3022="12")*('Chi tiết'!$C$8:$C$3022="-cvtb")*('Chi tiết'!$E$8:$E$3022))</f>
        <v>0</v>
      </c>
      <c r="K15" s="24">
        <f>SUMPRODUCT(('Chi tiết'!$B$8:$B$3022="12")*('Chi tiết'!$C$8:$C$3022="-cshb")*('Chi tiết'!$E$8:$E$3022))</f>
        <v>0</v>
      </c>
      <c r="L15" s="24">
        <f>SUMPRODUCT(('Chi tiết'!$B$8:$B$3022="12")*('Chi tiết'!$C$8:$C$3022="-ctm")*('Chi tiết'!$E$8:$E$3022))</f>
        <v>0</v>
      </c>
      <c r="M15" s="22">
        <f t="shared" si="1"/>
        <v>0</v>
      </c>
    </row>
    <row r="16" spans="1:13" ht="14.25">
      <c r="A16" s="32" t="s">
        <v>12</v>
      </c>
      <c r="B16" s="154">
        <f t="shared" ref="B16:G16" si="3">SUM(B4:B15)</f>
        <v>688671641</v>
      </c>
      <c r="C16" s="31">
        <f t="shared" si="3"/>
        <v>2385950417</v>
      </c>
      <c r="D16" s="25">
        <f t="shared" si="3"/>
        <v>1074358000</v>
      </c>
      <c r="E16" s="25">
        <f t="shared" si="3"/>
        <v>2348314847</v>
      </c>
      <c r="F16" s="25">
        <f t="shared" si="3"/>
        <v>0</v>
      </c>
      <c r="G16" s="25">
        <f t="shared" si="3"/>
        <v>30000000</v>
      </c>
      <c r="H16" s="26">
        <f t="shared" si="2"/>
        <v>3452672847</v>
      </c>
      <c r="I16" s="25">
        <f>SUM(I4:I15)</f>
        <v>372552980</v>
      </c>
      <c r="J16" s="25">
        <f>SUM(J4:J15)</f>
        <v>1352781091</v>
      </c>
      <c r="K16" s="25">
        <f>SUM(K4:K15)</f>
        <v>0</v>
      </c>
      <c r="L16" s="25">
        <f>SUM(L4:L15)</f>
        <v>30060000</v>
      </c>
      <c r="M16" s="26">
        <f>SUM(M4:M15)</f>
        <v>1755394071</v>
      </c>
    </row>
    <row r="17" spans="5:10">
      <c r="E17" s="23"/>
      <c r="F17" s="23"/>
      <c r="G17" s="23"/>
      <c r="I17" s="23"/>
    </row>
    <row r="18" spans="5:10">
      <c r="E18" s="29"/>
      <c r="F18" s="28"/>
      <c r="G18" s="28"/>
      <c r="I18" s="23"/>
      <c r="J18" s="23"/>
    </row>
    <row r="19" spans="5:10">
      <c r="E19" s="30"/>
      <c r="G19" s="23"/>
    </row>
    <row r="20" spans="5:10">
      <c r="E20" s="23"/>
    </row>
    <row r="21" spans="5:10">
      <c r="E21" s="23"/>
      <c r="H21" s="23"/>
    </row>
    <row r="22" spans="5:10">
      <c r="J22" s="23"/>
    </row>
    <row r="30" spans="5:10">
      <c r="F30" s="5" t="s">
        <v>13</v>
      </c>
    </row>
    <row r="31" spans="5:10">
      <c r="F31" s="33"/>
    </row>
  </sheetData>
  <mergeCells count="6">
    <mergeCell ref="A2:A3"/>
    <mergeCell ref="C2:C3"/>
    <mergeCell ref="A1:M1"/>
    <mergeCell ref="D2:H2"/>
    <mergeCell ref="I2:M2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5"/>
  <sheetViews>
    <sheetView zoomScale="115" zoomScaleNormal="115" workbookViewId="0">
      <pane ySplit="7" topLeftCell="A53" activePane="bottomLeft" state="frozen"/>
      <selection pane="bottomLeft" activeCell="D70" sqref="D70"/>
    </sheetView>
  </sheetViews>
  <sheetFormatPr defaultColWidth="9.140625" defaultRowHeight="14.25"/>
  <cols>
    <col min="1" max="1" width="7" style="1" customWidth="1"/>
    <col min="2" max="2" width="12.85546875" style="1" bestFit="1" customWidth="1"/>
    <col min="3" max="3" width="19" style="1" customWidth="1"/>
    <col min="4" max="4" width="54.7109375" style="2" customWidth="1"/>
    <col min="5" max="5" width="19.5703125" style="3" customWidth="1"/>
    <col min="6" max="6" width="14.28515625" style="4" bestFit="1" customWidth="1"/>
    <col min="7" max="7" width="14.28515625" style="4" customWidth="1"/>
    <col min="8" max="8" width="16.7109375" style="2" customWidth="1"/>
    <col min="9" max="9" width="19.42578125" style="145" customWidth="1"/>
    <col min="10" max="10" width="18.85546875" style="5" customWidth="1"/>
    <col min="11" max="16384" width="9.140625" style="5"/>
  </cols>
  <sheetData>
    <row r="1" spans="1:11" customFormat="1" ht="18">
      <c r="A1" s="6"/>
      <c r="B1" s="6"/>
      <c r="C1" s="259" t="s">
        <v>14</v>
      </c>
      <c r="D1" s="260"/>
      <c r="E1" s="260"/>
      <c r="F1" s="260"/>
      <c r="G1" s="200"/>
      <c r="H1" s="141"/>
      <c r="I1" s="143"/>
      <c r="J1" s="210" t="s">
        <v>15</v>
      </c>
      <c r="K1" s="210" t="s">
        <v>16</v>
      </c>
    </row>
    <row r="2" spans="1:11" customFormat="1" ht="18">
      <c r="A2" s="6"/>
      <c r="B2" s="6"/>
      <c r="C2" s="10" t="s">
        <v>17</v>
      </c>
      <c r="D2" s="7" t="s">
        <v>18</v>
      </c>
      <c r="E2" s="10" t="s">
        <v>19</v>
      </c>
      <c r="F2" s="7" t="s">
        <v>20</v>
      </c>
      <c r="G2" s="201"/>
      <c r="H2" s="141"/>
      <c r="I2" s="143"/>
      <c r="K2" s="210" t="s">
        <v>21</v>
      </c>
    </row>
    <row r="3" spans="1:11" customFormat="1" ht="18">
      <c r="A3" s="6"/>
      <c r="B3" s="6"/>
      <c r="C3" s="10" t="s">
        <v>22</v>
      </c>
      <c r="D3" s="7" t="s">
        <v>23</v>
      </c>
      <c r="E3" s="11" t="s">
        <v>24</v>
      </c>
      <c r="F3" s="8" t="s">
        <v>25</v>
      </c>
      <c r="G3" s="202"/>
      <c r="H3" s="141"/>
      <c r="I3" s="143"/>
      <c r="K3" s="210" t="s">
        <v>26</v>
      </c>
    </row>
    <row r="4" spans="1:11" customFormat="1" ht="18">
      <c r="A4" s="6"/>
      <c r="B4" s="6"/>
      <c r="C4" s="10" t="s">
        <v>27</v>
      </c>
      <c r="D4" s="7" t="s">
        <v>28</v>
      </c>
      <c r="E4" s="11" t="s">
        <v>29</v>
      </c>
      <c r="F4" s="8" t="s">
        <v>30</v>
      </c>
      <c r="G4" s="202"/>
      <c r="H4" s="141"/>
      <c r="I4" s="143"/>
      <c r="K4" s="210" t="s">
        <v>31</v>
      </c>
    </row>
    <row r="5" spans="1:11" customFormat="1" ht="18">
      <c r="A5" s="6"/>
      <c r="B5" s="6"/>
      <c r="C5" s="10" t="s">
        <v>32</v>
      </c>
      <c r="D5" s="7" t="s">
        <v>33</v>
      </c>
      <c r="E5" s="10" t="s">
        <v>34</v>
      </c>
      <c r="F5" s="7" t="s">
        <v>35</v>
      </c>
      <c r="G5" s="201"/>
      <c r="H5" s="141"/>
      <c r="I5" s="143"/>
      <c r="K5" s="210" t="s">
        <v>36</v>
      </c>
    </row>
    <row r="6" spans="1:11" customFormat="1" ht="15.75" customHeight="1">
      <c r="A6" s="264" t="s">
        <v>37</v>
      </c>
      <c r="B6" s="262" t="s">
        <v>1</v>
      </c>
      <c r="C6" s="264" t="s">
        <v>38</v>
      </c>
      <c r="D6" s="265" t="s">
        <v>39</v>
      </c>
      <c r="E6" s="266" t="s">
        <v>40</v>
      </c>
      <c r="F6" s="261" t="s">
        <v>41</v>
      </c>
      <c r="G6" s="257" t="s">
        <v>42</v>
      </c>
      <c r="H6" s="247" t="s">
        <v>43</v>
      </c>
      <c r="I6" s="255" t="s">
        <v>44</v>
      </c>
      <c r="J6" s="253" t="s">
        <v>45</v>
      </c>
      <c r="K6" s="210" t="s">
        <v>46</v>
      </c>
    </row>
    <row r="7" spans="1:11" s="9" customFormat="1">
      <c r="A7" s="264"/>
      <c r="B7" s="263"/>
      <c r="C7" s="262"/>
      <c r="D7" s="265"/>
      <c r="E7" s="266"/>
      <c r="F7" s="261"/>
      <c r="G7" s="258"/>
      <c r="H7" s="248"/>
      <c r="I7" s="256"/>
      <c r="J7" s="254"/>
      <c r="K7" s="204" t="s">
        <v>47</v>
      </c>
    </row>
    <row r="8" spans="1:11" s="81" customFormat="1">
      <c r="A8" s="99" t="s">
        <v>48</v>
      </c>
      <c r="B8" s="99" t="s">
        <v>49</v>
      </c>
      <c r="C8" s="99" t="s">
        <v>20</v>
      </c>
      <c r="D8" s="97" t="s">
        <v>50</v>
      </c>
      <c r="E8" s="82">
        <v>11214000</v>
      </c>
      <c r="F8" s="98" t="s">
        <v>51</v>
      </c>
      <c r="G8" s="98" t="s">
        <v>52</v>
      </c>
      <c r="H8" s="97"/>
      <c r="I8" s="206" t="s">
        <v>53</v>
      </c>
      <c r="J8" s="168"/>
    </row>
    <row r="9" spans="1:11" s="81" customFormat="1">
      <c r="A9" s="99" t="s">
        <v>48</v>
      </c>
      <c r="B9" s="99" t="s">
        <v>49</v>
      </c>
      <c r="C9" s="99" t="s">
        <v>20</v>
      </c>
      <c r="D9" s="97" t="s">
        <v>54</v>
      </c>
      <c r="E9" s="82">
        <v>14000000</v>
      </c>
      <c r="F9" s="98" t="s">
        <v>51</v>
      </c>
      <c r="G9" s="98" t="s">
        <v>55</v>
      </c>
      <c r="H9" s="97"/>
      <c r="I9" s="206" t="s">
        <v>53</v>
      </c>
      <c r="J9" s="192"/>
    </row>
    <row r="10" spans="1:11" s="81" customFormat="1">
      <c r="A10" s="99" t="s">
        <v>48</v>
      </c>
      <c r="B10" s="99" t="s">
        <v>49</v>
      </c>
      <c r="C10" s="99" t="s">
        <v>20</v>
      </c>
      <c r="D10" s="97" t="s">
        <v>56</v>
      </c>
      <c r="E10" s="82">
        <v>674520</v>
      </c>
      <c r="F10" s="98" t="s">
        <v>51</v>
      </c>
      <c r="G10" s="98" t="s">
        <v>55</v>
      </c>
      <c r="H10" s="97"/>
      <c r="I10" s="206" t="s">
        <v>53</v>
      </c>
      <c r="J10" s="169"/>
    </row>
    <row r="11" spans="1:11" s="81" customFormat="1">
      <c r="A11" s="99" t="s">
        <v>48</v>
      </c>
      <c r="B11" s="99" t="s">
        <v>49</v>
      </c>
      <c r="C11" s="99" t="s">
        <v>25</v>
      </c>
      <c r="D11" s="97" t="s">
        <v>57</v>
      </c>
      <c r="E11" s="82">
        <v>40652040</v>
      </c>
      <c r="F11" s="98" t="s">
        <v>58</v>
      </c>
      <c r="G11" s="98" t="s">
        <v>59</v>
      </c>
      <c r="H11" s="97" t="s">
        <v>60</v>
      </c>
      <c r="I11" s="144" t="s">
        <v>61</v>
      </c>
      <c r="J11" s="169"/>
    </row>
    <row r="12" spans="1:11" s="81" customFormat="1">
      <c r="A12" s="99" t="s">
        <v>48</v>
      </c>
      <c r="B12" s="99" t="s">
        <v>49</v>
      </c>
      <c r="C12" s="99" t="s">
        <v>25</v>
      </c>
      <c r="D12" s="97" t="s">
        <v>62</v>
      </c>
      <c r="E12" s="82">
        <v>4251500</v>
      </c>
      <c r="F12" s="98" t="s">
        <v>58</v>
      </c>
      <c r="G12" s="98" t="s">
        <v>59</v>
      </c>
      <c r="H12" s="97" t="s">
        <v>63</v>
      </c>
      <c r="I12" s="144" t="s">
        <v>64</v>
      </c>
      <c r="J12" s="169"/>
    </row>
    <row r="13" spans="1:11" s="81" customFormat="1">
      <c r="A13" s="99" t="s">
        <v>48</v>
      </c>
      <c r="B13" s="99" t="s">
        <v>49</v>
      </c>
      <c r="C13" s="99" t="s">
        <v>25</v>
      </c>
      <c r="D13" s="97" t="s">
        <v>65</v>
      </c>
      <c r="E13" s="82">
        <f>19800+19800</f>
        <v>39600</v>
      </c>
      <c r="F13" s="98" t="s">
        <v>58</v>
      </c>
      <c r="G13" s="98" t="s">
        <v>66</v>
      </c>
      <c r="H13" s="97"/>
      <c r="I13" s="144" t="s">
        <v>53</v>
      </c>
      <c r="J13" s="209"/>
    </row>
    <row r="14" spans="1:11" s="153" customFormat="1" ht="24.75">
      <c r="A14" s="147" t="s">
        <v>67</v>
      </c>
      <c r="B14" s="99" t="s">
        <v>49</v>
      </c>
      <c r="C14" s="147" t="s">
        <v>20</v>
      </c>
      <c r="D14" s="186" t="s">
        <v>68</v>
      </c>
      <c r="E14" s="193">
        <v>342000</v>
      </c>
      <c r="F14" s="150" t="s">
        <v>51</v>
      </c>
      <c r="G14" s="150" t="s">
        <v>52</v>
      </c>
      <c r="H14" s="151"/>
      <c r="I14" s="152" t="s">
        <v>53</v>
      </c>
      <c r="J14" s="170"/>
    </row>
    <row r="15" spans="1:11" s="153" customFormat="1">
      <c r="A15" s="147" t="s">
        <v>67</v>
      </c>
      <c r="B15" s="99" t="s">
        <v>49</v>
      </c>
      <c r="C15" s="147" t="s">
        <v>20</v>
      </c>
      <c r="D15" s="102" t="s">
        <v>69</v>
      </c>
      <c r="E15" s="93">
        <v>7650000</v>
      </c>
      <c r="F15" s="150" t="s">
        <v>51</v>
      </c>
      <c r="G15" s="150" t="s">
        <v>59</v>
      </c>
      <c r="H15" s="151" t="s">
        <v>70</v>
      </c>
      <c r="I15" s="152" t="s">
        <v>71</v>
      </c>
      <c r="J15" s="170"/>
    </row>
    <row r="16" spans="1:11" s="81" customFormat="1" ht="13.5">
      <c r="A16" s="147" t="s">
        <v>67</v>
      </c>
      <c r="B16" s="99" t="s">
        <v>49</v>
      </c>
      <c r="C16" s="147" t="s">
        <v>20</v>
      </c>
      <c r="D16" s="97" t="s">
        <v>72</v>
      </c>
      <c r="E16" s="82">
        <v>595000</v>
      </c>
      <c r="F16" s="150" t="s">
        <v>51</v>
      </c>
      <c r="G16" s="150" t="s">
        <v>55</v>
      </c>
      <c r="H16" s="97" t="s">
        <v>73</v>
      </c>
      <c r="I16" s="97" t="s">
        <v>53</v>
      </c>
      <c r="J16" s="169"/>
    </row>
    <row r="17" spans="1:10" s="81" customFormat="1" ht="13.5">
      <c r="A17" s="147" t="s">
        <v>67</v>
      </c>
      <c r="B17" s="99" t="s">
        <v>49</v>
      </c>
      <c r="C17" s="147" t="s">
        <v>20</v>
      </c>
      <c r="D17" s="186" t="s">
        <v>74</v>
      </c>
      <c r="E17" s="93">
        <v>550000</v>
      </c>
      <c r="F17" s="150" t="s">
        <v>51</v>
      </c>
      <c r="G17" s="150" t="s">
        <v>55</v>
      </c>
      <c r="H17" s="97" t="s">
        <v>73</v>
      </c>
      <c r="I17" s="97" t="s">
        <v>53</v>
      </c>
      <c r="J17" s="169"/>
    </row>
    <row r="18" spans="1:10" s="81" customFormat="1">
      <c r="A18" s="147" t="s">
        <v>67</v>
      </c>
      <c r="B18" s="99" t="s">
        <v>49</v>
      </c>
      <c r="C18" s="147" t="s">
        <v>20</v>
      </c>
      <c r="D18" s="97" t="s">
        <v>75</v>
      </c>
      <c r="E18" s="82">
        <v>133521500</v>
      </c>
      <c r="F18" s="150" t="s">
        <v>51</v>
      </c>
      <c r="G18" s="150" t="s">
        <v>59</v>
      </c>
      <c r="H18" s="97" t="s">
        <v>70</v>
      </c>
      <c r="I18" s="152" t="s">
        <v>76</v>
      </c>
      <c r="J18" s="169"/>
    </row>
    <row r="19" spans="1:10" s="81" customFormat="1">
      <c r="A19" s="147" t="s">
        <v>67</v>
      </c>
      <c r="B19" s="99" t="s">
        <v>49</v>
      </c>
      <c r="C19" s="99" t="s">
        <v>23</v>
      </c>
      <c r="D19" s="97" t="s">
        <v>77</v>
      </c>
      <c r="E19" s="92">
        <v>284251051</v>
      </c>
      <c r="F19" s="150" t="s">
        <v>58</v>
      </c>
      <c r="G19" s="150" t="s">
        <v>78</v>
      </c>
      <c r="H19" s="97"/>
      <c r="I19" s="144" t="s">
        <v>79</v>
      </c>
      <c r="J19" s="169"/>
    </row>
    <row r="20" spans="1:10" s="81" customFormat="1">
      <c r="A20" s="147" t="s">
        <v>67</v>
      </c>
      <c r="B20" s="99" t="s">
        <v>49</v>
      </c>
      <c r="C20" s="99" t="s">
        <v>25</v>
      </c>
      <c r="D20" s="97" t="s">
        <v>80</v>
      </c>
      <c r="E20" s="92">
        <v>43400000</v>
      </c>
      <c r="F20" s="150" t="s">
        <v>58</v>
      </c>
      <c r="G20" s="150" t="s">
        <v>81</v>
      </c>
      <c r="H20" s="97" t="s">
        <v>82</v>
      </c>
      <c r="I20" s="144" t="s">
        <v>83</v>
      </c>
      <c r="J20" s="169"/>
    </row>
    <row r="21" spans="1:10" s="81" customFormat="1" ht="13.5">
      <c r="A21" s="147" t="s">
        <v>67</v>
      </c>
      <c r="B21" s="99" t="s">
        <v>49</v>
      </c>
      <c r="C21" s="99" t="s">
        <v>25</v>
      </c>
      <c r="D21" s="97" t="s">
        <v>84</v>
      </c>
      <c r="E21" s="92">
        <v>4390000</v>
      </c>
      <c r="F21" s="150" t="s">
        <v>58</v>
      </c>
      <c r="G21" s="150" t="s">
        <v>59</v>
      </c>
      <c r="H21" s="97" t="s">
        <v>63</v>
      </c>
      <c r="I21" s="97" t="s">
        <v>64</v>
      </c>
      <c r="J21" s="169"/>
    </row>
    <row r="22" spans="1:10" s="81" customFormat="1">
      <c r="A22" s="147" t="s">
        <v>67</v>
      </c>
      <c r="B22" s="99" t="s">
        <v>49</v>
      </c>
      <c r="C22" s="99" t="s">
        <v>25</v>
      </c>
      <c r="D22" s="97" t="s">
        <v>85</v>
      </c>
      <c r="E22" s="92">
        <v>2912800</v>
      </c>
      <c r="F22" s="150" t="s">
        <v>58</v>
      </c>
      <c r="G22" s="150" t="s">
        <v>59</v>
      </c>
      <c r="H22" s="97" t="s">
        <v>70</v>
      </c>
      <c r="I22" s="144" t="s">
        <v>86</v>
      </c>
      <c r="J22" s="169"/>
    </row>
    <row r="23" spans="1:10" s="81" customFormat="1">
      <c r="A23" s="147" t="s">
        <v>67</v>
      </c>
      <c r="B23" s="99" t="s">
        <v>49</v>
      </c>
      <c r="C23" s="99" t="s">
        <v>25</v>
      </c>
      <c r="D23" s="205" t="s">
        <v>87</v>
      </c>
      <c r="E23" s="203">
        <v>2194500</v>
      </c>
      <c r="F23" s="150" t="s">
        <v>58</v>
      </c>
      <c r="G23" s="150" t="s">
        <v>59</v>
      </c>
      <c r="H23" s="97" t="s">
        <v>63</v>
      </c>
      <c r="I23" s="144" t="s">
        <v>64</v>
      </c>
      <c r="J23" s="169"/>
    </row>
    <row r="24" spans="1:10" s="81" customFormat="1">
      <c r="A24" s="147" t="s">
        <v>88</v>
      </c>
      <c r="B24" s="147" t="s">
        <v>49</v>
      </c>
      <c r="C24" s="99" t="s">
        <v>23</v>
      </c>
      <c r="D24" s="101" t="s">
        <v>89</v>
      </c>
      <c r="E24" s="82">
        <v>880000000</v>
      </c>
      <c r="F24" s="150" t="s">
        <v>58</v>
      </c>
      <c r="G24" s="150" t="s">
        <v>78</v>
      </c>
      <c r="H24" s="97"/>
      <c r="I24" s="144" t="s">
        <v>61</v>
      </c>
      <c r="J24" s="169"/>
    </row>
    <row r="25" spans="1:10" s="81" customFormat="1">
      <c r="A25" s="147" t="s">
        <v>88</v>
      </c>
      <c r="B25" s="147" t="s">
        <v>49</v>
      </c>
      <c r="C25" s="99" t="s">
        <v>23</v>
      </c>
      <c r="D25" s="101" t="s">
        <v>90</v>
      </c>
      <c r="E25" s="82">
        <v>709117500</v>
      </c>
      <c r="F25" s="150" t="s">
        <v>58</v>
      </c>
      <c r="G25" s="150" t="s">
        <v>78</v>
      </c>
      <c r="H25" s="97"/>
      <c r="I25" s="144" t="s">
        <v>91</v>
      </c>
      <c r="J25" s="169"/>
    </row>
    <row r="26" spans="1:10" s="81" customFormat="1">
      <c r="A26" s="147" t="s">
        <v>88</v>
      </c>
      <c r="B26" s="147" t="s">
        <v>49</v>
      </c>
      <c r="C26" s="99" t="s">
        <v>25</v>
      </c>
      <c r="D26" s="148" t="s">
        <v>92</v>
      </c>
      <c r="E26" s="149">
        <v>5698000</v>
      </c>
      <c r="F26" s="150" t="s">
        <v>58</v>
      </c>
      <c r="G26" s="150" t="s">
        <v>59</v>
      </c>
      <c r="H26" s="189" t="s">
        <v>60</v>
      </c>
      <c r="I26" s="190" t="s">
        <v>53</v>
      </c>
      <c r="J26" s="170"/>
    </row>
    <row r="27" spans="1:10" s="81" customFormat="1" ht="15.75" customHeight="1">
      <c r="A27" s="147" t="s">
        <v>88</v>
      </c>
      <c r="B27" s="147" t="s">
        <v>49</v>
      </c>
      <c r="C27" s="99" t="s">
        <v>25</v>
      </c>
      <c r="D27" s="148" t="s">
        <v>93</v>
      </c>
      <c r="E27" s="149">
        <v>19610217</v>
      </c>
      <c r="F27" s="150" t="s">
        <v>58</v>
      </c>
      <c r="G27" s="150" t="s">
        <v>59</v>
      </c>
      <c r="H27" s="189" t="s">
        <v>63</v>
      </c>
      <c r="I27" s="190" t="s">
        <v>94</v>
      </c>
      <c r="J27" s="170"/>
    </row>
    <row r="28" spans="1:10" s="81" customFormat="1">
      <c r="A28" s="147" t="s">
        <v>88</v>
      </c>
      <c r="B28" s="147" t="s">
        <v>49</v>
      </c>
      <c r="C28" s="99" t="s">
        <v>25</v>
      </c>
      <c r="D28" s="148" t="s">
        <v>95</v>
      </c>
      <c r="E28" s="82">
        <v>8591000</v>
      </c>
      <c r="F28" s="150" t="s">
        <v>58</v>
      </c>
      <c r="G28" s="150" t="s">
        <v>59</v>
      </c>
      <c r="H28" s="189" t="s">
        <v>96</v>
      </c>
      <c r="I28" s="144" t="s">
        <v>86</v>
      </c>
      <c r="J28" s="169"/>
    </row>
    <row r="29" spans="1:10" s="81" customFormat="1">
      <c r="A29" s="147" t="s">
        <v>88</v>
      </c>
      <c r="B29" s="147" t="s">
        <v>49</v>
      </c>
      <c r="C29" s="99" t="s">
        <v>25</v>
      </c>
      <c r="D29" s="101" t="s">
        <v>97</v>
      </c>
      <c r="E29" s="82">
        <v>4400000</v>
      </c>
      <c r="F29" s="150" t="s">
        <v>58</v>
      </c>
      <c r="G29" s="150" t="s">
        <v>59</v>
      </c>
      <c r="H29" s="189" t="s">
        <v>98</v>
      </c>
      <c r="I29" s="140" t="s">
        <v>99</v>
      </c>
      <c r="J29" s="169"/>
    </row>
    <row r="30" spans="1:10" s="81" customFormat="1">
      <c r="A30" s="147" t="s">
        <v>88</v>
      </c>
      <c r="B30" s="147" t="s">
        <v>49</v>
      </c>
      <c r="C30" s="99" t="s">
        <v>20</v>
      </c>
      <c r="D30" s="101" t="s">
        <v>100</v>
      </c>
      <c r="E30" s="82">
        <v>15700000</v>
      </c>
      <c r="F30" s="150" t="s">
        <v>51</v>
      </c>
      <c r="G30" s="150" t="s">
        <v>59</v>
      </c>
      <c r="H30" s="97" t="s">
        <v>70</v>
      </c>
      <c r="I30" s="144" t="s">
        <v>101</v>
      </c>
      <c r="J30" s="169"/>
    </row>
    <row r="31" spans="1:10" s="81" customFormat="1" ht="13.5">
      <c r="A31" s="147" t="s">
        <v>88</v>
      </c>
      <c r="B31" s="147" t="s">
        <v>49</v>
      </c>
      <c r="C31" s="99" t="s">
        <v>20</v>
      </c>
      <c r="D31" s="97" t="s">
        <v>102</v>
      </c>
      <c r="E31" s="82">
        <v>184000</v>
      </c>
      <c r="F31" s="150" t="s">
        <v>51</v>
      </c>
      <c r="G31" s="150" t="s">
        <v>55</v>
      </c>
      <c r="H31" s="189" t="s">
        <v>103</v>
      </c>
      <c r="I31" s="97" t="s">
        <v>64</v>
      </c>
      <c r="J31" s="169"/>
    </row>
    <row r="32" spans="1:10" s="81" customFormat="1" ht="13.5">
      <c r="A32" s="147" t="s">
        <v>88</v>
      </c>
      <c r="B32" s="147" t="s">
        <v>49</v>
      </c>
      <c r="C32" s="99" t="s">
        <v>20</v>
      </c>
      <c r="D32" s="97" t="s">
        <v>104</v>
      </c>
      <c r="E32" s="82">
        <v>374000</v>
      </c>
      <c r="F32" s="150" t="s">
        <v>51</v>
      </c>
      <c r="G32" s="150" t="s">
        <v>105</v>
      </c>
      <c r="H32" s="189" t="s">
        <v>103</v>
      </c>
      <c r="I32" s="97" t="s">
        <v>106</v>
      </c>
      <c r="J32" s="169"/>
    </row>
    <row r="33" spans="1:10" s="81" customFormat="1">
      <c r="A33" s="147" t="s">
        <v>88</v>
      </c>
      <c r="B33" s="147" t="s">
        <v>49</v>
      </c>
      <c r="C33" s="99" t="s">
        <v>20</v>
      </c>
      <c r="D33" s="81" t="s">
        <v>107</v>
      </c>
      <c r="E33" s="82">
        <v>40000000</v>
      </c>
      <c r="F33" s="150" t="s">
        <v>51</v>
      </c>
      <c r="G33" s="188" t="s">
        <v>59</v>
      </c>
      <c r="H33" s="97" t="s">
        <v>70</v>
      </c>
      <c r="I33" s="140" t="s">
        <v>86</v>
      </c>
      <c r="J33" s="169"/>
    </row>
    <row r="34" spans="1:10" s="81" customFormat="1">
      <c r="A34" s="147" t="s">
        <v>88</v>
      </c>
      <c r="B34" s="147" t="s">
        <v>49</v>
      </c>
      <c r="C34" s="99" t="s">
        <v>20</v>
      </c>
      <c r="D34" s="101" t="s">
        <v>108</v>
      </c>
      <c r="E34" s="82">
        <v>7598000</v>
      </c>
      <c r="F34" s="150" t="s">
        <v>51</v>
      </c>
      <c r="G34" s="100" t="s">
        <v>55</v>
      </c>
      <c r="H34" s="97" t="s">
        <v>98</v>
      </c>
      <c r="I34" s="144" t="s">
        <v>109</v>
      </c>
      <c r="J34" s="169"/>
    </row>
    <row r="35" spans="1:10" s="81" customFormat="1">
      <c r="A35" s="147" t="s">
        <v>88</v>
      </c>
      <c r="B35" s="147" t="s">
        <v>49</v>
      </c>
      <c r="C35" s="99" t="s">
        <v>20</v>
      </c>
      <c r="D35" s="101" t="s">
        <v>108</v>
      </c>
      <c r="E35" s="82">
        <v>13114000</v>
      </c>
      <c r="F35" s="150" t="s">
        <v>51</v>
      </c>
      <c r="G35" s="100" t="s">
        <v>55</v>
      </c>
      <c r="H35" s="97" t="s">
        <v>98</v>
      </c>
      <c r="I35" s="144" t="s">
        <v>109</v>
      </c>
      <c r="J35" s="169"/>
    </row>
    <row r="36" spans="1:10" s="153" customFormat="1">
      <c r="A36" s="147" t="s">
        <v>88</v>
      </c>
      <c r="B36" s="147" t="s">
        <v>49</v>
      </c>
      <c r="C36" s="99" t="s">
        <v>20</v>
      </c>
      <c r="D36" s="81" t="s">
        <v>110</v>
      </c>
      <c r="E36" s="82">
        <v>2180000</v>
      </c>
      <c r="F36" s="150" t="s">
        <v>51</v>
      </c>
      <c r="G36" s="100" t="s">
        <v>55</v>
      </c>
      <c r="H36" s="189" t="s">
        <v>111</v>
      </c>
      <c r="I36" s="140" t="s">
        <v>101</v>
      </c>
      <c r="J36" s="170"/>
    </row>
    <row r="37" spans="1:10" s="81" customFormat="1">
      <c r="A37" s="147" t="s">
        <v>88</v>
      </c>
      <c r="B37" s="147" t="s">
        <v>49</v>
      </c>
      <c r="C37" s="99" t="s">
        <v>20</v>
      </c>
      <c r="D37" s="101" t="s">
        <v>112</v>
      </c>
      <c r="E37" s="82">
        <v>188000</v>
      </c>
      <c r="F37" s="150" t="s">
        <v>51</v>
      </c>
      <c r="G37" s="100" t="s">
        <v>55</v>
      </c>
      <c r="H37" s="189" t="s">
        <v>113</v>
      </c>
      <c r="I37" s="140" t="s">
        <v>101</v>
      </c>
      <c r="J37" s="169"/>
    </row>
    <row r="38" spans="1:10" s="81" customFormat="1" ht="13.5">
      <c r="A38" s="147" t="s">
        <v>88</v>
      </c>
      <c r="B38" s="147" t="s">
        <v>49</v>
      </c>
      <c r="C38" s="99" t="s">
        <v>20</v>
      </c>
      <c r="D38" s="101" t="s">
        <v>114</v>
      </c>
      <c r="E38" s="82">
        <v>437000</v>
      </c>
      <c r="F38" s="150" t="s">
        <v>51</v>
      </c>
      <c r="G38" s="100" t="s">
        <v>55</v>
      </c>
      <c r="H38" s="189" t="s">
        <v>103</v>
      </c>
      <c r="I38" s="97" t="s">
        <v>64</v>
      </c>
      <c r="J38" s="169"/>
    </row>
    <row r="39" spans="1:10" s="81" customFormat="1">
      <c r="A39" s="147" t="s">
        <v>88</v>
      </c>
      <c r="B39" s="147" t="s">
        <v>49</v>
      </c>
      <c r="C39" s="99" t="s">
        <v>20</v>
      </c>
      <c r="D39" s="237" t="s">
        <v>115</v>
      </c>
      <c r="E39" s="82">
        <v>6000000</v>
      </c>
      <c r="F39" s="150" t="s">
        <v>51</v>
      </c>
      <c r="G39" s="100" t="s">
        <v>59</v>
      </c>
      <c r="H39" s="189" t="s">
        <v>70</v>
      </c>
      <c r="I39" s="144" t="s">
        <v>116</v>
      </c>
      <c r="J39" s="169"/>
    </row>
    <row r="40" spans="1:10" s="81" customFormat="1">
      <c r="A40" s="147" t="s">
        <v>88</v>
      </c>
      <c r="B40" s="147" t="s">
        <v>49</v>
      </c>
      <c r="C40" s="99" t="s">
        <v>20</v>
      </c>
      <c r="D40" s="238" t="s">
        <v>117</v>
      </c>
      <c r="E40" s="82">
        <v>5702000</v>
      </c>
      <c r="F40" s="150" t="s">
        <v>51</v>
      </c>
      <c r="G40" s="100" t="s">
        <v>59</v>
      </c>
      <c r="H40" s="189" t="s">
        <v>70</v>
      </c>
      <c r="I40" s="144" t="s">
        <v>116</v>
      </c>
      <c r="J40" s="169"/>
    </row>
    <row r="41" spans="1:10" s="81" customFormat="1">
      <c r="A41" s="147" t="s">
        <v>118</v>
      </c>
      <c r="B41" s="147" t="s">
        <v>49</v>
      </c>
      <c r="C41" s="147" t="s">
        <v>25</v>
      </c>
      <c r="D41" s="239" t="s">
        <v>119</v>
      </c>
      <c r="E41" s="82">
        <v>1925000</v>
      </c>
      <c r="F41" s="100" t="s">
        <v>58</v>
      </c>
      <c r="G41" s="100" t="s">
        <v>59</v>
      </c>
      <c r="H41" s="189" t="s">
        <v>120</v>
      </c>
      <c r="I41" s="140" t="s">
        <v>91</v>
      </c>
      <c r="J41" s="169"/>
    </row>
    <row r="42" spans="1:10" s="153" customFormat="1">
      <c r="A42" s="147" t="s">
        <v>118</v>
      </c>
      <c r="B42" s="147" t="s">
        <v>49</v>
      </c>
      <c r="C42" s="147" t="s">
        <v>25</v>
      </c>
      <c r="D42" s="148" t="s">
        <v>121</v>
      </c>
      <c r="E42" s="149">
        <v>484000</v>
      </c>
      <c r="F42" s="100" t="s">
        <v>58</v>
      </c>
      <c r="G42" s="100" t="s">
        <v>59</v>
      </c>
      <c r="H42" s="189" t="s">
        <v>63</v>
      </c>
      <c r="I42" s="140" t="s">
        <v>91</v>
      </c>
      <c r="J42" s="170"/>
    </row>
    <row r="43" spans="1:10" s="153" customFormat="1" ht="33" customHeight="1">
      <c r="A43" s="147" t="s">
        <v>118</v>
      </c>
      <c r="B43" s="147" t="s">
        <v>49</v>
      </c>
      <c r="C43" s="147" t="s">
        <v>25</v>
      </c>
      <c r="D43" s="148" t="s">
        <v>122</v>
      </c>
      <c r="E43" s="149">
        <v>262109375</v>
      </c>
      <c r="F43" s="188" t="s">
        <v>58</v>
      </c>
      <c r="G43" s="188" t="s">
        <v>55</v>
      </c>
      <c r="H43" s="189" t="s">
        <v>123</v>
      </c>
      <c r="I43" s="190" t="s">
        <v>53</v>
      </c>
      <c r="J43" s="170" t="s">
        <v>124</v>
      </c>
    </row>
    <row r="44" spans="1:10" s="153" customFormat="1" ht="32.25" customHeight="1">
      <c r="A44" s="147" t="s">
        <v>118</v>
      </c>
      <c r="B44" s="147" t="s">
        <v>49</v>
      </c>
      <c r="C44" s="147" t="s">
        <v>25</v>
      </c>
      <c r="D44" s="148" t="s">
        <v>125</v>
      </c>
      <c r="E44" s="149">
        <v>290070000</v>
      </c>
      <c r="F44" s="188" t="s">
        <v>58</v>
      </c>
      <c r="G44" s="188" t="s">
        <v>55</v>
      </c>
      <c r="H44" s="189" t="s">
        <v>123</v>
      </c>
      <c r="I44" s="190" t="s">
        <v>53</v>
      </c>
      <c r="J44" s="170" t="s">
        <v>124</v>
      </c>
    </row>
    <row r="45" spans="1:10" s="153" customFormat="1" ht="17.25" customHeight="1">
      <c r="A45" s="147" t="s">
        <v>118</v>
      </c>
      <c r="B45" s="147" t="s">
        <v>49</v>
      </c>
      <c r="C45" s="147" t="s">
        <v>25</v>
      </c>
      <c r="D45" s="101" t="s">
        <v>126</v>
      </c>
      <c r="E45" s="149">
        <v>8000000</v>
      </c>
      <c r="F45" s="188" t="s">
        <v>58</v>
      </c>
      <c r="G45" s="188" t="s">
        <v>59</v>
      </c>
      <c r="H45" s="189" t="s">
        <v>60</v>
      </c>
      <c r="I45" s="190" t="s">
        <v>101</v>
      </c>
      <c r="J45" s="170"/>
    </row>
    <row r="46" spans="1:10" s="81" customFormat="1">
      <c r="A46" s="147" t="s">
        <v>118</v>
      </c>
      <c r="B46" s="147" t="s">
        <v>49</v>
      </c>
      <c r="C46" s="99" t="s">
        <v>20</v>
      </c>
      <c r="D46" s="101" t="s">
        <v>127</v>
      </c>
      <c r="E46" s="82">
        <v>7368960</v>
      </c>
      <c r="F46" s="100" t="s">
        <v>51</v>
      </c>
      <c r="G46" s="100" t="s">
        <v>59</v>
      </c>
      <c r="H46" s="142" t="s">
        <v>70</v>
      </c>
      <c r="I46" s="140" t="s">
        <v>86</v>
      </c>
      <c r="J46" s="169"/>
    </row>
    <row r="47" spans="1:10" s="81" customFormat="1">
      <c r="A47" s="147" t="s">
        <v>118</v>
      </c>
      <c r="B47" s="147" t="s">
        <v>49</v>
      </c>
      <c r="C47" s="99" t="s">
        <v>20</v>
      </c>
      <c r="D47" s="101" t="s">
        <v>128</v>
      </c>
      <c r="E47" s="82">
        <v>2220000</v>
      </c>
      <c r="F47" s="100" t="s">
        <v>51</v>
      </c>
      <c r="G47" s="100" t="s">
        <v>59</v>
      </c>
      <c r="H47" s="142" t="s">
        <v>63</v>
      </c>
      <c r="I47" s="144" t="s">
        <v>64</v>
      </c>
      <c r="J47" s="169"/>
    </row>
    <row r="48" spans="1:10" s="81" customFormat="1">
      <c r="A48" s="147" t="s">
        <v>118</v>
      </c>
      <c r="B48" s="147" t="s">
        <v>49</v>
      </c>
      <c r="C48" s="99" t="s">
        <v>18</v>
      </c>
      <c r="D48" s="101" t="s">
        <v>129</v>
      </c>
      <c r="E48" s="82">
        <v>552179000</v>
      </c>
      <c r="F48" s="100" t="s">
        <v>51</v>
      </c>
      <c r="G48" s="100" t="s">
        <v>55</v>
      </c>
      <c r="H48" s="142"/>
      <c r="I48" s="140" t="s">
        <v>53</v>
      </c>
      <c r="J48" s="169"/>
    </row>
    <row r="49" spans="1:10" s="81" customFormat="1">
      <c r="A49" s="147" t="s">
        <v>118</v>
      </c>
      <c r="B49" s="147" t="s">
        <v>49</v>
      </c>
      <c r="C49" s="99" t="s">
        <v>20</v>
      </c>
      <c r="D49" s="101" t="s">
        <v>84</v>
      </c>
      <c r="E49" s="82">
        <v>30432000</v>
      </c>
      <c r="F49" s="100" t="s">
        <v>51</v>
      </c>
      <c r="G49" s="100" t="s">
        <v>59</v>
      </c>
      <c r="H49" s="142" t="s">
        <v>70</v>
      </c>
      <c r="I49" s="144" t="s">
        <v>130</v>
      </c>
      <c r="J49" s="169"/>
    </row>
    <row r="50" spans="1:10" s="153" customFormat="1" ht="33.75" customHeight="1">
      <c r="A50" s="147" t="s">
        <v>131</v>
      </c>
      <c r="B50" s="147" t="s">
        <v>49</v>
      </c>
      <c r="C50" s="147" t="s">
        <v>25</v>
      </c>
      <c r="D50" s="148" t="s">
        <v>132</v>
      </c>
      <c r="E50" s="149">
        <v>262109375</v>
      </c>
      <c r="F50" s="188" t="s">
        <v>58</v>
      </c>
      <c r="G50" s="188" t="s">
        <v>59</v>
      </c>
      <c r="H50" s="189" t="s">
        <v>123</v>
      </c>
      <c r="I50" s="152" t="s">
        <v>53</v>
      </c>
      <c r="J50" s="170" t="s">
        <v>124</v>
      </c>
    </row>
    <row r="51" spans="1:10" s="153" customFormat="1">
      <c r="A51" s="147" t="s">
        <v>131</v>
      </c>
      <c r="B51" s="147" t="s">
        <v>49</v>
      </c>
      <c r="C51" s="147" t="s">
        <v>25</v>
      </c>
      <c r="D51" s="148" t="s">
        <v>133</v>
      </c>
      <c r="E51" s="149">
        <v>290070000</v>
      </c>
      <c r="F51" s="188" t="s">
        <v>58</v>
      </c>
      <c r="G51" s="188" t="s">
        <v>59</v>
      </c>
      <c r="H51" s="189" t="s">
        <v>123</v>
      </c>
      <c r="I51" s="152" t="s">
        <v>53</v>
      </c>
      <c r="J51" s="170" t="s">
        <v>124</v>
      </c>
    </row>
    <row r="52" spans="1:10" s="153" customFormat="1">
      <c r="A52" s="147" t="s">
        <v>131</v>
      </c>
      <c r="B52" s="147" t="s">
        <v>49</v>
      </c>
      <c r="C52" s="99" t="s">
        <v>23</v>
      </c>
      <c r="D52" s="101" t="s">
        <v>134</v>
      </c>
      <c r="E52" s="149">
        <v>474946296</v>
      </c>
      <c r="F52" s="188" t="s">
        <v>58</v>
      </c>
      <c r="G52" s="100" t="s">
        <v>78</v>
      </c>
      <c r="H52" s="142"/>
      <c r="I52" s="140" t="s">
        <v>64</v>
      </c>
      <c r="J52" s="170"/>
    </row>
    <row r="53" spans="1:10" s="153" customFormat="1">
      <c r="A53" s="147" t="s">
        <v>131</v>
      </c>
      <c r="B53" s="147" t="s">
        <v>49</v>
      </c>
      <c r="C53" s="147" t="s">
        <v>25</v>
      </c>
      <c r="D53" s="101" t="s">
        <v>135</v>
      </c>
      <c r="E53" s="149">
        <v>18139000</v>
      </c>
      <c r="F53" s="188" t="s">
        <v>58</v>
      </c>
      <c r="G53" s="100" t="s">
        <v>59</v>
      </c>
      <c r="H53" s="142" t="s">
        <v>60</v>
      </c>
      <c r="I53" s="140" t="s">
        <v>61</v>
      </c>
      <c r="J53" s="170"/>
    </row>
    <row r="54" spans="1:10" s="153" customFormat="1">
      <c r="A54" s="147" t="s">
        <v>131</v>
      </c>
      <c r="B54" s="147" t="s">
        <v>49</v>
      </c>
      <c r="C54" s="147" t="s">
        <v>25</v>
      </c>
      <c r="D54" s="101" t="s">
        <v>136</v>
      </c>
      <c r="E54" s="149">
        <v>23459700</v>
      </c>
      <c r="F54" s="188" t="s">
        <v>58</v>
      </c>
      <c r="G54" s="100" t="s">
        <v>59</v>
      </c>
      <c r="H54" s="142" t="s">
        <v>60</v>
      </c>
      <c r="I54" s="140" t="s">
        <v>91</v>
      </c>
      <c r="J54" s="170"/>
    </row>
    <row r="55" spans="1:10" s="153" customFormat="1">
      <c r="A55" s="147" t="s">
        <v>131</v>
      </c>
      <c r="B55" s="147" t="s">
        <v>49</v>
      </c>
      <c r="C55" s="147" t="s">
        <v>25</v>
      </c>
      <c r="D55" s="101" t="s">
        <v>137</v>
      </c>
      <c r="E55" s="149">
        <v>60274984</v>
      </c>
      <c r="F55" s="188" t="s">
        <v>58</v>
      </c>
      <c r="G55" s="100" t="s">
        <v>59</v>
      </c>
      <c r="H55" s="142" t="s">
        <v>60</v>
      </c>
      <c r="I55" s="140" t="s">
        <v>130</v>
      </c>
      <c r="J55" s="170"/>
    </row>
    <row r="56" spans="1:10" s="153" customFormat="1" ht="15.75" customHeight="1">
      <c r="A56" s="147" t="s">
        <v>131</v>
      </c>
      <c r="B56" s="147" t="s">
        <v>49</v>
      </c>
      <c r="C56" s="99" t="s">
        <v>35</v>
      </c>
      <c r="D56" s="101" t="s">
        <v>138</v>
      </c>
      <c r="E56" s="149">
        <v>60000</v>
      </c>
      <c r="F56" s="100" t="s">
        <v>139</v>
      </c>
      <c r="G56" s="100" t="s">
        <v>55</v>
      </c>
      <c r="H56" s="142" t="s">
        <v>140</v>
      </c>
      <c r="I56" s="152" t="s">
        <v>53</v>
      </c>
      <c r="J56" s="170"/>
    </row>
    <row r="57" spans="1:10" s="153" customFormat="1" ht="15.75" customHeight="1">
      <c r="A57" s="147" t="s">
        <v>131</v>
      </c>
      <c r="B57" s="147" t="s">
        <v>49</v>
      </c>
      <c r="C57" s="99" t="s">
        <v>33</v>
      </c>
      <c r="D57" s="101" t="s">
        <v>141</v>
      </c>
      <c r="E57" s="149">
        <v>30000000</v>
      </c>
      <c r="F57" s="100" t="s">
        <v>139</v>
      </c>
      <c r="G57" s="100" t="s">
        <v>55</v>
      </c>
      <c r="H57" s="142"/>
      <c r="I57" s="152" t="s">
        <v>53</v>
      </c>
      <c r="J57" s="170"/>
    </row>
    <row r="58" spans="1:10" s="153" customFormat="1" ht="15.75" customHeight="1">
      <c r="A58" s="147" t="s">
        <v>131</v>
      </c>
      <c r="B58" s="147" t="s">
        <v>49</v>
      </c>
      <c r="C58" s="99" t="s">
        <v>35</v>
      </c>
      <c r="D58" s="101" t="s">
        <v>142</v>
      </c>
      <c r="E58" s="149">
        <v>30000000</v>
      </c>
      <c r="F58" s="100" t="s">
        <v>139</v>
      </c>
      <c r="G58" s="100" t="s">
        <v>55</v>
      </c>
      <c r="H58" s="142"/>
      <c r="I58" s="152" t="s">
        <v>53</v>
      </c>
      <c r="J58" s="170"/>
    </row>
    <row r="59" spans="1:10" s="81" customFormat="1">
      <c r="A59" s="147" t="s">
        <v>131</v>
      </c>
      <c r="B59" s="147" t="s">
        <v>49</v>
      </c>
      <c r="C59" s="99" t="s">
        <v>18</v>
      </c>
      <c r="D59" s="101" t="s">
        <v>129</v>
      </c>
      <c r="E59" s="82">
        <f>262109000+200000000+60070000</f>
        <v>522179000</v>
      </c>
      <c r="F59" s="100" t="s">
        <v>51</v>
      </c>
      <c r="G59" s="100" t="s">
        <v>55</v>
      </c>
      <c r="H59" s="97"/>
      <c r="I59" s="152" t="s">
        <v>53</v>
      </c>
      <c r="J59" s="169"/>
    </row>
    <row r="60" spans="1:10" s="153" customFormat="1">
      <c r="A60" s="147" t="s">
        <v>131</v>
      </c>
      <c r="B60" s="147" t="s">
        <v>49</v>
      </c>
      <c r="C60" s="99" t="s">
        <v>20</v>
      </c>
      <c r="D60" s="101" t="s">
        <v>143</v>
      </c>
      <c r="E60" s="149">
        <v>1408000</v>
      </c>
      <c r="F60" s="100" t="s">
        <v>51</v>
      </c>
      <c r="G60" s="100" t="s">
        <v>55</v>
      </c>
      <c r="H60" s="97" t="s">
        <v>96</v>
      </c>
      <c r="I60" s="152" t="s">
        <v>53</v>
      </c>
      <c r="J60" s="170"/>
    </row>
    <row r="61" spans="1:10" s="81" customFormat="1" ht="16.5" customHeight="1">
      <c r="A61" s="147" t="s">
        <v>131</v>
      </c>
      <c r="B61" s="147" t="s">
        <v>49</v>
      </c>
      <c r="C61" s="99" t="s">
        <v>20</v>
      </c>
      <c r="D61" s="101" t="s">
        <v>144</v>
      </c>
      <c r="E61" s="195">
        <v>5000000</v>
      </c>
      <c r="F61" s="100" t="s">
        <v>51</v>
      </c>
      <c r="G61" s="100" t="s">
        <v>145</v>
      </c>
      <c r="H61" s="97" t="s">
        <v>96</v>
      </c>
      <c r="I61" s="206" t="s">
        <v>86</v>
      </c>
      <c r="J61" s="169"/>
    </row>
    <row r="62" spans="1:10" s="81" customFormat="1">
      <c r="A62" s="147" t="s">
        <v>131</v>
      </c>
      <c r="B62" s="147" t="s">
        <v>49</v>
      </c>
      <c r="C62" s="99" t="s">
        <v>20</v>
      </c>
      <c r="D62" s="101" t="s">
        <v>146</v>
      </c>
      <c r="E62" s="82">
        <v>4000000</v>
      </c>
      <c r="F62" s="100" t="s">
        <v>51</v>
      </c>
      <c r="G62" s="100" t="s">
        <v>59</v>
      </c>
      <c r="H62" s="97" t="s">
        <v>63</v>
      </c>
      <c r="I62" s="140" t="s">
        <v>61</v>
      </c>
      <c r="J62" s="169"/>
    </row>
    <row r="63" spans="1:10" s="153" customFormat="1">
      <c r="A63" s="147" t="s">
        <v>131</v>
      </c>
      <c r="B63" s="147" t="s">
        <v>49</v>
      </c>
      <c r="C63" s="99" t="s">
        <v>20</v>
      </c>
      <c r="D63" s="148" t="s">
        <v>147</v>
      </c>
      <c r="E63" s="149">
        <v>2000000</v>
      </c>
      <c r="F63" s="100" t="s">
        <v>51</v>
      </c>
      <c r="G63" s="100" t="s">
        <v>55</v>
      </c>
      <c r="H63" s="97" t="s">
        <v>113</v>
      </c>
      <c r="I63" s="140" t="s">
        <v>91</v>
      </c>
      <c r="J63" s="170"/>
    </row>
    <row r="64" spans="1:10" s="81" customFormat="1">
      <c r="A64" s="147" t="s">
        <v>131</v>
      </c>
      <c r="B64" s="147" t="s">
        <v>49</v>
      </c>
      <c r="C64" s="99" t="s">
        <v>20</v>
      </c>
      <c r="D64" s="101" t="s">
        <v>148</v>
      </c>
      <c r="E64" s="82">
        <v>60000000</v>
      </c>
      <c r="F64" s="100" t="s">
        <v>51</v>
      </c>
      <c r="G64" s="100" t="s">
        <v>59</v>
      </c>
      <c r="H64" s="97" t="s">
        <v>113</v>
      </c>
      <c r="I64" s="140" t="s">
        <v>61</v>
      </c>
      <c r="J64" s="169"/>
    </row>
    <row r="65" spans="1:10" s="81" customFormat="1">
      <c r="A65" s="147" t="s">
        <v>131</v>
      </c>
      <c r="B65" s="147" t="s">
        <v>49</v>
      </c>
      <c r="C65" s="99" t="s">
        <v>20</v>
      </c>
      <c r="D65" s="243" t="s">
        <v>149</v>
      </c>
      <c r="E65" s="244">
        <v>100000</v>
      </c>
      <c r="F65" s="100" t="s">
        <v>51</v>
      </c>
      <c r="G65" s="100" t="s">
        <v>150</v>
      </c>
      <c r="H65" s="97"/>
      <c r="I65" s="140" t="s">
        <v>151</v>
      </c>
      <c r="J65" s="169"/>
    </row>
    <row r="66" spans="1:10" s="81" customFormat="1">
      <c r="A66" s="99"/>
      <c r="B66" s="99"/>
      <c r="C66" s="99"/>
      <c r="D66" s="101"/>
      <c r="E66" s="82"/>
      <c r="F66" s="100"/>
      <c r="G66" s="100"/>
      <c r="H66" s="97"/>
      <c r="I66" s="144"/>
      <c r="J66" s="169"/>
    </row>
    <row r="67" spans="1:10" s="81" customFormat="1" ht="15" customHeight="1">
      <c r="A67" s="99"/>
      <c r="B67" s="99"/>
      <c r="C67" s="99"/>
      <c r="D67" s="101"/>
      <c r="E67" s="82"/>
      <c r="F67" s="100"/>
      <c r="G67" s="100"/>
      <c r="H67" s="97"/>
      <c r="I67" s="144"/>
      <c r="J67" s="169"/>
    </row>
    <row r="68" spans="1:10" s="81" customFormat="1">
      <c r="A68" s="99"/>
      <c r="B68" s="99"/>
      <c r="C68" s="99"/>
      <c r="D68" s="101"/>
      <c r="E68" s="82"/>
      <c r="F68" s="188"/>
      <c r="G68" s="188"/>
      <c r="H68" s="97"/>
      <c r="I68" s="144"/>
      <c r="J68" s="169"/>
    </row>
    <row r="69" spans="1:10" s="81" customFormat="1">
      <c r="A69" s="99"/>
      <c r="B69" s="99"/>
      <c r="C69" s="99"/>
      <c r="D69" s="101"/>
      <c r="E69" s="82"/>
      <c r="F69" s="188"/>
      <c r="G69" s="188"/>
      <c r="H69" s="97"/>
      <c r="I69" s="144"/>
      <c r="J69" s="169"/>
    </row>
    <row r="70" spans="1:10" s="81" customFormat="1" ht="13.5">
      <c r="A70" s="99"/>
      <c r="B70" s="99"/>
      <c r="C70" s="99"/>
      <c r="D70" s="101"/>
      <c r="E70" s="82"/>
      <c r="F70" s="188"/>
      <c r="G70" s="188"/>
      <c r="H70" s="97"/>
      <c r="I70" s="97"/>
      <c r="J70" s="169"/>
    </row>
    <row r="71" spans="1:10" s="81" customFormat="1">
      <c r="A71" s="99"/>
      <c r="B71" s="99"/>
      <c r="C71" s="99"/>
      <c r="D71" s="161"/>
      <c r="E71" s="162"/>
      <c r="F71" s="98"/>
      <c r="G71" s="98"/>
      <c r="H71" s="97"/>
      <c r="I71" s="97"/>
      <c r="J71" s="169"/>
    </row>
    <row r="72" spans="1:10" s="81" customFormat="1">
      <c r="A72" s="99"/>
      <c r="B72" s="99"/>
      <c r="C72" s="99"/>
      <c r="D72" s="161"/>
      <c r="E72" s="82"/>
      <c r="F72" s="98"/>
      <c r="G72" s="98"/>
      <c r="H72" s="97"/>
      <c r="I72" s="144"/>
      <c r="J72" s="169"/>
    </row>
    <row r="73" spans="1:10" s="81" customFormat="1" ht="15" customHeight="1">
      <c r="A73" s="99"/>
      <c r="B73" s="99"/>
      <c r="C73" s="99"/>
      <c r="D73" s="161"/>
      <c r="E73" s="82"/>
      <c r="F73" s="98"/>
      <c r="G73" s="98"/>
      <c r="H73" s="97"/>
      <c r="I73" s="144"/>
      <c r="J73" s="169"/>
    </row>
    <row r="74" spans="1:10" s="81" customFormat="1">
      <c r="A74" s="99"/>
      <c r="B74" s="99"/>
      <c r="C74" s="99"/>
      <c r="D74" s="101"/>
      <c r="E74" s="82"/>
      <c r="F74" s="98"/>
      <c r="G74" s="98"/>
      <c r="H74" s="97"/>
      <c r="I74" s="144"/>
      <c r="J74" s="169"/>
    </row>
    <row r="75" spans="1:10" s="81" customFormat="1">
      <c r="A75" s="99"/>
      <c r="B75" s="99"/>
      <c r="C75" s="99"/>
      <c r="D75" s="101"/>
      <c r="E75" s="82"/>
      <c r="F75" s="98"/>
      <c r="G75" s="98"/>
      <c r="H75" s="97"/>
      <c r="I75" s="144"/>
      <c r="J75" s="169"/>
    </row>
    <row r="76" spans="1:10" s="81" customFormat="1" ht="15.75" customHeight="1">
      <c r="A76" s="99"/>
      <c r="B76" s="99"/>
      <c r="C76" s="99"/>
      <c r="D76" s="101"/>
      <c r="E76" s="82"/>
      <c r="F76" s="98"/>
      <c r="G76" s="98"/>
      <c r="H76" s="97"/>
      <c r="I76" s="144"/>
      <c r="J76" s="169"/>
    </row>
    <row r="77" spans="1:10" s="153" customFormat="1">
      <c r="A77" s="99"/>
      <c r="B77" s="99"/>
      <c r="C77" s="99"/>
      <c r="D77" s="101"/>
      <c r="E77" s="82"/>
      <c r="F77" s="98"/>
      <c r="G77" s="98"/>
      <c r="H77" s="97"/>
      <c r="I77" s="144"/>
      <c r="J77" s="170"/>
    </row>
    <row r="78" spans="1:10" s="81" customFormat="1">
      <c r="A78" s="99"/>
      <c r="B78" s="99"/>
      <c r="C78" s="99"/>
      <c r="D78" s="101"/>
      <c r="E78" s="82"/>
      <c r="F78" s="98"/>
      <c r="G78" s="98"/>
      <c r="H78" s="97"/>
      <c r="I78" s="144"/>
      <c r="J78" s="169"/>
    </row>
    <row r="79" spans="1:10" s="81" customFormat="1">
      <c r="A79" s="99"/>
      <c r="B79" s="99"/>
      <c r="C79" s="99"/>
      <c r="D79" s="101"/>
      <c r="E79" s="82"/>
      <c r="F79" s="98"/>
      <c r="G79" s="98"/>
      <c r="H79" s="97"/>
      <c r="I79" s="144"/>
      <c r="J79" s="169"/>
    </row>
    <row r="80" spans="1:10" s="81" customFormat="1">
      <c r="A80" s="99"/>
      <c r="B80" s="99"/>
      <c r="C80" s="99"/>
      <c r="D80" s="101"/>
      <c r="E80" s="82"/>
      <c r="F80" s="98"/>
      <c r="G80" s="98"/>
      <c r="H80" s="97"/>
      <c r="I80" s="144"/>
      <c r="J80" s="169"/>
    </row>
    <row r="81" spans="1:10" s="81" customFormat="1">
      <c r="A81" s="99"/>
      <c r="B81" s="99"/>
      <c r="C81" s="99"/>
      <c r="D81" s="101"/>
      <c r="E81" s="82"/>
      <c r="F81" s="98"/>
      <c r="G81" s="98"/>
      <c r="H81" s="97"/>
      <c r="I81" s="144"/>
      <c r="J81" s="169"/>
    </row>
    <row r="82" spans="1:10" s="81" customFormat="1">
      <c r="A82" s="99"/>
      <c r="B82" s="99"/>
      <c r="C82" s="99"/>
      <c r="D82" s="101"/>
      <c r="E82" s="82"/>
      <c r="F82" s="98"/>
      <c r="G82" s="98"/>
      <c r="H82" s="97"/>
      <c r="I82" s="144"/>
      <c r="J82" s="169"/>
    </row>
    <row r="83" spans="1:10" s="81" customFormat="1">
      <c r="A83" s="99"/>
      <c r="B83" s="99"/>
      <c r="C83" s="99"/>
      <c r="D83" s="101"/>
      <c r="E83" s="82"/>
      <c r="F83" s="98"/>
      <c r="G83" s="98"/>
      <c r="H83" s="97"/>
      <c r="I83" s="206"/>
      <c r="J83" s="169"/>
    </row>
    <row r="84" spans="1:10" s="81" customFormat="1">
      <c r="A84" s="99"/>
      <c r="B84" s="99"/>
      <c r="C84" s="99"/>
      <c r="D84" s="101"/>
      <c r="E84" s="82"/>
      <c r="F84" s="98"/>
      <c r="G84" s="98"/>
      <c r="H84" s="97"/>
      <c r="I84" s="144"/>
      <c r="J84" s="169"/>
    </row>
    <row r="85" spans="1:10" s="81" customFormat="1">
      <c r="A85" s="99"/>
      <c r="B85" s="99"/>
      <c r="C85" s="99"/>
      <c r="D85" s="101"/>
      <c r="E85" s="82"/>
      <c r="F85" s="98"/>
      <c r="G85" s="98"/>
      <c r="H85" s="97"/>
      <c r="I85" s="144"/>
      <c r="J85" s="169"/>
    </row>
    <row r="86" spans="1:10" s="81" customFormat="1">
      <c r="A86" s="99"/>
      <c r="B86" s="99"/>
      <c r="C86" s="99"/>
      <c r="D86" s="101"/>
      <c r="E86" s="82"/>
      <c r="F86" s="98"/>
      <c r="G86" s="98"/>
      <c r="H86" s="97"/>
      <c r="I86" s="144"/>
      <c r="J86" s="169"/>
    </row>
    <row r="87" spans="1:10" s="153" customFormat="1">
      <c r="A87" s="147"/>
      <c r="B87" s="147"/>
      <c r="C87" s="147"/>
      <c r="D87" s="148"/>
      <c r="E87" s="149"/>
      <c r="F87" s="150"/>
      <c r="G87" s="150"/>
      <c r="H87" s="151"/>
      <c r="I87" s="152"/>
      <c r="J87" s="170"/>
    </row>
    <row r="88" spans="1:10" s="81" customFormat="1">
      <c r="A88" s="99"/>
      <c r="B88" s="99"/>
      <c r="C88" s="99"/>
      <c r="D88" s="101"/>
      <c r="E88" s="82"/>
      <c r="F88" s="98"/>
      <c r="G88" s="98"/>
      <c r="H88" s="97"/>
      <c r="I88" s="144"/>
      <c r="J88" s="169"/>
    </row>
    <row r="89" spans="1:10" s="81" customFormat="1">
      <c r="A89" s="99"/>
      <c r="B89" s="99"/>
      <c r="C89" s="99"/>
      <c r="D89" s="97"/>
      <c r="E89" s="82"/>
      <c r="F89" s="98"/>
      <c r="G89" s="98"/>
      <c r="H89" s="97"/>
      <c r="I89" s="144"/>
      <c r="J89" s="169"/>
    </row>
    <row r="90" spans="1:10" s="81" customFormat="1">
      <c r="A90" s="99"/>
      <c r="B90" s="99"/>
      <c r="C90" s="99"/>
      <c r="D90" s="97"/>
      <c r="E90" s="82"/>
      <c r="F90" s="98"/>
      <c r="G90" s="98"/>
      <c r="H90" s="97"/>
      <c r="I90" s="144"/>
      <c r="J90" s="169"/>
    </row>
    <row r="91" spans="1:10" s="81" customFormat="1">
      <c r="A91" s="99"/>
      <c r="B91" s="99"/>
      <c r="C91" s="99"/>
      <c r="D91" s="101"/>
      <c r="E91" s="82"/>
      <c r="F91" s="98"/>
      <c r="G91" s="98"/>
      <c r="H91" s="97"/>
      <c r="I91" s="144"/>
      <c r="J91" s="196"/>
    </row>
    <row r="92" spans="1:10" s="81" customFormat="1">
      <c r="A92" s="99"/>
      <c r="B92" s="99"/>
      <c r="C92" s="99"/>
      <c r="D92" s="101"/>
      <c r="E92" s="82"/>
      <c r="F92" s="98"/>
      <c r="G92" s="98"/>
      <c r="H92" s="97"/>
      <c r="I92" s="144"/>
      <c r="J92" s="169"/>
    </row>
    <row r="93" spans="1:10" s="81" customFormat="1">
      <c r="A93" s="99"/>
      <c r="B93" s="99"/>
      <c r="C93" s="99"/>
      <c r="D93" s="101"/>
      <c r="E93" s="82"/>
      <c r="F93" s="98"/>
      <c r="G93" s="98"/>
      <c r="H93" s="97"/>
      <c r="I93" s="144"/>
      <c r="J93" s="169"/>
    </row>
    <row r="94" spans="1:10" s="81" customFormat="1" ht="13.5">
      <c r="A94" s="99"/>
      <c r="B94" s="99"/>
      <c r="C94" s="99"/>
      <c r="D94" s="101"/>
      <c r="E94" s="82"/>
      <c r="F94" s="98"/>
      <c r="G94" s="98"/>
      <c r="H94" s="97"/>
      <c r="I94" s="97"/>
      <c r="J94" s="169"/>
    </row>
    <row r="95" spans="1:10" s="81" customFormat="1">
      <c r="A95" s="99"/>
      <c r="B95" s="99"/>
      <c r="C95" s="99"/>
      <c r="D95" s="101"/>
      <c r="E95" s="82"/>
      <c r="F95" s="98"/>
      <c r="G95" s="98"/>
      <c r="H95" s="97"/>
      <c r="I95" s="206"/>
      <c r="J95" s="169"/>
    </row>
    <row r="96" spans="1:10" s="81" customFormat="1">
      <c r="A96" s="99"/>
      <c r="B96" s="99"/>
      <c r="C96" s="99"/>
      <c r="D96" s="101"/>
      <c r="E96" s="82"/>
      <c r="F96" s="98"/>
      <c r="G96" s="98"/>
      <c r="H96" s="97"/>
      <c r="I96" s="144"/>
      <c r="J96" s="169"/>
    </row>
    <row r="97" spans="1:12" s="153" customFormat="1">
      <c r="A97" s="99"/>
      <c r="B97" s="99"/>
      <c r="C97" s="99"/>
      <c r="D97" s="148"/>
      <c r="E97" s="149"/>
      <c r="F97" s="98"/>
      <c r="G97" s="98"/>
      <c r="H97" s="97"/>
      <c r="I97" s="206"/>
      <c r="J97" s="170"/>
    </row>
    <row r="98" spans="1:12" s="153" customFormat="1">
      <c r="A98" s="99"/>
      <c r="B98" s="99"/>
      <c r="C98" s="99"/>
      <c r="D98" s="148"/>
      <c r="E98" s="149"/>
      <c r="F98" s="98"/>
      <c r="G98" s="98"/>
      <c r="H98" s="97"/>
      <c r="I98" s="144"/>
      <c r="J98" s="170"/>
    </row>
    <row r="99" spans="1:12" s="81" customFormat="1">
      <c r="A99" s="99"/>
      <c r="B99" s="99"/>
      <c r="C99" s="99"/>
      <c r="D99" s="101"/>
      <c r="E99" s="82"/>
      <c r="F99" s="98"/>
      <c r="G99" s="98"/>
      <c r="H99" s="97"/>
      <c r="I99" s="144"/>
      <c r="J99" s="169"/>
    </row>
    <row r="100" spans="1:12" s="81" customFormat="1">
      <c r="A100" s="99"/>
      <c r="B100" s="99"/>
      <c r="C100" s="99"/>
      <c r="D100" s="101"/>
      <c r="E100" s="82"/>
      <c r="F100" s="98"/>
      <c r="G100" s="98"/>
      <c r="H100" s="97"/>
      <c r="I100" s="144"/>
      <c r="J100" s="169"/>
    </row>
    <row r="101" spans="1:12" s="153" customFormat="1">
      <c r="A101" s="147"/>
      <c r="B101" s="147"/>
      <c r="C101" s="147"/>
      <c r="D101" s="148"/>
      <c r="E101" s="149"/>
      <c r="F101" s="150"/>
      <c r="G101" s="150"/>
      <c r="H101" s="151"/>
      <c r="I101" s="152"/>
      <c r="J101" s="170"/>
      <c r="L101" s="213"/>
    </row>
    <row r="102" spans="1:12" s="81" customFormat="1">
      <c r="A102" s="147"/>
      <c r="B102" s="147"/>
      <c r="C102" s="147"/>
      <c r="D102" s="97"/>
      <c r="E102" s="82"/>
      <c r="F102" s="150"/>
      <c r="G102" s="98"/>
      <c r="H102" s="151"/>
      <c r="I102" s="144"/>
      <c r="J102" s="169"/>
    </row>
    <row r="103" spans="1:12" s="81" customFormat="1">
      <c r="A103" s="147"/>
      <c r="B103" s="147"/>
      <c r="C103" s="99"/>
      <c r="D103" s="101"/>
      <c r="E103" s="82"/>
      <c r="F103" s="98"/>
      <c r="G103" s="98"/>
      <c r="H103" s="151"/>
      <c r="I103" s="144"/>
      <c r="J103" s="169"/>
    </row>
    <row r="104" spans="1:12" s="153" customFormat="1">
      <c r="A104" s="147"/>
      <c r="B104" s="147"/>
      <c r="C104" s="99"/>
      <c r="D104" s="101"/>
      <c r="E104" s="149"/>
      <c r="F104" s="98"/>
      <c r="G104" s="98"/>
      <c r="H104" s="151"/>
      <c r="I104" s="152"/>
      <c r="J104" s="170"/>
    </row>
    <row r="105" spans="1:12" s="81" customFormat="1">
      <c r="A105" s="147"/>
      <c r="B105" s="147"/>
      <c r="C105" s="99"/>
      <c r="D105" s="101"/>
      <c r="E105" s="82"/>
      <c r="F105" s="98"/>
      <c r="G105" s="98"/>
      <c r="H105" s="151"/>
      <c r="I105" s="152"/>
      <c r="J105" s="169"/>
    </row>
    <row r="106" spans="1:12" s="81" customFormat="1">
      <c r="A106" s="147"/>
      <c r="B106" s="147"/>
      <c r="C106" s="99"/>
      <c r="D106" s="101"/>
      <c r="E106" s="82"/>
      <c r="F106" s="98"/>
      <c r="G106" s="98"/>
      <c r="H106" s="151"/>
      <c r="I106" s="206"/>
      <c r="J106" s="169"/>
    </row>
    <row r="107" spans="1:12" s="153" customFormat="1">
      <c r="A107" s="147"/>
      <c r="B107" s="147"/>
      <c r="C107" s="99"/>
      <c r="D107" s="148"/>
      <c r="E107" s="149"/>
      <c r="F107" s="98"/>
      <c r="G107" s="98"/>
      <c r="H107" s="151"/>
      <c r="I107" s="152"/>
      <c r="J107" s="170"/>
    </row>
    <row r="108" spans="1:12" s="153" customFormat="1" ht="15.75" customHeight="1">
      <c r="A108" s="147"/>
      <c r="B108" s="147"/>
      <c r="C108" s="99"/>
      <c r="D108" s="148"/>
      <c r="E108" s="149"/>
      <c r="F108" s="98"/>
      <c r="G108" s="98"/>
      <c r="H108" s="151"/>
      <c r="I108" s="152"/>
      <c r="J108" s="170"/>
    </row>
    <row r="109" spans="1:12" s="81" customFormat="1">
      <c r="A109" s="147"/>
      <c r="B109" s="147"/>
      <c r="C109" s="99"/>
      <c r="D109" s="101"/>
      <c r="E109" s="82"/>
      <c r="F109" s="98"/>
      <c r="G109" s="98"/>
      <c r="H109" s="151"/>
      <c r="I109" s="144"/>
      <c r="J109" s="169"/>
    </row>
    <row r="110" spans="1:12" s="81" customFormat="1">
      <c r="A110" s="147"/>
      <c r="B110" s="147"/>
      <c r="C110" s="99"/>
      <c r="D110" s="101"/>
      <c r="E110" s="82"/>
      <c r="F110" s="98"/>
      <c r="G110" s="98"/>
      <c r="H110" s="151"/>
      <c r="I110" s="206"/>
      <c r="J110" s="169"/>
    </row>
    <row r="111" spans="1:12" s="81" customFormat="1">
      <c r="A111" s="147"/>
      <c r="B111" s="147"/>
      <c r="C111" s="99"/>
      <c r="D111" s="101"/>
      <c r="E111" s="82"/>
      <c r="F111" s="98"/>
      <c r="G111" s="98"/>
      <c r="H111" s="151"/>
      <c r="I111" s="144"/>
      <c r="J111" s="169"/>
    </row>
    <row r="112" spans="1:12" s="81" customFormat="1">
      <c r="A112" s="147"/>
      <c r="B112" s="147"/>
      <c r="C112" s="99"/>
      <c r="D112" s="101"/>
      <c r="E112" s="82"/>
      <c r="F112" s="98"/>
      <c r="G112" s="98"/>
      <c r="H112" s="151"/>
      <c r="I112" s="144"/>
      <c r="J112" s="169"/>
    </row>
    <row r="113" spans="1:10" s="153" customFormat="1" ht="15.75" customHeight="1">
      <c r="A113" s="147"/>
      <c r="B113" s="147"/>
      <c r="C113" s="99"/>
      <c r="D113" s="148"/>
      <c r="E113" s="149"/>
      <c r="F113" s="98"/>
      <c r="G113" s="98"/>
      <c r="H113" s="151"/>
      <c r="I113" s="152"/>
      <c r="J113" s="170"/>
    </row>
    <row r="114" spans="1:10" s="81" customFormat="1">
      <c r="A114" s="147"/>
      <c r="B114" s="147"/>
      <c r="C114" s="99"/>
      <c r="D114" s="101"/>
      <c r="E114" s="149"/>
      <c r="F114" s="98"/>
      <c r="G114" s="98"/>
      <c r="H114" s="151"/>
      <c r="I114" s="144"/>
      <c r="J114" s="169"/>
    </row>
    <row r="115" spans="1:10" s="81" customFormat="1">
      <c r="A115" s="147"/>
      <c r="B115" s="147"/>
      <c r="C115" s="99"/>
      <c r="D115" s="101"/>
      <c r="E115" s="82"/>
      <c r="F115" s="98"/>
      <c r="G115" s="98"/>
      <c r="H115" s="151"/>
      <c r="I115" s="152"/>
      <c r="J115" s="169"/>
    </row>
    <row r="116" spans="1:10" s="81" customFormat="1" ht="13.5">
      <c r="A116" s="147"/>
      <c r="B116" s="147"/>
      <c r="C116" s="99"/>
      <c r="D116" s="101"/>
      <c r="E116" s="149"/>
      <c r="F116" s="98"/>
      <c r="G116" s="98"/>
      <c r="H116" s="151"/>
      <c r="I116" s="97"/>
      <c r="J116" s="169"/>
    </row>
    <row r="117" spans="1:10" s="81" customFormat="1">
      <c r="A117" s="147"/>
      <c r="B117" s="147"/>
      <c r="C117" s="99"/>
      <c r="D117" s="101"/>
      <c r="E117" s="82"/>
      <c r="F117" s="98"/>
      <c r="G117" s="98"/>
      <c r="H117" s="151"/>
      <c r="I117" s="152"/>
      <c r="J117" s="169"/>
    </row>
    <row r="118" spans="1:10" s="81" customFormat="1">
      <c r="A118" s="147"/>
      <c r="B118" s="147"/>
      <c r="C118" s="99"/>
      <c r="D118" s="101"/>
      <c r="E118" s="82"/>
      <c r="F118" s="98"/>
      <c r="G118" s="150"/>
      <c r="H118" s="97"/>
      <c r="I118" s="144"/>
      <c r="J118" s="169"/>
    </row>
    <row r="119" spans="1:10" s="81" customFormat="1">
      <c r="A119" s="147"/>
      <c r="B119" s="147"/>
      <c r="C119" s="147"/>
      <c r="D119" s="101"/>
      <c r="E119" s="82"/>
      <c r="F119" s="98"/>
      <c r="G119" s="150"/>
      <c r="H119" s="97"/>
      <c r="I119" s="152"/>
      <c r="J119" s="169"/>
    </row>
    <row r="120" spans="1:10" s="81" customFormat="1">
      <c r="A120" s="147"/>
      <c r="B120" s="147"/>
      <c r="C120" s="147"/>
      <c r="D120" s="101"/>
      <c r="E120" s="82"/>
      <c r="F120" s="98"/>
      <c r="G120" s="150"/>
      <c r="H120" s="97"/>
      <c r="I120" s="152"/>
      <c r="J120" s="169"/>
    </row>
    <row r="121" spans="1:10" s="81" customFormat="1">
      <c r="A121" s="147"/>
      <c r="B121" s="147"/>
      <c r="C121" s="99"/>
      <c r="D121" s="101"/>
      <c r="E121" s="82"/>
      <c r="F121" s="98"/>
      <c r="G121" s="150"/>
      <c r="H121" s="97"/>
      <c r="I121" s="144"/>
      <c r="J121" s="169"/>
    </row>
    <row r="122" spans="1:10" s="81" customFormat="1">
      <c r="A122" s="147"/>
      <c r="B122" s="147"/>
      <c r="C122" s="99"/>
      <c r="D122" s="101"/>
      <c r="E122" s="82"/>
      <c r="F122" s="98"/>
      <c r="G122" s="150"/>
      <c r="H122" s="97"/>
      <c r="I122" s="144"/>
      <c r="J122" s="169"/>
    </row>
    <row r="123" spans="1:10" s="81" customFormat="1" ht="13.5">
      <c r="A123" s="147"/>
      <c r="B123" s="147"/>
      <c r="C123" s="99"/>
      <c r="D123" s="101"/>
      <c r="E123" s="82"/>
      <c r="F123" s="98"/>
      <c r="G123" s="150"/>
      <c r="H123" s="97"/>
      <c r="I123" s="97"/>
      <c r="J123" s="169"/>
    </row>
    <row r="124" spans="1:10" s="199" customFormat="1">
      <c r="A124" s="147"/>
      <c r="B124" s="147"/>
      <c r="C124" s="99"/>
      <c r="D124" s="101"/>
      <c r="E124" s="82"/>
      <c r="F124" s="98"/>
      <c r="G124" s="150"/>
      <c r="H124" s="97"/>
      <c r="I124" s="144"/>
      <c r="J124" s="198"/>
    </row>
    <row r="125" spans="1:10" s="199" customFormat="1">
      <c r="A125" s="147"/>
      <c r="B125" s="147"/>
      <c r="C125" s="99"/>
      <c r="D125" s="101"/>
      <c r="E125" s="82"/>
      <c r="F125" s="98"/>
      <c r="G125" s="150"/>
      <c r="H125" s="97"/>
      <c r="I125" s="144"/>
      <c r="J125" s="214"/>
    </row>
    <row r="126" spans="1:10" s="81" customFormat="1">
      <c r="A126" s="147"/>
      <c r="B126" s="147"/>
      <c r="C126" s="99"/>
      <c r="D126" s="101"/>
      <c r="E126" s="82"/>
      <c r="F126" s="98"/>
      <c r="G126" s="98"/>
      <c r="H126" s="97"/>
      <c r="I126" s="144"/>
      <c r="J126" s="169"/>
    </row>
    <row r="127" spans="1:10" s="81" customFormat="1">
      <c r="A127" s="147"/>
      <c r="B127" s="147"/>
      <c r="C127" s="99"/>
      <c r="D127" s="101"/>
      <c r="E127" s="82"/>
      <c r="F127" s="98"/>
      <c r="G127" s="98"/>
      <c r="H127" s="97"/>
      <c r="I127" s="144"/>
      <c r="J127" s="169"/>
    </row>
    <row r="128" spans="1:10" s="153" customFormat="1">
      <c r="A128" s="147"/>
      <c r="B128" s="147"/>
      <c r="C128" s="99"/>
      <c r="D128" s="148"/>
      <c r="E128" s="149"/>
      <c r="F128" s="98"/>
      <c r="G128" s="150"/>
      <c r="H128" s="151"/>
      <c r="I128" s="144"/>
      <c r="J128" s="170"/>
    </row>
    <row r="129" spans="1:10" s="81" customFormat="1">
      <c r="A129" s="147"/>
      <c r="B129" s="147"/>
      <c r="C129" s="147"/>
      <c r="D129" s="101"/>
      <c r="E129" s="82"/>
      <c r="F129" s="98"/>
      <c r="G129" s="150"/>
      <c r="H129" s="97"/>
      <c r="I129" s="144"/>
      <c r="J129" s="169"/>
    </row>
    <row r="130" spans="1:10" s="81" customFormat="1">
      <c r="A130" s="147"/>
      <c r="B130" s="147"/>
      <c r="C130" s="147"/>
      <c r="D130" s="101"/>
      <c r="E130" s="82"/>
      <c r="F130" s="98"/>
      <c r="G130" s="150"/>
      <c r="H130" s="97"/>
      <c r="I130" s="144"/>
      <c r="J130" s="169"/>
    </row>
    <row r="131" spans="1:10" s="81" customFormat="1">
      <c r="A131" s="147"/>
      <c r="B131" s="147"/>
      <c r="C131" s="147"/>
      <c r="D131" s="101"/>
      <c r="E131" s="82"/>
      <c r="F131" s="98"/>
      <c r="G131" s="150"/>
      <c r="H131" s="97"/>
      <c r="I131" s="144"/>
      <c r="J131" s="169"/>
    </row>
    <row r="132" spans="1:10" s="81" customFormat="1">
      <c r="A132" s="147"/>
      <c r="B132" s="147"/>
      <c r="C132" s="147"/>
      <c r="D132" s="101"/>
      <c r="E132" s="82"/>
      <c r="F132" s="98"/>
      <c r="G132" s="150"/>
      <c r="H132" s="97"/>
      <c r="I132" s="144"/>
      <c r="J132" s="169"/>
    </row>
    <row r="133" spans="1:10" s="81" customFormat="1">
      <c r="A133" s="147"/>
      <c r="B133" s="147"/>
      <c r="C133" s="99"/>
      <c r="D133" s="101"/>
      <c r="E133" s="82"/>
      <c r="F133" s="98"/>
      <c r="G133" s="98"/>
      <c r="H133" s="97"/>
      <c r="I133" s="144"/>
      <c r="J133" s="169"/>
    </row>
    <row r="134" spans="1:10" s="81" customFormat="1" ht="13.5">
      <c r="A134" s="147"/>
      <c r="B134" s="147"/>
      <c r="C134" s="99"/>
      <c r="D134" s="101"/>
      <c r="E134" s="82"/>
      <c r="F134" s="98"/>
      <c r="G134" s="98"/>
      <c r="H134" s="97"/>
      <c r="I134" s="97"/>
      <c r="J134" s="169"/>
    </row>
    <row r="135" spans="1:10" s="81" customFormat="1" ht="13.5">
      <c r="A135" s="147"/>
      <c r="B135" s="147"/>
      <c r="C135" s="99"/>
      <c r="D135" s="97"/>
      <c r="E135" s="82"/>
      <c r="F135" s="98"/>
      <c r="G135" s="98"/>
      <c r="H135" s="97"/>
      <c r="I135" s="97"/>
      <c r="J135" s="169"/>
    </row>
    <row r="136" spans="1:10" s="81" customFormat="1">
      <c r="A136" s="147"/>
      <c r="B136" s="147"/>
      <c r="C136" s="99"/>
      <c r="D136" s="97"/>
      <c r="E136" s="82"/>
      <c r="F136" s="98"/>
      <c r="G136" s="98"/>
      <c r="H136" s="97"/>
      <c r="I136" s="144"/>
      <c r="J136" s="169"/>
    </row>
    <row r="137" spans="1:10" s="81" customFormat="1">
      <c r="A137" s="147"/>
      <c r="B137" s="147"/>
      <c r="C137" s="99"/>
      <c r="D137" s="97"/>
      <c r="E137" s="82"/>
      <c r="F137" s="98"/>
      <c r="G137" s="98"/>
      <c r="H137" s="97"/>
      <c r="I137" s="144"/>
      <c r="J137" s="169"/>
    </row>
    <row r="138" spans="1:10" s="81" customFormat="1">
      <c r="A138" s="147"/>
      <c r="B138" s="147"/>
      <c r="C138" s="99"/>
      <c r="D138" s="101"/>
      <c r="E138" s="82"/>
      <c r="F138" s="98"/>
      <c r="G138" s="188"/>
      <c r="H138" s="97"/>
      <c r="I138" s="144"/>
      <c r="J138" s="169"/>
    </row>
    <row r="139" spans="1:10" s="81" customFormat="1">
      <c r="A139" s="147"/>
      <c r="B139" s="147"/>
      <c r="C139" s="99"/>
      <c r="D139" s="101"/>
      <c r="E139" s="82"/>
      <c r="F139" s="98"/>
      <c r="G139" s="98"/>
      <c r="H139" s="97"/>
      <c r="I139" s="206"/>
      <c r="J139" s="169"/>
    </row>
    <row r="140" spans="1:10" s="153" customFormat="1">
      <c r="A140" s="147"/>
      <c r="B140" s="147"/>
      <c r="C140" s="99"/>
      <c r="D140" s="148"/>
      <c r="E140" s="149"/>
      <c r="F140" s="98"/>
      <c r="G140" s="98"/>
      <c r="H140" s="151"/>
      <c r="I140" s="206"/>
      <c r="J140" s="170"/>
    </row>
    <row r="141" spans="1:10" s="153" customFormat="1" ht="13.5">
      <c r="A141" s="147"/>
      <c r="B141" s="147"/>
      <c r="C141" s="99"/>
      <c r="D141" s="148"/>
      <c r="E141" s="149"/>
      <c r="F141" s="98"/>
      <c r="G141" s="98"/>
      <c r="H141" s="151"/>
      <c r="I141" s="151"/>
      <c r="J141" s="170"/>
    </row>
    <row r="142" spans="1:10" s="153" customFormat="1" ht="13.5">
      <c r="A142" s="147"/>
      <c r="B142" s="147"/>
      <c r="C142" s="99"/>
      <c r="D142" s="148"/>
      <c r="E142" s="149"/>
      <c r="F142" s="98"/>
      <c r="G142" s="98"/>
      <c r="H142" s="151"/>
      <c r="I142" s="151"/>
      <c r="J142" s="170"/>
    </row>
    <row r="143" spans="1:10" s="153" customFormat="1" ht="13.5">
      <c r="A143" s="147"/>
      <c r="B143" s="147"/>
      <c r="C143" s="99"/>
      <c r="D143" s="148"/>
      <c r="E143" s="149"/>
      <c r="F143" s="98"/>
      <c r="G143" s="98"/>
      <c r="H143" s="151"/>
      <c r="I143" s="151"/>
      <c r="J143" s="170"/>
    </row>
    <row r="144" spans="1:10" s="153" customFormat="1" ht="13.5">
      <c r="A144" s="147"/>
      <c r="B144" s="147"/>
      <c r="C144" s="147"/>
      <c r="D144" s="148"/>
      <c r="E144" s="149"/>
      <c r="F144" s="150"/>
      <c r="G144" s="150"/>
      <c r="H144" s="151"/>
      <c r="I144" s="151"/>
      <c r="J144" s="170"/>
    </row>
    <row r="145" spans="1:10" s="81" customFormat="1" ht="13.5">
      <c r="A145" s="147"/>
      <c r="B145" s="147"/>
      <c r="C145" s="147"/>
      <c r="D145" s="148"/>
      <c r="E145" s="149"/>
      <c r="F145" s="150"/>
      <c r="G145" s="150"/>
      <c r="H145" s="151"/>
      <c r="I145" s="97"/>
      <c r="J145" s="169"/>
    </row>
    <row r="146" spans="1:10" s="81" customFormat="1">
      <c r="A146" s="147"/>
      <c r="B146" s="147"/>
      <c r="C146" s="147"/>
      <c r="D146" s="97"/>
      <c r="E146" s="82"/>
      <c r="F146" s="150"/>
      <c r="G146" s="150"/>
      <c r="H146" s="97"/>
      <c r="I146" s="144"/>
      <c r="J146" s="169"/>
    </row>
    <row r="147" spans="1:10" s="197" customFormat="1" ht="26.25" customHeight="1">
      <c r="A147" s="147"/>
      <c r="B147" s="147"/>
      <c r="C147" s="147"/>
      <c r="D147" s="148"/>
      <c r="E147" s="149"/>
      <c r="F147" s="150"/>
      <c r="G147" s="150"/>
      <c r="H147" s="151"/>
      <c r="I147" s="152"/>
      <c r="J147" s="215"/>
    </row>
    <row r="148" spans="1:10" s="81" customFormat="1">
      <c r="A148" s="147"/>
      <c r="B148" s="147"/>
      <c r="C148" s="147"/>
      <c r="D148" s="97"/>
      <c r="E148" s="82"/>
      <c r="F148" s="150"/>
      <c r="G148" s="150"/>
      <c r="H148" s="97"/>
      <c r="I148" s="144"/>
      <c r="J148" s="169"/>
    </row>
    <row r="149" spans="1:10" s="81" customFormat="1">
      <c r="A149" s="147"/>
      <c r="B149" s="147"/>
      <c r="C149" s="147"/>
      <c r="D149" s="97"/>
      <c r="E149" s="82"/>
      <c r="F149" s="150"/>
      <c r="G149" s="150"/>
      <c r="H149" s="97"/>
      <c r="I149" s="144"/>
      <c r="J149" s="169"/>
    </row>
    <row r="150" spans="1:10" s="81" customFormat="1">
      <c r="A150" s="147"/>
      <c r="B150" s="147"/>
      <c r="C150" s="99"/>
      <c r="D150" s="97"/>
      <c r="E150" s="82"/>
      <c r="F150" s="150"/>
      <c r="G150" s="150"/>
      <c r="H150" s="97"/>
      <c r="I150" s="152"/>
      <c r="J150" s="169"/>
    </row>
    <row r="151" spans="1:10" s="81" customFormat="1">
      <c r="A151" s="147"/>
      <c r="B151" s="147"/>
      <c r="C151" s="147"/>
      <c r="D151" s="97"/>
      <c r="E151" s="82"/>
      <c r="F151" s="150"/>
      <c r="G151" s="150"/>
      <c r="H151" s="97"/>
      <c r="I151" s="152"/>
      <c r="J151" s="169"/>
    </row>
    <row r="152" spans="1:10" s="81" customFormat="1">
      <c r="A152" s="147"/>
      <c r="B152" s="147"/>
      <c r="C152" s="147"/>
      <c r="D152" s="97"/>
      <c r="E152" s="82"/>
      <c r="F152" s="150"/>
      <c r="G152" s="150"/>
      <c r="H152" s="97"/>
      <c r="I152" s="144"/>
      <c r="J152" s="169"/>
    </row>
    <row r="153" spans="1:10" s="81" customFormat="1">
      <c r="A153" s="147"/>
      <c r="B153" s="147"/>
      <c r="C153" s="99"/>
      <c r="D153" s="97"/>
      <c r="E153" s="82"/>
      <c r="F153" s="150"/>
      <c r="G153" s="150"/>
      <c r="H153" s="97"/>
      <c r="I153" s="144"/>
      <c r="J153" s="169"/>
    </row>
    <row r="154" spans="1:10" s="81" customFormat="1">
      <c r="A154" s="147"/>
      <c r="B154" s="147"/>
      <c r="C154" s="99"/>
      <c r="D154" s="97"/>
      <c r="E154" s="82"/>
      <c r="F154" s="150"/>
      <c r="G154" s="150"/>
      <c r="H154" s="97"/>
      <c r="I154" s="144"/>
      <c r="J154" s="169"/>
    </row>
    <row r="155" spans="1:10" s="81" customFormat="1">
      <c r="A155" s="147"/>
      <c r="B155" s="147"/>
      <c r="C155" s="99"/>
      <c r="D155" s="97"/>
      <c r="E155" s="82"/>
      <c r="F155" s="150"/>
      <c r="G155" s="150"/>
      <c r="H155" s="97"/>
      <c r="I155" s="144"/>
      <c r="J155" s="169"/>
    </row>
    <row r="156" spans="1:10" s="81" customFormat="1">
      <c r="A156" s="147"/>
      <c r="B156" s="147"/>
      <c r="C156" s="147"/>
      <c r="D156" s="97"/>
      <c r="E156" s="82"/>
      <c r="F156" s="150"/>
      <c r="G156" s="150"/>
      <c r="H156" s="97"/>
      <c r="I156" s="144"/>
      <c r="J156" s="169"/>
    </row>
    <row r="157" spans="1:10" s="81" customFormat="1">
      <c r="A157" s="147"/>
      <c r="B157" s="147"/>
      <c r="C157" s="147"/>
      <c r="D157" s="97"/>
      <c r="E157" s="82"/>
      <c r="F157" s="150"/>
      <c r="G157" s="150"/>
      <c r="H157" s="97"/>
      <c r="I157" s="144"/>
      <c r="J157" s="169"/>
    </row>
    <row r="158" spans="1:10" s="81" customFormat="1">
      <c r="A158" s="147"/>
      <c r="B158" s="147"/>
      <c r="C158" s="147"/>
      <c r="D158" s="97"/>
      <c r="E158" s="82"/>
      <c r="F158" s="150"/>
      <c r="G158" s="150"/>
      <c r="H158" s="97"/>
      <c r="I158" s="144"/>
      <c r="J158" s="169"/>
    </row>
    <row r="159" spans="1:10" s="81" customFormat="1">
      <c r="A159" s="147"/>
      <c r="B159" s="147"/>
      <c r="C159" s="99"/>
      <c r="D159" s="97"/>
      <c r="E159" s="82"/>
      <c r="F159" s="98"/>
      <c r="G159" s="150"/>
      <c r="H159" s="97"/>
      <c r="I159" s="144"/>
      <c r="J159" s="169"/>
    </row>
    <row r="160" spans="1:10" s="81" customFormat="1">
      <c r="A160" s="147"/>
      <c r="B160" s="147"/>
      <c r="C160" s="99"/>
      <c r="D160" s="97"/>
      <c r="E160" s="82"/>
      <c r="F160" s="98"/>
      <c r="G160" s="150"/>
      <c r="H160" s="97"/>
      <c r="I160" s="144"/>
      <c r="J160" s="169"/>
    </row>
    <row r="161" spans="1:12" s="81" customFormat="1">
      <c r="A161" s="147"/>
      <c r="B161" s="147"/>
      <c r="C161" s="99"/>
      <c r="D161" s="97"/>
      <c r="E161" s="82"/>
      <c r="F161" s="98"/>
      <c r="G161" s="188"/>
      <c r="H161" s="97"/>
      <c r="I161" s="144"/>
      <c r="J161" s="169"/>
    </row>
    <row r="162" spans="1:12" s="81" customFormat="1" ht="13.5">
      <c r="A162" s="147"/>
      <c r="B162" s="147"/>
      <c r="C162" s="99"/>
      <c r="D162" s="97"/>
      <c r="E162" s="82"/>
      <c r="F162" s="98"/>
      <c r="G162" s="98"/>
      <c r="H162" s="97"/>
      <c r="I162" s="97"/>
      <c r="J162" s="169"/>
      <c r="L162" s="95"/>
    </row>
    <row r="163" spans="1:12" s="81" customFormat="1" ht="13.5">
      <c r="A163" s="147"/>
      <c r="B163" s="147"/>
      <c r="C163" s="99"/>
      <c r="D163" s="97"/>
      <c r="E163" s="82"/>
      <c r="F163" s="98"/>
      <c r="G163" s="98"/>
      <c r="H163" s="97"/>
      <c r="I163" s="97"/>
      <c r="J163" s="169"/>
      <c r="L163" s="95"/>
    </row>
    <row r="164" spans="1:12" s="81" customFormat="1" ht="13.5">
      <c r="A164" s="147"/>
      <c r="B164" s="147"/>
      <c r="C164" s="99"/>
      <c r="D164" s="97"/>
      <c r="E164" s="82"/>
      <c r="F164" s="98"/>
      <c r="G164" s="98"/>
      <c r="H164" s="97"/>
      <c r="I164" s="97"/>
      <c r="J164" s="169"/>
      <c r="L164" s="95"/>
    </row>
    <row r="165" spans="1:12" s="81" customFormat="1" ht="13.5">
      <c r="A165" s="147"/>
      <c r="B165" s="147"/>
      <c r="C165" s="99"/>
      <c r="D165" s="97"/>
      <c r="E165" s="82"/>
      <c r="F165" s="98"/>
      <c r="G165" s="98"/>
      <c r="H165" s="97"/>
      <c r="I165" s="97"/>
      <c r="J165" s="169"/>
    </row>
    <row r="166" spans="1:12" s="81" customFormat="1" ht="13.5">
      <c r="A166" s="147"/>
      <c r="B166" s="147"/>
      <c r="C166" s="99"/>
      <c r="D166" s="97"/>
      <c r="E166" s="82"/>
      <c r="F166" s="98"/>
      <c r="G166" s="98"/>
      <c r="H166" s="97"/>
      <c r="I166" s="97"/>
      <c r="J166" s="169"/>
    </row>
    <row r="167" spans="1:12" s="81" customFormat="1" ht="13.5">
      <c r="A167" s="147"/>
      <c r="B167" s="147"/>
      <c r="C167" s="99"/>
      <c r="D167" s="97"/>
      <c r="E167" s="82"/>
      <c r="F167" s="98"/>
      <c r="G167" s="98"/>
      <c r="H167" s="97"/>
      <c r="I167" s="97"/>
      <c r="J167" s="169"/>
    </row>
    <row r="168" spans="1:12" s="81" customFormat="1" ht="13.5">
      <c r="A168" s="147"/>
      <c r="B168" s="147"/>
      <c r="C168" s="99"/>
      <c r="D168" s="97"/>
      <c r="E168" s="82"/>
      <c r="F168" s="98"/>
      <c r="G168" s="98"/>
      <c r="H168" s="97"/>
      <c r="I168" s="97"/>
      <c r="J168" s="169"/>
    </row>
    <row r="169" spans="1:12" s="81" customFormat="1" ht="13.5">
      <c r="A169" s="147"/>
      <c r="B169" s="147"/>
      <c r="C169" s="99"/>
      <c r="D169" s="97"/>
      <c r="E169" s="82"/>
      <c r="F169" s="98"/>
      <c r="G169" s="98"/>
      <c r="H169" s="97"/>
      <c r="I169" s="97"/>
      <c r="J169" s="169"/>
    </row>
    <row r="170" spans="1:12" s="81" customFormat="1" ht="13.5">
      <c r="A170" s="147"/>
      <c r="B170" s="147"/>
      <c r="C170" s="99"/>
      <c r="D170" s="97"/>
      <c r="E170" s="82"/>
      <c r="F170" s="98"/>
      <c r="G170" s="188"/>
      <c r="H170" s="97"/>
      <c r="I170" s="97"/>
      <c r="J170" s="169"/>
    </row>
    <row r="171" spans="1:12" s="81" customFormat="1">
      <c r="A171" s="147"/>
      <c r="B171" s="147"/>
      <c r="C171" s="99"/>
      <c r="D171" s="97"/>
      <c r="E171" s="82"/>
      <c r="F171" s="98"/>
      <c r="G171" s="98"/>
      <c r="H171" s="97"/>
      <c r="I171" s="144"/>
      <c r="J171" s="169"/>
    </row>
    <row r="172" spans="1:12" s="81" customFormat="1">
      <c r="A172" s="99"/>
      <c r="B172" s="99"/>
      <c r="C172" s="99"/>
      <c r="D172" s="97"/>
      <c r="E172" s="82"/>
      <c r="F172" s="98"/>
      <c r="G172" s="98"/>
      <c r="H172" s="97"/>
      <c r="I172" s="144"/>
      <c r="J172" s="169"/>
    </row>
    <row r="173" spans="1:12" s="81" customFormat="1">
      <c r="A173" s="99"/>
      <c r="B173" s="99"/>
      <c r="C173" s="99"/>
      <c r="D173" s="97"/>
      <c r="E173" s="82"/>
      <c r="F173" s="98"/>
      <c r="G173" s="98"/>
      <c r="H173" s="97"/>
      <c r="I173" s="144"/>
      <c r="J173" s="169"/>
    </row>
    <row r="174" spans="1:12" s="81" customFormat="1">
      <c r="A174" s="99"/>
      <c r="B174" s="99"/>
      <c r="C174" s="99"/>
      <c r="D174" s="97"/>
      <c r="E174" s="82"/>
      <c r="F174" s="98"/>
      <c r="G174" s="98"/>
      <c r="H174" s="97"/>
      <c r="I174" s="144"/>
      <c r="J174" s="169"/>
    </row>
    <row r="175" spans="1:12" s="81" customFormat="1">
      <c r="A175" s="99"/>
      <c r="B175" s="99"/>
      <c r="C175" s="99"/>
      <c r="D175" s="97"/>
      <c r="E175" s="82"/>
      <c r="F175" s="98"/>
      <c r="G175" s="98"/>
      <c r="H175" s="97"/>
      <c r="I175" s="144"/>
      <c r="J175" s="169"/>
    </row>
    <row r="176" spans="1:12" s="81" customFormat="1">
      <c r="A176" s="99"/>
      <c r="B176" s="99"/>
      <c r="C176" s="99"/>
      <c r="D176" s="97"/>
      <c r="E176" s="82"/>
      <c r="F176" s="98"/>
      <c r="G176" s="98"/>
      <c r="H176" s="97"/>
      <c r="I176" s="144"/>
      <c r="J176" s="169"/>
    </row>
    <row r="177" spans="1:12" s="81" customFormat="1">
      <c r="A177" s="99"/>
      <c r="B177" s="99"/>
      <c r="C177" s="99"/>
      <c r="D177" s="186"/>
      <c r="E177" s="92"/>
      <c r="F177" s="98"/>
      <c r="G177" s="98"/>
      <c r="H177" s="97"/>
      <c r="I177" s="144"/>
      <c r="J177" s="169"/>
    </row>
    <row r="178" spans="1:12" s="81" customFormat="1">
      <c r="A178" s="99"/>
      <c r="B178" s="99"/>
      <c r="C178" s="99"/>
      <c r="D178" s="102"/>
      <c r="E178" s="93"/>
      <c r="F178" s="98"/>
      <c r="G178" s="98"/>
      <c r="H178" s="97"/>
      <c r="I178" s="144"/>
      <c r="J178" s="169"/>
    </row>
    <row r="179" spans="1:12" s="153" customFormat="1">
      <c r="A179" s="147"/>
      <c r="B179" s="147"/>
      <c r="C179" s="147"/>
      <c r="D179" s="102"/>
      <c r="E179" s="93"/>
      <c r="F179" s="150"/>
      <c r="G179" s="150"/>
      <c r="H179" s="151"/>
      <c r="I179" s="152"/>
      <c r="J179" s="170"/>
    </row>
    <row r="180" spans="1:12" s="153" customFormat="1" ht="15.75" customHeight="1">
      <c r="A180" s="99"/>
      <c r="B180" s="99"/>
      <c r="C180" s="99"/>
      <c r="D180" s="148"/>
      <c r="E180" s="149"/>
      <c r="F180" s="98"/>
      <c r="G180" s="98"/>
      <c r="H180" s="97"/>
      <c r="I180" s="206"/>
      <c r="J180" s="170"/>
    </row>
    <row r="181" spans="1:12" s="153" customFormat="1">
      <c r="A181" s="99"/>
      <c r="B181" s="99"/>
      <c r="C181" s="99"/>
      <c r="D181" s="186"/>
      <c r="E181" s="93"/>
      <c r="F181" s="98"/>
      <c r="G181" s="98"/>
      <c r="H181" s="97"/>
      <c r="I181" s="152"/>
      <c r="J181" s="170"/>
    </row>
    <row r="182" spans="1:12" s="81" customFormat="1">
      <c r="A182" s="99"/>
      <c r="B182" s="99"/>
      <c r="C182" s="99"/>
      <c r="D182" s="97"/>
      <c r="E182" s="82"/>
      <c r="F182" s="98"/>
      <c r="G182" s="98"/>
      <c r="H182" s="97"/>
      <c r="I182" s="144"/>
      <c r="J182" s="169"/>
    </row>
    <row r="183" spans="1:12" s="81" customFormat="1">
      <c r="A183" s="99"/>
      <c r="B183" s="99"/>
      <c r="C183" s="99"/>
      <c r="D183" s="191"/>
      <c r="E183" s="92"/>
      <c r="F183" s="98"/>
      <c r="G183" s="98"/>
      <c r="H183" s="97"/>
      <c r="I183" s="144"/>
      <c r="J183" s="169"/>
    </row>
    <row r="184" spans="1:12" s="81" customFormat="1">
      <c r="A184" s="99"/>
      <c r="B184" s="99"/>
      <c r="C184" s="99"/>
      <c r="D184" s="191"/>
      <c r="E184" s="92"/>
      <c r="F184" s="98"/>
      <c r="G184" s="98"/>
      <c r="H184" s="97"/>
      <c r="I184" s="144"/>
      <c r="J184" s="169"/>
    </row>
    <row r="185" spans="1:12" s="81" customFormat="1">
      <c r="A185" s="99"/>
      <c r="B185" s="99"/>
      <c r="C185" s="99"/>
      <c r="D185" s="191"/>
      <c r="E185" s="92"/>
      <c r="F185" s="98"/>
      <c r="G185" s="98"/>
      <c r="H185" s="97"/>
      <c r="I185" s="144"/>
      <c r="J185" s="169"/>
    </row>
    <row r="186" spans="1:12" s="81" customFormat="1">
      <c r="A186" s="99"/>
      <c r="B186" s="99"/>
      <c r="C186" s="99"/>
      <c r="D186" s="97"/>
      <c r="E186" s="92"/>
      <c r="F186" s="98"/>
      <c r="G186" s="98"/>
      <c r="H186" s="97"/>
      <c r="I186" s="144"/>
      <c r="J186" s="169"/>
    </row>
    <row r="187" spans="1:12" s="81" customFormat="1">
      <c r="A187" s="99"/>
      <c r="B187" s="99"/>
      <c r="C187" s="99"/>
      <c r="D187" s="97"/>
      <c r="E187" s="92"/>
      <c r="F187" s="98"/>
      <c r="G187" s="98"/>
      <c r="H187" s="97"/>
      <c r="I187" s="144"/>
      <c r="J187" s="169"/>
    </row>
    <row r="188" spans="1:12" s="81" customFormat="1">
      <c r="A188" s="99"/>
      <c r="B188" s="99"/>
      <c r="C188" s="99"/>
      <c r="D188" s="101"/>
      <c r="E188" s="92"/>
      <c r="F188" s="98"/>
      <c r="G188" s="98"/>
      <c r="H188" s="97"/>
      <c r="I188" s="144"/>
      <c r="J188" s="169"/>
    </row>
    <row r="189" spans="1:12" s="81" customFormat="1">
      <c r="A189" s="147"/>
      <c r="B189" s="147"/>
      <c r="C189" s="99"/>
      <c r="D189" s="101"/>
      <c r="E189" s="92"/>
      <c r="F189" s="150"/>
      <c r="G189" s="98"/>
      <c r="H189" s="97"/>
      <c r="I189" s="144"/>
      <c r="J189" s="169"/>
      <c r="L189" s="95"/>
    </row>
    <row r="190" spans="1:12" s="81" customFormat="1">
      <c r="A190" s="147"/>
      <c r="B190" s="147"/>
      <c r="C190" s="99"/>
      <c r="D190" s="101"/>
      <c r="E190" s="92"/>
      <c r="F190" s="150"/>
      <c r="G190" s="98"/>
      <c r="H190" s="97"/>
      <c r="I190" s="144"/>
      <c r="J190" s="169"/>
      <c r="L190" s="95"/>
    </row>
    <row r="191" spans="1:12" s="81" customFormat="1">
      <c r="A191" s="147"/>
      <c r="B191" s="147"/>
      <c r="C191" s="99"/>
      <c r="D191" s="101"/>
      <c r="E191" s="92"/>
      <c r="F191" s="150"/>
      <c r="G191" s="98"/>
      <c r="H191" s="97"/>
      <c r="I191" s="144"/>
      <c r="J191" s="169"/>
      <c r="L191" s="95"/>
    </row>
    <row r="192" spans="1:12" s="81" customFormat="1">
      <c r="A192" s="147"/>
      <c r="B192" s="147"/>
      <c r="C192" s="99"/>
      <c r="D192" s="97"/>
      <c r="E192" s="92"/>
      <c r="F192" s="98"/>
      <c r="G192" s="98"/>
      <c r="H192" s="97"/>
      <c r="I192" s="206"/>
      <c r="J192" s="169"/>
    </row>
    <row r="193" spans="1:12" s="81" customFormat="1">
      <c r="A193" s="147"/>
      <c r="B193" s="147"/>
      <c r="C193" s="99"/>
      <c r="D193" s="97"/>
      <c r="E193" s="92"/>
      <c r="F193" s="98"/>
      <c r="G193" s="98"/>
      <c r="H193" s="97"/>
      <c r="I193" s="206"/>
      <c r="J193" s="169"/>
    </row>
    <row r="194" spans="1:12" s="81" customFormat="1">
      <c r="A194" s="147"/>
      <c r="B194" s="147"/>
      <c r="C194" s="99"/>
      <c r="D194" s="97"/>
      <c r="E194" s="92"/>
      <c r="F194" s="98"/>
      <c r="G194" s="98"/>
      <c r="H194" s="97"/>
      <c r="I194" s="206"/>
      <c r="J194" s="169"/>
    </row>
    <row r="195" spans="1:12" s="81" customFormat="1">
      <c r="A195" s="147"/>
      <c r="B195" s="147"/>
      <c r="C195" s="99"/>
      <c r="D195" s="97"/>
      <c r="E195" s="92"/>
      <c r="F195" s="98"/>
      <c r="G195" s="98"/>
      <c r="H195" s="97"/>
      <c r="I195" s="144"/>
      <c r="J195" s="169"/>
    </row>
    <row r="196" spans="1:12" s="81" customFormat="1">
      <c r="A196" s="147"/>
      <c r="B196" s="147"/>
      <c r="C196" s="99"/>
      <c r="D196" s="97"/>
      <c r="E196" s="92"/>
      <c r="F196" s="98"/>
      <c r="G196" s="98"/>
      <c r="H196" s="97"/>
      <c r="I196" s="144"/>
      <c r="J196" s="169"/>
    </row>
    <row r="197" spans="1:12" s="81" customFormat="1">
      <c r="A197" s="147"/>
      <c r="B197" s="147"/>
      <c r="C197" s="99"/>
      <c r="D197" s="97"/>
      <c r="E197" s="92"/>
      <c r="F197" s="98"/>
      <c r="G197" s="98"/>
      <c r="H197" s="97"/>
      <c r="I197" s="144"/>
      <c r="J197" s="169"/>
    </row>
    <row r="198" spans="1:12" s="81" customFormat="1">
      <c r="A198" s="147"/>
      <c r="B198" s="147"/>
      <c r="C198" s="99"/>
      <c r="D198" s="97"/>
      <c r="E198" s="92"/>
      <c r="F198" s="98"/>
      <c r="G198" s="98"/>
      <c r="H198" s="97"/>
      <c r="I198" s="144"/>
      <c r="J198" s="169"/>
    </row>
    <row r="199" spans="1:12" s="81" customFormat="1">
      <c r="A199" s="147"/>
      <c r="B199" s="147"/>
      <c r="C199" s="99"/>
      <c r="D199" s="97"/>
      <c r="E199" s="92"/>
      <c r="F199" s="98"/>
      <c r="G199" s="98"/>
      <c r="H199" s="97"/>
      <c r="I199" s="144"/>
      <c r="J199" s="169"/>
    </row>
    <row r="200" spans="1:12" s="81" customFormat="1">
      <c r="A200" s="147"/>
      <c r="B200" s="147"/>
      <c r="C200" s="99"/>
      <c r="D200" s="97"/>
      <c r="E200" s="92"/>
      <c r="F200" s="98"/>
      <c r="G200" s="98"/>
      <c r="H200" s="97"/>
      <c r="I200" s="144"/>
      <c r="J200" s="169"/>
    </row>
    <row r="201" spans="1:12" s="81" customFormat="1">
      <c r="A201" s="147"/>
      <c r="B201" s="147"/>
      <c r="C201" s="99"/>
      <c r="D201" s="97"/>
      <c r="E201" s="92"/>
      <c r="F201" s="98"/>
      <c r="G201" s="98"/>
      <c r="H201" s="97"/>
      <c r="I201" s="144"/>
      <c r="J201" s="169"/>
    </row>
    <row r="202" spans="1:12" s="81" customFormat="1">
      <c r="A202" s="147"/>
      <c r="B202" s="147"/>
      <c r="C202" s="99"/>
      <c r="D202" s="97"/>
      <c r="E202" s="92"/>
      <c r="F202" s="98"/>
      <c r="G202" s="98"/>
      <c r="H202" s="97"/>
      <c r="I202" s="144"/>
      <c r="J202" s="169"/>
    </row>
    <row r="203" spans="1:12" s="81" customFormat="1">
      <c r="A203" s="147"/>
      <c r="B203" s="147"/>
      <c r="C203" s="99"/>
      <c r="D203" s="97"/>
      <c r="E203" s="92"/>
      <c r="F203" s="98"/>
      <c r="G203" s="98"/>
      <c r="H203" s="97"/>
      <c r="I203" s="206"/>
      <c r="J203" s="169"/>
      <c r="L203" s="95"/>
    </row>
    <row r="204" spans="1:12" s="81" customFormat="1">
      <c r="A204" s="147"/>
      <c r="B204" s="147"/>
      <c r="C204" s="99"/>
      <c r="D204" s="97"/>
      <c r="E204" s="92"/>
      <c r="F204" s="98"/>
      <c r="G204" s="98"/>
      <c r="H204" s="97"/>
      <c r="I204" s="206"/>
      <c r="J204" s="169"/>
      <c r="L204" s="95"/>
    </row>
    <row r="205" spans="1:12" s="81" customFormat="1">
      <c r="A205" s="147"/>
      <c r="B205" s="147"/>
      <c r="C205" s="99"/>
      <c r="D205" s="97"/>
      <c r="E205" s="92"/>
      <c r="F205" s="98"/>
      <c r="G205" s="98"/>
      <c r="H205" s="97"/>
      <c r="I205" s="144"/>
      <c r="J205" s="169"/>
      <c r="L205" s="95"/>
    </row>
    <row r="206" spans="1:12" s="81" customFormat="1">
      <c r="A206" s="147"/>
      <c r="B206" s="147"/>
      <c r="C206" s="99"/>
      <c r="D206" s="97"/>
      <c r="E206" s="92"/>
      <c r="F206" s="98"/>
      <c r="G206" s="98"/>
      <c r="H206" s="97"/>
      <c r="I206" s="144"/>
      <c r="J206" s="169"/>
      <c r="L206" s="95"/>
    </row>
    <row r="207" spans="1:12" s="81" customFormat="1">
      <c r="A207" s="147"/>
      <c r="B207" s="147"/>
      <c r="C207" s="99"/>
      <c r="D207" s="97"/>
      <c r="E207" s="92"/>
      <c r="F207" s="98"/>
      <c r="G207" s="98"/>
      <c r="H207" s="97"/>
      <c r="I207" s="144"/>
      <c r="J207" s="169"/>
      <c r="L207" s="95"/>
    </row>
    <row r="208" spans="1:12" s="81" customFormat="1">
      <c r="A208" s="147"/>
      <c r="B208" s="147"/>
      <c r="C208" s="99"/>
      <c r="D208" s="97"/>
      <c r="E208" s="92"/>
      <c r="F208" s="98"/>
      <c r="G208" s="98"/>
      <c r="H208" s="97"/>
      <c r="I208" s="144"/>
      <c r="J208" s="169"/>
    </row>
    <row r="209" spans="1:13" s="81" customFormat="1">
      <c r="A209" s="147"/>
      <c r="B209" s="147"/>
      <c r="C209" s="99"/>
      <c r="D209" s="97"/>
      <c r="E209" s="92"/>
      <c r="F209" s="98"/>
      <c r="G209" s="98"/>
      <c r="H209" s="97"/>
      <c r="I209" s="144"/>
      <c r="J209" s="169"/>
    </row>
    <row r="210" spans="1:13" s="81" customFormat="1">
      <c r="A210" s="147"/>
      <c r="B210" s="147"/>
      <c r="C210" s="99"/>
      <c r="D210" s="97"/>
      <c r="E210" s="92"/>
      <c r="F210" s="98"/>
      <c r="G210" s="98"/>
      <c r="H210" s="97"/>
      <c r="I210" s="144"/>
      <c r="J210" s="169"/>
    </row>
    <row r="211" spans="1:13" s="81" customFormat="1">
      <c r="A211" s="147"/>
      <c r="B211" s="147"/>
      <c r="C211" s="99"/>
      <c r="D211" s="97"/>
      <c r="E211" s="92"/>
      <c r="F211" s="98"/>
      <c r="G211" s="98"/>
      <c r="H211" s="97"/>
      <c r="I211" s="144"/>
      <c r="J211" s="169"/>
    </row>
    <row r="212" spans="1:13" s="81" customFormat="1">
      <c r="A212" s="147"/>
      <c r="B212" s="147"/>
      <c r="C212" s="99"/>
      <c r="D212" s="97"/>
      <c r="E212" s="92"/>
      <c r="F212" s="98"/>
      <c r="G212" s="188"/>
      <c r="H212" s="97"/>
      <c r="I212" s="144"/>
      <c r="J212" s="169"/>
    </row>
    <row r="213" spans="1:13" s="81" customFormat="1">
      <c r="A213" s="147"/>
      <c r="B213" s="147"/>
      <c r="C213" s="99"/>
      <c r="D213" s="97"/>
      <c r="E213" s="92"/>
      <c r="F213" s="98"/>
      <c r="G213" s="98"/>
      <c r="H213" s="97"/>
      <c r="I213" s="144"/>
      <c r="J213" s="169"/>
    </row>
    <row r="214" spans="1:13" s="81" customFormat="1">
      <c r="A214" s="147"/>
      <c r="B214" s="147"/>
      <c r="C214" s="99"/>
      <c r="D214" s="97"/>
      <c r="E214" s="92"/>
      <c r="F214" s="98"/>
      <c r="G214" s="98"/>
      <c r="H214" s="97"/>
      <c r="I214" s="144"/>
      <c r="J214" s="169"/>
    </row>
    <row r="215" spans="1:13" s="81" customFormat="1">
      <c r="A215" s="147"/>
      <c r="B215" s="147"/>
      <c r="C215" s="99"/>
      <c r="D215" s="97"/>
      <c r="E215" s="92"/>
      <c r="F215" s="98"/>
      <c r="G215" s="98"/>
      <c r="H215" s="97"/>
      <c r="I215" s="144"/>
      <c r="J215" s="169"/>
    </row>
    <row r="216" spans="1:13" s="81" customFormat="1">
      <c r="A216" s="147"/>
      <c r="B216" s="147"/>
      <c r="C216" s="99"/>
      <c r="D216" s="97"/>
      <c r="E216" s="92"/>
      <c r="F216" s="98"/>
      <c r="G216" s="98"/>
      <c r="H216" s="97"/>
      <c r="I216" s="144"/>
      <c r="J216" s="169"/>
      <c r="M216" s="81" t="s">
        <v>13</v>
      </c>
    </row>
    <row r="217" spans="1:13" s="81" customFormat="1">
      <c r="A217" s="147"/>
      <c r="B217" s="147"/>
      <c r="C217" s="99"/>
      <c r="D217" s="97"/>
      <c r="E217" s="92"/>
      <c r="F217" s="98"/>
      <c r="G217" s="98"/>
      <c r="H217" s="97"/>
      <c r="I217" s="144"/>
      <c r="J217" s="169"/>
    </row>
    <row r="218" spans="1:13" s="81" customFormat="1">
      <c r="A218" s="147"/>
      <c r="B218" s="147"/>
      <c r="C218" s="99"/>
      <c r="D218" s="97"/>
      <c r="E218" s="92"/>
      <c r="F218" s="98"/>
      <c r="G218" s="98"/>
      <c r="H218" s="97"/>
      <c r="I218" s="144"/>
      <c r="J218" s="169"/>
    </row>
    <row r="219" spans="1:13" s="81" customFormat="1">
      <c r="A219" s="147"/>
      <c r="B219" s="147"/>
      <c r="C219" s="99"/>
      <c r="D219" s="97"/>
      <c r="E219" s="92"/>
      <c r="F219" s="98"/>
      <c r="G219" s="98"/>
      <c r="H219" s="97"/>
      <c r="I219" s="144"/>
      <c r="J219" s="169"/>
    </row>
    <row r="220" spans="1:13" s="81" customFormat="1">
      <c r="A220" s="147"/>
      <c r="B220" s="147"/>
      <c r="C220" s="99"/>
      <c r="D220" s="97"/>
      <c r="E220" s="92"/>
      <c r="F220" s="98"/>
      <c r="G220" s="98"/>
      <c r="H220" s="97"/>
      <c r="I220" s="144"/>
      <c r="J220" s="169"/>
    </row>
    <row r="221" spans="1:13" s="81" customFormat="1">
      <c r="A221" s="147"/>
      <c r="B221" s="147"/>
      <c r="C221" s="99"/>
      <c r="D221" s="97"/>
      <c r="E221" s="92"/>
      <c r="F221" s="98"/>
      <c r="G221" s="98"/>
      <c r="H221" s="97"/>
      <c r="I221" s="144"/>
      <c r="J221" s="169"/>
    </row>
    <row r="222" spans="1:13" s="81" customFormat="1">
      <c r="A222" s="147"/>
      <c r="B222" s="147"/>
      <c r="C222" s="99"/>
      <c r="D222" s="97"/>
      <c r="E222" s="92"/>
      <c r="F222" s="98"/>
      <c r="G222" s="98"/>
      <c r="H222" s="97"/>
      <c r="I222" s="144"/>
      <c r="J222" s="169"/>
    </row>
    <row r="223" spans="1:13" s="81" customFormat="1">
      <c r="A223" s="147"/>
      <c r="B223" s="147"/>
      <c r="C223" s="99"/>
      <c r="D223" s="97"/>
      <c r="E223" s="92"/>
      <c r="F223" s="98"/>
      <c r="G223" s="98"/>
      <c r="H223" s="97"/>
      <c r="I223" s="144"/>
      <c r="J223" s="169"/>
    </row>
    <row r="224" spans="1:13" s="81" customFormat="1">
      <c r="A224" s="147"/>
      <c r="B224" s="147"/>
      <c r="C224" s="99"/>
      <c r="D224" s="97"/>
      <c r="E224" s="92"/>
      <c r="F224" s="98"/>
      <c r="G224" s="98"/>
      <c r="H224" s="97"/>
      <c r="I224" s="144"/>
      <c r="J224" s="169"/>
    </row>
    <row r="225" spans="1:12" s="81" customFormat="1">
      <c r="A225" s="147"/>
      <c r="B225" s="147"/>
      <c r="C225" s="99"/>
      <c r="D225" s="97"/>
      <c r="E225" s="92"/>
      <c r="F225" s="98"/>
      <c r="G225" s="98"/>
      <c r="H225" s="97"/>
      <c r="I225" s="144"/>
      <c r="J225" s="169"/>
    </row>
    <row r="226" spans="1:12" s="81" customFormat="1">
      <c r="A226" s="147"/>
      <c r="B226" s="147"/>
      <c r="C226" s="99"/>
      <c r="D226" s="97"/>
      <c r="E226" s="92"/>
      <c r="F226" s="98"/>
      <c r="G226" s="98"/>
      <c r="H226" s="97"/>
      <c r="I226" s="144"/>
      <c r="J226" s="169"/>
    </row>
    <row r="227" spans="1:12" s="81" customFormat="1">
      <c r="A227" s="147"/>
      <c r="B227" s="147"/>
      <c r="C227" s="99"/>
      <c r="D227" s="97"/>
      <c r="E227" s="92"/>
      <c r="F227" s="98"/>
      <c r="G227" s="98"/>
      <c r="H227" s="97"/>
      <c r="I227" s="144"/>
      <c r="J227" s="169"/>
    </row>
    <row r="228" spans="1:12" s="81" customFormat="1">
      <c r="A228" s="147"/>
      <c r="B228" s="147"/>
      <c r="C228" s="99"/>
      <c r="D228" s="97"/>
      <c r="E228" s="92"/>
      <c r="F228" s="98"/>
      <c r="G228" s="98"/>
      <c r="H228" s="97"/>
      <c r="I228" s="144"/>
      <c r="J228" s="169"/>
    </row>
    <row r="229" spans="1:12" s="81" customFormat="1">
      <c r="A229" s="147"/>
      <c r="B229" s="147"/>
      <c r="C229" s="99"/>
      <c r="D229" s="97"/>
      <c r="E229" s="92"/>
      <c r="F229" s="98"/>
      <c r="G229" s="98"/>
      <c r="H229" s="97"/>
      <c r="I229" s="144"/>
      <c r="J229" s="169"/>
    </row>
    <row r="230" spans="1:12" s="81" customFormat="1">
      <c r="A230" s="147"/>
      <c r="B230" s="147"/>
      <c r="C230" s="99"/>
      <c r="D230" s="97"/>
      <c r="E230" s="92"/>
      <c r="F230" s="98"/>
      <c r="G230" s="98"/>
      <c r="H230" s="97"/>
      <c r="I230" s="144"/>
      <c r="J230" s="169"/>
    </row>
    <row r="231" spans="1:12" s="81" customFormat="1">
      <c r="A231" s="147"/>
      <c r="B231" s="147"/>
      <c r="C231" s="99"/>
      <c r="D231" s="97"/>
      <c r="E231" s="92"/>
      <c r="F231" s="98"/>
      <c r="G231" s="98"/>
      <c r="H231" s="97"/>
      <c r="I231" s="144"/>
      <c r="J231" s="169"/>
    </row>
    <row r="232" spans="1:12" s="81" customFormat="1">
      <c r="A232" s="147"/>
      <c r="B232" s="147"/>
      <c r="C232" s="216"/>
      <c r="D232" s="97"/>
      <c r="E232" s="92"/>
      <c r="F232" s="98"/>
      <c r="G232" s="98"/>
      <c r="H232" s="97"/>
      <c r="I232" s="144"/>
      <c r="J232" s="169"/>
    </row>
    <row r="233" spans="1:12" s="81" customFormat="1">
      <c r="A233" s="147"/>
      <c r="B233" s="147"/>
      <c r="C233" s="216"/>
      <c r="D233" s="97"/>
      <c r="E233" s="92"/>
      <c r="F233" s="98"/>
      <c r="G233" s="98"/>
      <c r="H233" s="97"/>
      <c r="I233" s="144"/>
      <c r="J233" s="169"/>
    </row>
    <row r="234" spans="1:12" s="81" customFormat="1">
      <c r="A234" s="147"/>
      <c r="B234" s="147"/>
      <c r="C234" s="96"/>
      <c r="D234" s="97"/>
      <c r="E234" s="92"/>
      <c r="F234" s="98"/>
      <c r="G234" s="98"/>
      <c r="H234" s="97"/>
      <c r="I234" s="144"/>
      <c r="J234" s="169"/>
      <c r="L234" s="95"/>
    </row>
    <row r="235" spans="1:12" s="81" customFormat="1">
      <c r="A235" s="147"/>
      <c r="B235" s="147"/>
      <c r="C235" s="96"/>
      <c r="D235" s="97"/>
      <c r="E235" s="92"/>
      <c r="F235" s="98"/>
      <c r="G235" s="98"/>
      <c r="H235" s="97"/>
      <c r="I235" s="144"/>
      <c r="J235" s="169"/>
    </row>
    <row r="236" spans="1:12" s="81" customFormat="1">
      <c r="A236" s="147"/>
      <c r="B236" s="147"/>
      <c r="C236" s="96"/>
      <c r="D236" s="97"/>
      <c r="E236" s="92"/>
      <c r="F236" s="98"/>
      <c r="G236" s="98"/>
      <c r="H236" s="97"/>
      <c r="I236" s="144"/>
      <c r="J236" s="169"/>
    </row>
    <row r="237" spans="1:12" s="81" customFormat="1">
      <c r="A237" s="147"/>
      <c r="B237" s="147"/>
      <c r="C237" s="96"/>
      <c r="D237" s="97"/>
      <c r="E237" s="92"/>
      <c r="F237" s="98"/>
      <c r="G237" s="98"/>
      <c r="H237" s="97"/>
      <c r="I237" s="144"/>
      <c r="J237" s="169"/>
    </row>
    <row r="238" spans="1:12" s="81" customFormat="1">
      <c r="A238" s="147"/>
      <c r="B238" s="147"/>
      <c r="C238" s="96"/>
      <c r="D238" s="97"/>
      <c r="E238" s="92"/>
      <c r="F238" s="98"/>
      <c r="G238" s="98"/>
      <c r="H238" s="97"/>
      <c r="I238" s="144"/>
      <c r="J238" s="169"/>
    </row>
    <row r="239" spans="1:12" s="81" customFormat="1">
      <c r="A239" s="147"/>
      <c r="B239" s="147"/>
      <c r="C239" s="96"/>
      <c r="D239" s="97"/>
      <c r="E239" s="92"/>
      <c r="F239" s="98"/>
      <c r="G239" s="98"/>
      <c r="H239" s="97"/>
      <c r="I239" s="144"/>
      <c r="J239" s="169"/>
    </row>
    <row r="240" spans="1:12" s="81" customFormat="1">
      <c r="A240" s="147"/>
      <c r="B240" s="147"/>
      <c r="C240" s="96"/>
      <c r="D240" s="97"/>
      <c r="E240" s="92"/>
      <c r="F240" s="98"/>
      <c r="G240" s="98"/>
      <c r="H240" s="97"/>
      <c r="I240" s="144"/>
      <c r="J240" s="169"/>
    </row>
    <row r="241" spans="1:10" s="81" customFormat="1">
      <c r="A241" s="147"/>
      <c r="B241" s="147"/>
      <c r="C241" s="96"/>
      <c r="D241" s="97"/>
      <c r="E241" s="92"/>
      <c r="F241" s="98"/>
      <c r="G241" s="98"/>
      <c r="H241" s="97"/>
      <c r="I241" s="144"/>
      <c r="J241" s="169"/>
    </row>
    <row r="242" spans="1:10" s="81" customFormat="1">
      <c r="A242" s="147"/>
      <c r="B242" s="147"/>
      <c r="C242" s="96"/>
      <c r="D242" s="97"/>
      <c r="E242" s="92"/>
      <c r="F242" s="98"/>
      <c r="G242" s="98"/>
      <c r="H242" s="97"/>
      <c r="I242" s="144"/>
      <c r="J242" s="169"/>
    </row>
    <row r="243" spans="1:10" s="81" customFormat="1">
      <c r="A243" s="147"/>
      <c r="B243" s="147"/>
      <c r="C243" s="96"/>
      <c r="D243" s="97"/>
      <c r="E243" s="92"/>
      <c r="F243" s="98"/>
      <c r="G243" s="98"/>
      <c r="H243" s="97"/>
      <c r="I243" s="144"/>
      <c r="J243" s="169"/>
    </row>
    <row r="244" spans="1:10" s="81" customFormat="1">
      <c r="A244" s="147"/>
      <c r="B244" s="147"/>
      <c r="C244" s="96"/>
      <c r="D244" s="97"/>
      <c r="E244" s="92"/>
      <c r="F244" s="98"/>
      <c r="G244" s="98"/>
      <c r="H244" s="97"/>
      <c r="I244" s="144"/>
      <c r="J244" s="169"/>
    </row>
    <row r="245" spans="1:10" s="81" customFormat="1">
      <c r="A245" s="147"/>
      <c r="B245" s="147"/>
      <c r="C245" s="96"/>
      <c r="D245" s="97"/>
      <c r="E245" s="92"/>
      <c r="F245" s="98"/>
      <c r="G245" s="98"/>
      <c r="H245" s="97"/>
      <c r="I245" s="144"/>
      <c r="J245" s="169"/>
    </row>
    <row r="246" spans="1:10" s="81" customFormat="1">
      <c r="A246" s="147"/>
      <c r="B246" s="147"/>
      <c r="C246" s="96"/>
      <c r="D246" s="97"/>
      <c r="E246" s="92"/>
      <c r="F246" s="98"/>
      <c r="G246" s="188"/>
      <c r="H246" s="97"/>
      <c r="I246" s="144"/>
      <c r="J246" s="169"/>
    </row>
    <row r="247" spans="1:10" s="81" customFormat="1">
      <c r="A247" s="96"/>
      <c r="B247" s="99"/>
      <c r="C247" s="96"/>
      <c r="D247" s="97"/>
      <c r="E247" s="92"/>
      <c r="F247" s="98"/>
      <c r="G247" s="188"/>
      <c r="H247" s="97"/>
      <c r="I247" s="144"/>
      <c r="J247" s="169"/>
    </row>
    <row r="248" spans="1:10" s="81" customFormat="1">
      <c r="A248" s="96"/>
      <c r="B248" s="99"/>
      <c r="C248" s="96"/>
      <c r="D248" s="97"/>
      <c r="E248" s="92"/>
      <c r="F248" s="98"/>
      <c r="G248" s="98"/>
      <c r="H248" s="97"/>
      <c r="I248" s="206"/>
      <c r="J248" s="169"/>
    </row>
    <row r="249" spans="1:10" s="81" customFormat="1">
      <c r="A249" s="96"/>
      <c r="B249" s="99"/>
      <c r="C249" s="96"/>
      <c r="D249" s="97"/>
      <c r="E249" s="92"/>
      <c r="F249" s="98"/>
      <c r="G249" s="98"/>
      <c r="H249" s="97"/>
      <c r="I249" s="144"/>
      <c r="J249" s="169"/>
    </row>
    <row r="250" spans="1:10" s="81" customFormat="1">
      <c r="A250" s="96"/>
      <c r="B250" s="99"/>
      <c r="C250" s="96"/>
      <c r="D250" s="97"/>
      <c r="E250" s="92"/>
      <c r="F250" s="98"/>
      <c r="G250" s="188"/>
      <c r="H250" s="97"/>
      <c r="I250" s="144"/>
      <c r="J250" s="169"/>
    </row>
    <row r="251" spans="1:10" s="81" customFormat="1">
      <c r="A251" s="96"/>
      <c r="B251" s="99"/>
      <c r="C251" s="96"/>
      <c r="D251" s="97"/>
      <c r="E251" s="92"/>
      <c r="F251" s="98"/>
      <c r="G251" s="98"/>
      <c r="H251" s="97"/>
      <c r="I251" s="144"/>
      <c r="J251" s="169"/>
    </row>
    <row r="252" spans="1:10" s="81" customFormat="1">
      <c r="A252" s="96"/>
      <c r="B252" s="99"/>
      <c r="C252" s="96"/>
      <c r="D252" s="97"/>
      <c r="E252" s="92"/>
      <c r="F252" s="98"/>
      <c r="G252" s="98"/>
      <c r="H252" s="97"/>
      <c r="I252" s="144"/>
      <c r="J252" s="169"/>
    </row>
    <row r="253" spans="1:10" s="81" customFormat="1">
      <c r="A253" s="96"/>
      <c r="B253" s="99"/>
      <c r="C253" s="96"/>
      <c r="D253" s="97"/>
      <c r="E253" s="92"/>
      <c r="F253" s="98"/>
      <c r="G253" s="98"/>
      <c r="H253" s="97"/>
      <c r="I253" s="144"/>
      <c r="J253" s="169"/>
    </row>
    <row r="254" spans="1:10" s="81" customFormat="1">
      <c r="A254" s="96"/>
      <c r="B254" s="99"/>
      <c r="C254" s="96"/>
      <c r="D254" s="97"/>
      <c r="E254" s="92"/>
      <c r="F254" s="98"/>
      <c r="G254" s="98"/>
      <c r="H254" s="97"/>
      <c r="I254" s="144"/>
      <c r="J254" s="169"/>
    </row>
    <row r="255" spans="1:10" s="81" customFormat="1">
      <c r="A255" s="96"/>
      <c r="B255" s="99"/>
      <c r="C255" s="96"/>
      <c r="D255" s="97"/>
      <c r="E255" s="92"/>
      <c r="F255" s="98"/>
      <c r="G255" s="98"/>
      <c r="H255" s="97"/>
      <c r="I255" s="144"/>
      <c r="J255" s="169"/>
    </row>
    <row r="256" spans="1:10" s="81" customFormat="1">
      <c r="A256" s="96"/>
      <c r="B256" s="99"/>
      <c r="C256" s="96"/>
      <c r="D256" s="97"/>
      <c r="E256" s="92"/>
      <c r="F256" s="98"/>
      <c r="G256" s="98"/>
      <c r="H256" s="97"/>
      <c r="I256" s="144"/>
      <c r="J256" s="169"/>
    </row>
    <row r="257" spans="1:10" s="81" customFormat="1">
      <c r="A257" s="96"/>
      <c r="B257" s="99"/>
      <c r="C257" s="96"/>
      <c r="D257" s="97"/>
      <c r="E257" s="92"/>
      <c r="F257" s="98"/>
      <c r="G257" s="98"/>
      <c r="H257" s="97"/>
      <c r="I257" s="144"/>
      <c r="J257" s="169"/>
    </row>
    <row r="258" spans="1:10" s="81" customFormat="1">
      <c r="A258" s="96"/>
      <c r="B258" s="99"/>
      <c r="C258" s="96"/>
      <c r="D258" s="97"/>
      <c r="E258" s="92"/>
      <c r="F258" s="98"/>
      <c r="G258" s="98"/>
      <c r="H258" s="97"/>
      <c r="I258" s="144"/>
      <c r="J258" s="169"/>
    </row>
    <row r="259" spans="1:10" s="81" customFormat="1">
      <c r="A259" s="96"/>
      <c r="B259" s="99"/>
      <c r="C259" s="96"/>
      <c r="D259" s="97"/>
      <c r="E259" s="92"/>
      <c r="F259" s="98"/>
      <c r="G259" s="98"/>
      <c r="H259" s="97"/>
      <c r="I259" s="144"/>
      <c r="J259" s="169"/>
    </row>
    <row r="260" spans="1:10" s="81" customFormat="1">
      <c r="A260" s="96"/>
      <c r="B260" s="99"/>
      <c r="C260" s="96"/>
      <c r="D260" s="97"/>
      <c r="E260" s="92"/>
      <c r="F260" s="98"/>
      <c r="G260" s="98"/>
      <c r="H260" s="97"/>
      <c r="I260" s="144"/>
      <c r="J260" s="169"/>
    </row>
    <row r="261" spans="1:10" s="81" customFormat="1">
      <c r="A261" s="96"/>
      <c r="B261" s="99"/>
      <c r="C261" s="96"/>
      <c r="D261" s="97"/>
      <c r="E261" s="92"/>
      <c r="F261" s="98"/>
      <c r="G261" s="98"/>
      <c r="H261" s="97"/>
      <c r="I261" s="144"/>
      <c r="J261" s="169"/>
    </row>
    <row r="262" spans="1:10" s="81" customFormat="1">
      <c r="A262" s="96"/>
      <c r="B262" s="99"/>
      <c r="C262" s="96"/>
      <c r="D262" s="97"/>
      <c r="E262" s="92"/>
      <c r="F262" s="98"/>
      <c r="G262" s="98"/>
      <c r="H262" s="97"/>
      <c r="I262" s="144"/>
      <c r="J262" s="169"/>
    </row>
    <row r="263" spans="1:10" s="81" customFormat="1">
      <c r="A263" s="96"/>
      <c r="B263" s="99"/>
      <c r="C263" s="96"/>
      <c r="D263" s="97"/>
      <c r="E263" s="92"/>
      <c r="F263" s="98"/>
      <c r="G263" s="98"/>
      <c r="H263" s="97"/>
      <c r="I263" s="144"/>
      <c r="J263" s="169"/>
    </row>
    <row r="264" spans="1:10" s="81" customFormat="1">
      <c r="A264" s="96"/>
      <c r="B264" s="99"/>
      <c r="C264" s="96"/>
      <c r="D264" s="97"/>
      <c r="E264" s="92"/>
      <c r="F264" s="98"/>
      <c r="G264" s="98"/>
      <c r="H264" s="97"/>
      <c r="I264" s="206"/>
      <c r="J264" s="169"/>
    </row>
    <row r="265" spans="1:10" s="81" customFormat="1">
      <c r="A265" s="96"/>
      <c r="B265" s="99"/>
      <c r="C265" s="96"/>
      <c r="D265" s="97"/>
      <c r="E265" s="92"/>
      <c r="F265" s="98"/>
      <c r="G265" s="98"/>
      <c r="H265" s="97"/>
      <c r="I265" s="144"/>
      <c r="J265" s="169"/>
    </row>
    <row r="266" spans="1:10" s="81" customFormat="1">
      <c r="A266" s="96"/>
      <c r="B266" s="99"/>
      <c r="C266" s="96"/>
      <c r="D266" s="97"/>
      <c r="E266" s="92"/>
      <c r="F266" s="98"/>
      <c r="G266" s="98"/>
      <c r="H266" s="97"/>
      <c r="I266" s="144"/>
      <c r="J266" s="169"/>
    </row>
    <row r="267" spans="1:10" s="81" customFormat="1">
      <c r="A267" s="96"/>
      <c r="B267" s="99"/>
      <c r="C267" s="96"/>
      <c r="D267" s="97"/>
      <c r="E267" s="92"/>
      <c r="F267" s="98"/>
      <c r="G267" s="98"/>
      <c r="H267" s="97"/>
      <c r="I267" s="144"/>
      <c r="J267" s="169"/>
    </row>
    <row r="268" spans="1:10" s="81" customFormat="1">
      <c r="A268" s="96"/>
      <c r="B268" s="99"/>
      <c r="C268" s="96"/>
      <c r="D268" s="97"/>
      <c r="E268" s="92"/>
      <c r="F268" s="98"/>
      <c r="G268" s="98"/>
      <c r="H268" s="97"/>
      <c r="I268" s="144"/>
      <c r="J268" s="169"/>
    </row>
    <row r="269" spans="1:10" s="81" customFormat="1">
      <c r="A269" s="96"/>
      <c r="B269" s="99"/>
      <c r="C269" s="96"/>
      <c r="D269" s="97"/>
      <c r="E269" s="92"/>
      <c r="F269" s="98"/>
      <c r="G269" s="98"/>
      <c r="H269" s="97"/>
      <c r="I269" s="144"/>
      <c r="J269" s="169"/>
    </row>
    <row r="270" spans="1:10" s="81" customFormat="1">
      <c r="A270" s="96"/>
      <c r="B270" s="99"/>
      <c r="C270" s="96"/>
      <c r="D270" s="97"/>
      <c r="E270" s="92"/>
      <c r="F270" s="98"/>
      <c r="G270" s="98"/>
      <c r="H270" s="97"/>
      <c r="I270" s="144"/>
      <c r="J270" s="169"/>
    </row>
    <row r="271" spans="1:10" s="81" customFormat="1">
      <c r="A271" s="96"/>
      <c r="B271" s="99"/>
      <c r="C271" s="96"/>
      <c r="D271" s="97"/>
      <c r="E271" s="92"/>
      <c r="F271" s="98"/>
      <c r="G271" s="98"/>
      <c r="H271" s="97"/>
      <c r="I271" s="144"/>
      <c r="J271" s="169"/>
    </row>
    <row r="272" spans="1:10" s="81" customFormat="1">
      <c r="A272" s="96"/>
      <c r="B272" s="99"/>
      <c r="C272" s="96"/>
      <c r="D272" s="97"/>
      <c r="E272" s="92"/>
      <c r="F272" s="98"/>
      <c r="G272" s="98"/>
      <c r="H272" s="97"/>
      <c r="I272" s="144"/>
      <c r="J272" s="169"/>
    </row>
    <row r="273" spans="1:10" s="81" customFormat="1">
      <c r="A273" s="96"/>
      <c r="B273" s="99"/>
      <c r="C273" s="96"/>
      <c r="D273" s="97"/>
      <c r="E273" s="92"/>
      <c r="F273" s="98"/>
      <c r="G273" s="98"/>
      <c r="H273" s="97"/>
      <c r="I273" s="144"/>
      <c r="J273" s="169"/>
    </row>
    <row r="274" spans="1:10" s="81" customFormat="1">
      <c r="A274" s="96"/>
      <c r="B274" s="99"/>
      <c r="C274" s="96"/>
      <c r="D274" s="97"/>
      <c r="E274" s="92"/>
      <c r="F274" s="98"/>
      <c r="G274" s="98"/>
      <c r="H274" s="97"/>
      <c r="I274" s="144"/>
      <c r="J274" s="169"/>
    </row>
    <row r="275" spans="1:10" s="81" customFormat="1">
      <c r="A275" s="96"/>
      <c r="B275" s="99"/>
      <c r="C275" s="96"/>
      <c r="D275" s="97"/>
      <c r="E275" s="92"/>
      <c r="F275" s="98"/>
      <c r="G275" s="98"/>
      <c r="H275" s="97"/>
      <c r="I275" s="144"/>
      <c r="J275" s="169"/>
    </row>
    <row r="276" spans="1:10" s="81" customFormat="1">
      <c r="A276" s="96"/>
      <c r="B276" s="99"/>
      <c r="C276" s="96"/>
      <c r="D276" s="97"/>
      <c r="E276" s="92"/>
      <c r="F276" s="98"/>
      <c r="G276" s="98"/>
      <c r="H276" s="97"/>
      <c r="I276" s="144"/>
      <c r="J276" s="169"/>
    </row>
    <row r="277" spans="1:10" s="81" customFormat="1">
      <c r="A277" s="96"/>
      <c r="B277" s="99"/>
      <c r="C277" s="96"/>
      <c r="D277" s="97"/>
      <c r="E277" s="92"/>
      <c r="F277" s="98"/>
      <c r="G277" s="98"/>
      <c r="H277" s="97"/>
      <c r="I277" s="144"/>
      <c r="J277" s="169"/>
    </row>
    <row r="278" spans="1:10" s="81" customFormat="1">
      <c r="A278" s="96"/>
      <c r="B278" s="99"/>
      <c r="C278" s="96"/>
      <c r="D278" s="97"/>
      <c r="E278" s="92"/>
      <c r="F278" s="98"/>
      <c r="G278" s="98"/>
      <c r="H278" s="97"/>
      <c r="I278" s="144"/>
      <c r="J278" s="169"/>
    </row>
    <row r="279" spans="1:10" s="81" customFormat="1">
      <c r="A279" s="96"/>
      <c r="B279" s="99"/>
      <c r="C279" s="96"/>
      <c r="D279" s="97"/>
      <c r="E279" s="92"/>
      <c r="F279" s="98"/>
      <c r="G279" s="98"/>
      <c r="H279" s="97"/>
      <c r="I279" s="144"/>
      <c r="J279" s="169"/>
    </row>
    <row r="280" spans="1:10" s="81" customFormat="1">
      <c r="A280" s="96"/>
      <c r="B280" s="99"/>
      <c r="C280" s="96"/>
      <c r="D280" s="97"/>
      <c r="E280" s="92"/>
      <c r="F280" s="98"/>
      <c r="G280" s="98"/>
      <c r="H280" s="97"/>
      <c r="I280" s="144"/>
      <c r="J280" s="169"/>
    </row>
    <row r="281" spans="1:10" s="81" customFormat="1">
      <c r="A281" s="96"/>
      <c r="B281" s="99"/>
      <c r="C281" s="96"/>
      <c r="D281" s="97"/>
      <c r="E281" s="92"/>
      <c r="F281" s="98"/>
      <c r="G281" s="98"/>
      <c r="H281" s="97"/>
      <c r="I281" s="144"/>
      <c r="J281" s="169"/>
    </row>
    <row r="282" spans="1:10" s="81" customFormat="1">
      <c r="A282" s="96"/>
      <c r="B282" s="99"/>
      <c r="C282" s="96"/>
      <c r="D282" s="97"/>
      <c r="E282" s="92"/>
      <c r="F282" s="98"/>
      <c r="G282" s="98"/>
      <c r="H282" s="97"/>
      <c r="I282" s="144"/>
      <c r="J282" s="169"/>
    </row>
    <row r="283" spans="1:10" s="81" customFormat="1">
      <c r="A283" s="96"/>
      <c r="B283" s="99"/>
      <c r="C283" s="96"/>
      <c r="D283" s="97"/>
      <c r="E283" s="92"/>
      <c r="F283" s="98"/>
      <c r="G283" s="98"/>
      <c r="H283" s="97"/>
      <c r="I283" s="144"/>
      <c r="J283" s="169"/>
    </row>
    <row r="284" spans="1:10" s="81" customFormat="1">
      <c r="A284" s="96"/>
      <c r="B284" s="99"/>
      <c r="C284" s="96"/>
      <c r="D284" s="97"/>
      <c r="E284" s="92"/>
      <c r="F284" s="98"/>
      <c r="G284" s="98"/>
      <c r="H284" s="97"/>
      <c r="I284" s="144"/>
      <c r="J284" s="169"/>
    </row>
    <row r="285" spans="1:10" s="81" customFormat="1">
      <c r="A285" s="96"/>
      <c r="B285" s="99"/>
      <c r="C285" s="96"/>
      <c r="D285" s="97"/>
      <c r="E285" s="92"/>
      <c r="F285" s="98"/>
      <c r="G285" s="98"/>
      <c r="H285" s="97"/>
      <c r="I285" s="144"/>
      <c r="J285" s="169"/>
    </row>
    <row r="286" spans="1:10" s="81" customFormat="1">
      <c r="A286" s="96"/>
      <c r="B286" s="99"/>
      <c r="C286" s="96"/>
      <c r="D286" s="97"/>
      <c r="E286" s="92"/>
      <c r="F286" s="98"/>
      <c r="G286" s="98"/>
      <c r="H286" s="97"/>
      <c r="I286" s="144"/>
      <c r="J286" s="169"/>
    </row>
    <row r="287" spans="1:10" s="81" customFormat="1">
      <c r="A287" s="96"/>
      <c r="B287" s="99"/>
      <c r="C287" s="96"/>
      <c r="D287" s="97"/>
      <c r="E287" s="92"/>
      <c r="F287" s="98"/>
      <c r="G287" s="98"/>
      <c r="H287" s="97"/>
      <c r="I287" s="144"/>
      <c r="J287" s="169"/>
    </row>
    <row r="288" spans="1:10" s="81" customFormat="1">
      <c r="A288" s="96"/>
      <c r="B288" s="99"/>
      <c r="C288" s="96"/>
      <c r="D288" s="97"/>
      <c r="E288" s="92"/>
      <c r="F288" s="98"/>
      <c r="G288" s="98"/>
      <c r="H288" s="97"/>
      <c r="I288" s="144"/>
      <c r="J288" s="169"/>
    </row>
    <row r="289" spans="1:10" s="81" customFormat="1">
      <c r="A289" s="96"/>
      <c r="B289" s="99"/>
      <c r="C289" s="96"/>
      <c r="D289" s="97"/>
      <c r="E289" s="92"/>
      <c r="F289" s="98"/>
      <c r="G289" s="98"/>
      <c r="H289" s="97"/>
      <c r="I289" s="144"/>
      <c r="J289" s="169"/>
    </row>
    <row r="290" spans="1:10" s="81" customFormat="1">
      <c r="A290" s="96"/>
      <c r="B290" s="99"/>
      <c r="C290" s="96"/>
      <c r="D290" s="97"/>
      <c r="E290" s="92"/>
      <c r="F290" s="98"/>
      <c r="G290" s="98"/>
      <c r="H290" s="97"/>
      <c r="I290" s="144"/>
      <c r="J290" s="169"/>
    </row>
    <row r="291" spans="1:10" s="81" customFormat="1">
      <c r="A291" s="96"/>
      <c r="B291" s="99"/>
      <c r="C291" s="96"/>
      <c r="D291" s="97"/>
      <c r="E291" s="92"/>
      <c r="F291" s="98"/>
      <c r="G291" s="98"/>
      <c r="H291" s="97"/>
      <c r="I291" s="144"/>
      <c r="J291" s="169"/>
    </row>
    <row r="292" spans="1:10" s="81" customFormat="1">
      <c r="A292" s="96"/>
      <c r="B292" s="99"/>
      <c r="C292" s="96"/>
      <c r="D292" s="97"/>
      <c r="E292" s="92"/>
      <c r="F292" s="98"/>
      <c r="G292" s="98"/>
      <c r="H292" s="97"/>
      <c r="I292" s="144"/>
      <c r="J292" s="169"/>
    </row>
    <row r="293" spans="1:10" s="81" customFormat="1">
      <c r="A293" s="96"/>
      <c r="B293" s="99"/>
      <c r="C293" s="96"/>
      <c r="D293" s="97"/>
      <c r="E293" s="92"/>
      <c r="F293" s="98"/>
      <c r="G293" s="98"/>
      <c r="H293" s="97"/>
      <c r="I293" s="206"/>
      <c r="J293" s="169"/>
    </row>
    <row r="294" spans="1:10" s="81" customFormat="1">
      <c r="A294" s="96"/>
      <c r="B294" s="99"/>
      <c r="C294" s="96"/>
      <c r="D294" s="97"/>
      <c r="E294" s="92"/>
      <c r="F294" s="98"/>
      <c r="G294" s="98"/>
      <c r="H294" s="97"/>
      <c r="I294" s="144"/>
      <c r="J294" s="169"/>
    </row>
    <row r="295" spans="1:10" s="81" customFormat="1">
      <c r="A295" s="96"/>
      <c r="B295" s="99"/>
      <c r="C295" s="96"/>
      <c r="D295" s="97"/>
      <c r="E295" s="92"/>
      <c r="F295" s="98"/>
      <c r="G295" s="98"/>
      <c r="H295" s="97"/>
      <c r="I295" s="144"/>
      <c r="J295" s="169"/>
    </row>
    <row r="296" spans="1:10" s="81" customFormat="1">
      <c r="A296" s="96"/>
      <c r="B296" s="99"/>
      <c r="C296" s="96"/>
      <c r="D296" s="97"/>
      <c r="E296" s="92"/>
      <c r="F296" s="98"/>
      <c r="G296" s="98"/>
      <c r="H296" s="97"/>
      <c r="I296" s="144"/>
      <c r="J296" s="169"/>
    </row>
    <row r="297" spans="1:10" s="81" customFormat="1">
      <c r="A297" s="96"/>
      <c r="B297" s="99"/>
      <c r="C297" s="96"/>
      <c r="D297" s="97"/>
      <c r="E297" s="92"/>
      <c r="F297" s="98"/>
      <c r="G297" s="98"/>
      <c r="H297" s="97"/>
      <c r="I297" s="144"/>
      <c r="J297" s="169"/>
    </row>
    <row r="298" spans="1:10" s="81" customFormat="1">
      <c r="A298" s="96"/>
      <c r="B298" s="99"/>
      <c r="C298" s="96"/>
      <c r="D298" s="97"/>
      <c r="E298" s="92"/>
      <c r="F298" s="98"/>
      <c r="G298" s="98"/>
      <c r="H298" s="97"/>
      <c r="I298" s="144"/>
      <c r="J298" s="169"/>
    </row>
    <row r="299" spans="1:10" s="81" customFormat="1">
      <c r="A299" s="96"/>
      <c r="B299" s="99"/>
      <c r="C299" s="96"/>
      <c r="D299" s="97"/>
      <c r="E299" s="92"/>
      <c r="F299" s="98"/>
      <c r="G299" s="98"/>
      <c r="H299" s="97"/>
      <c r="I299" s="144"/>
      <c r="J299" s="169"/>
    </row>
    <row r="300" spans="1:10" s="81" customFormat="1">
      <c r="A300" s="96"/>
      <c r="B300" s="99"/>
      <c r="C300" s="96"/>
      <c r="D300" s="97"/>
      <c r="E300" s="92"/>
      <c r="F300" s="98"/>
      <c r="G300" s="98"/>
      <c r="H300" s="97"/>
      <c r="I300" s="144"/>
      <c r="J300" s="169"/>
    </row>
    <row r="301" spans="1:10" s="81" customFormat="1">
      <c r="A301" s="96"/>
      <c r="B301" s="99"/>
      <c r="C301" s="96"/>
      <c r="D301" s="97"/>
      <c r="E301" s="92"/>
      <c r="F301" s="98"/>
      <c r="G301" s="98"/>
      <c r="H301" s="97"/>
      <c r="I301" s="144"/>
      <c r="J301" s="169"/>
    </row>
    <row r="302" spans="1:10" s="81" customFormat="1">
      <c r="A302" s="96"/>
      <c r="B302" s="96"/>
      <c r="C302" s="96"/>
      <c r="D302" s="97"/>
      <c r="E302" s="92"/>
      <c r="F302" s="98"/>
      <c r="G302" s="98"/>
      <c r="H302" s="97"/>
      <c r="I302" s="144"/>
      <c r="J302" s="169"/>
    </row>
    <row r="303" spans="1:10" s="81" customFormat="1">
      <c r="A303" s="96"/>
      <c r="B303" s="96"/>
      <c r="C303" s="96"/>
      <c r="D303" s="97"/>
      <c r="E303" s="92"/>
      <c r="F303" s="98"/>
      <c r="G303" s="98"/>
      <c r="H303" s="97"/>
      <c r="I303" s="144"/>
      <c r="J303" s="169"/>
    </row>
    <row r="304" spans="1:10" s="81" customFormat="1">
      <c r="A304" s="96"/>
      <c r="B304" s="96"/>
      <c r="C304" s="96"/>
      <c r="D304" s="97"/>
      <c r="E304" s="92"/>
      <c r="F304" s="98"/>
      <c r="G304" s="98"/>
      <c r="H304" s="97"/>
      <c r="I304" s="144"/>
      <c r="J304" s="169"/>
    </row>
    <row r="305" spans="1:10" s="81" customFormat="1">
      <c r="A305" s="96"/>
      <c r="B305" s="96"/>
      <c r="C305" s="96"/>
      <c r="D305" s="97"/>
      <c r="E305" s="92"/>
      <c r="F305" s="98"/>
      <c r="G305" s="98"/>
      <c r="H305" s="97"/>
      <c r="I305" s="144"/>
      <c r="J305" s="169"/>
    </row>
    <row r="306" spans="1:10" s="81" customFormat="1">
      <c r="A306" s="96"/>
      <c r="B306" s="96"/>
      <c r="C306" s="96"/>
      <c r="D306" s="205"/>
      <c r="E306" s="203"/>
      <c r="F306" s="98"/>
      <c r="G306" s="98"/>
      <c r="H306" s="97"/>
      <c r="I306" s="206"/>
      <c r="J306" s="207"/>
    </row>
    <row r="307" spans="1:10" s="81" customFormat="1">
      <c r="A307" s="96"/>
      <c r="B307" s="96"/>
      <c r="C307" s="96"/>
      <c r="D307" s="205"/>
      <c r="E307" s="203"/>
      <c r="F307" s="98"/>
      <c r="G307" s="98"/>
      <c r="H307" s="205"/>
      <c r="I307" s="206"/>
      <c r="J307" s="207"/>
    </row>
    <row r="308" spans="1:10" s="81" customFormat="1">
      <c r="A308" s="96"/>
      <c r="B308" s="96"/>
      <c r="C308" s="96"/>
      <c r="D308" s="205"/>
      <c r="E308" s="203"/>
      <c r="F308" s="98"/>
      <c r="G308" s="98"/>
      <c r="H308" s="205"/>
      <c r="I308" s="206"/>
      <c r="J308" s="207"/>
    </row>
    <row r="309" spans="1:10" s="81" customFormat="1">
      <c r="A309" s="96"/>
      <c r="B309" s="96"/>
      <c r="C309" s="96"/>
      <c r="D309" s="205"/>
      <c r="E309" s="203"/>
      <c r="F309" s="98"/>
      <c r="G309" s="98"/>
      <c r="H309" s="205"/>
      <c r="I309" s="206"/>
      <c r="J309" s="207"/>
    </row>
    <row r="310" spans="1:10" s="81" customFormat="1">
      <c r="A310" s="96"/>
      <c r="B310" s="96"/>
      <c r="C310" s="96"/>
      <c r="D310" s="205"/>
      <c r="E310" s="203"/>
      <c r="F310" s="98"/>
      <c r="G310" s="98"/>
      <c r="H310" s="205"/>
      <c r="I310" s="144"/>
      <c r="J310" s="207"/>
    </row>
    <row r="311" spans="1:10" s="81" customFormat="1">
      <c r="A311" s="96"/>
      <c r="B311" s="96"/>
      <c r="C311" s="96"/>
      <c r="D311" s="205"/>
      <c r="E311" s="203"/>
      <c r="F311" s="98"/>
      <c r="G311" s="98"/>
      <c r="H311" s="205"/>
      <c r="I311" s="206"/>
      <c r="J311" s="207"/>
    </row>
    <row r="312" spans="1:10" s="81" customFormat="1">
      <c r="A312" s="96"/>
      <c r="B312" s="96"/>
      <c r="C312" s="96"/>
      <c r="D312" s="205"/>
      <c r="E312" s="203"/>
      <c r="F312" s="98"/>
      <c r="G312" s="98"/>
      <c r="H312" s="205"/>
      <c r="I312" s="206"/>
      <c r="J312" s="207"/>
    </row>
    <row r="313" spans="1:10" s="81" customFormat="1">
      <c r="A313" s="96"/>
      <c r="B313" s="96"/>
      <c r="C313" s="96"/>
      <c r="D313" s="205"/>
      <c r="E313" s="203"/>
      <c r="F313" s="98"/>
      <c r="G313" s="219"/>
      <c r="H313" s="205"/>
      <c r="I313" s="206"/>
      <c r="J313" s="207"/>
    </row>
    <row r="314" spans="1:10" s="81" customFormat="1">
      <c r="A314" s="96"/>
      <c r="B314" s="96"/>
      <c r="C314" s="96"/>
      <c r="D314" s="205"/>
      <c r="E314" s="203"/>
      <c r="F314" s="98"/>
      <c r="G314" s="219"/>
      <c r="H314" s="205"/>
      <c r="I314" s="206"/>
      <c r="J314" s="207"/>
    </row>
    <row r="315" spans="1:10" s="81" customFormat="1">
      <c r="A315" s="96"/>
      <c r="B315" s="96"/>
      <c r="C315" s="96"/>
      <c r="D315" s="205"/>
      <c r="E315" s="203"/>
      <c r="F315" s="98"/>
      <c r="G315" s="219"/>
      <c r="H315" s="205"/>
      <c r="I315" s="206"/>
      <c r="J315" s="207"/>
    </row>
    <row r="316" spans="1:10" s="81" customFormat="1">
      <c r="A316" s="96"/>
      <c r="B316" s="96"/>
      <c r="C316" s="218"/>
      <c r="D316" s="205"/>
      <c r="E316" s="203"/>
      <c r="F316" s="98"/>
      <c r="G316" s="219"/>
      <c r="H316" s="205"/>
      <c r="I316" s="206"/>
      <c r="J316" s="207"/>
    </row>
    <row r="317" spans="1:10" s="81" customFormat="1">
      <c r="A317" s="96"/>
      <c r="B317" s="96"/>
      <c r="C317" s="218"/>
      <c r="D317" s="205"/>
      <c r="E317" s="203"/>
      <c r="F317" s="98"/>
      <c r="G317" s="219"/>
      <c r="H317" s="205"/>
      <c r="I317" s="206"/>
      <c r="J317" s="207"/>
    </row>
    <row r="318" spans="1:10" s="81" customFormat="1">
      <c r="A318" s="218"/>
      <c r="B318" s="218"/>
      <c r="C318" s="218"/>
      <c r="D318" s="205"/>
      <c r="E318" s="203"/>
      <c r="F318" s="219"/>
      <c r="G318" s="219"/>
      <c r="H318" s="205"/>
      <c r="I318" s="206"/>
      <c r="J318" s="207"/>
    </row>
    <row r="319" spans="1:10" s="81" customFormat="1">
      <c r="A319" s="218"/>
      <c r="B319" s="218"/>
      <c r="C319" s="218"/>
      <c r="D319" s="205"/>
      <c r="E319" s="203"/>
      <c r="F319" s="219"/>
      <c r="G319" s="219"/>
      <c r="H319" s="205"/>
      <c r="I319" s="206"/>
      <c r="J319" s="207"/>
    </row>
    <row r="320" spans="1:10" s="81" customFormat="1">
      <c r="A320" s="218"/>
      <c r="B320" s="218"/>
      <c r="C320" s="218"/>
      <c r="D320" s="205"/>
      <c r="E320" s="203"/>
      <c r="F320" s="219"/>
      <c r="G320" s="219"/>
      <c r="H320" s="205"/>
      <c r="I320" s="206"/>
      <c r="J320" s="207"/>
    </row>
    <row r="321" spans="1:10" s="81" customFormat="1">
      <c r="A321" s="218"/>
      <c r="B321" s="218"/>
      <c r="C321" s="218"/>
      <c r="D321" s="205"/>
      <c r="E321" s="203"/>
      <c r="F321" s="219"/>
      <c r="G321" s="219"/>
      <c r="H321" s="205"/>
      <c r="I321" s="206"/>
      <c r="J321" s="207"/>
    </row>
    <row r="322" spans="1:10" s="81" customFormat="1">
      <c r="A322" s="218"/>
      <c r="B322" s="218"/>
      <c r="C322" s="218"/>
      <c r="D322" s="205"/>
      <c r="E322" s="203"/>
      <c r="F322" s="219"/>
      <c r="G322" s="219"/>
      <c r="H322" s="205"/>
      <c r="I322" s="206"/>
      <c r="J322" s="207"/>
    </row>
    <row r="323" spans="1:10" s="81" customFormat="1">
      <c r="A323" s="218"/>
      <c r="B323" s="218"/>
      <c r="C323" s="218"/>
      <c r="D323" s="205"/>
      <c r="E323" s="203"/>
      <c r="F323" s="219"/>
      <c r="G323" s="219"/>
      <c r="H323" s="205"/>
      <c r="I323" s="206"/>
      <c r="J323" s="207"/>
    </row>
    <row r="324" spans="1:10" s="81" customFormat="1">
      <c r="A324" s="218"/>
      <c r="B324" s="218"/>
      <c r="C324" s="218"/>
      <c r="D324" s="205"/>
      <c r="E324" s="203"/>
      <c r="F324" s="219"/>
      <c r="G324" s="219"/>
      <c r="H324" s="205"/>
      <c r="I324" s="206"/>
      <c r="J324" s="207"/>
    </row>
    <row r="325" spans="1:10" s="81" customFormat="1">
      <c r="A325" s="218"/>
      <c r="B325" s="218"/>
      <c r="C325" s="218"/>
      <c r="D325" s="205"/>
      <c r="E325" s="203"/>
      <c r="F325" s="219"/>
      <c r="G325" s="219"/>
      <c r="H325" s="205"/>
      <c r="I325" s="206"/>
      <c r="J325" s="207"/>
    </row>
    <row r="326" spans="1:10" s="81" customFormat="1">
      <c r="A326" s="218"/>
      <c r="B326" s="218"/>
      <c r="C326" s="218"/>
      <c r="D326" s="205"/>
      <c r="E326" s="203"/>
      <c r="F326" s="219"/>
      <c r="G326" s="219"/>
      <c r="H326" s="205"/>
      <c r="I326" s="206"/>
      <c r="J326" s="207"/>
    </row>
    <row r="327" spans="1:10" s="81" customFormat="1">
      <c r="A327" s="218"/>
      <c r="B327" s="218"/>
      <c r="C327" s="218"/>
      <c r="D327" s="205"/>
      <c r="E327" s="203"/>
      <c r="F327" s="219"/>
      <c r="G327" s="219"/>
      <c r="H327" s="205"/>
      <c r="I327" s="206"/>
      <c r="J327" s="207"/>
    </row>
    <row r="328" spans="1:10" s="81" customFormat="1">
      <c r="A328" s="218"/>
      <c r="B328" s="218"/>
      <c r="C328" s="218"/>
      <c r="D328" s="205"/>
      <c r="E328" s="203"/>
      <c r="F328" s="219"/>
      <c r="G328" s="219"/>
      <c r="H328" s="205"/>
      <c r="I328" s="206"/>
      <c r="J328" s="207"/>
    </row>
    <row r="329" spans="1:10" s="81" customFormat="1">
      <c r="A329" s="218"/>
      <c r="B329" s="218"/>
      <c r="C329" s="218"/>
      <c r="D329" s="205"/>
      <c r="E329" s="203"/>
      <c r="F329" s="219"/>
      <c r="G329" s="219"/>
      <c r="H329" s="205"/>
      <c r="I329" s="206"/>
      <c r="J329" s="207"/>
    </row>
    <row r="330" spans="1:10" s="81" customFormat="1">
      <c r="A330" s="218"/>
      <c r="B330" s="218"/>
      <c r="C330" s="218"/>
      <c r="D330" s="205"/>
      <c r="E330" s="203"/>
      <c r="F330" s="219"/>
      <c r="G330" s="219"/>
      <c r="H330" s="205"/>
      <c r="I330" s="206"/>
      <c r="J330" s="207"/>
    </row>
    <row r="331" spans="1:10" s="81" customFormat="1">
      <c r="A331" s="218"/>
      <c r="B331" s="218"/>
      <c r="C331" s="218"/>
      <c r="D331" s="205"/>
      <c r="E331" s="203"/>
      <c r="F331" s="219"/>
      <c r="G331" s="219"/>
      <c r="H331" s="205"/>
      <c r="I331" s="206"/>
      <c r="J331" s="207"/>
    </row>
    <row r="332" spans="1:10" s="81" customFormat="1">
      <c r="A332" s="218"/>
      <c r="B332" s="218"/>
      <c r="C332" s="218"/>
      <c r="D332" s="205"/>
      <c r="E332" s="203"/>
      <c r="F332" s="219"/>
      <c r="G332" s="219"/>
      <c r="H332" s="205"/>
      <c r="I332" s="206"/>
      <c r="J332" s="207"/>
    </row>
    <row r="333" spans="1:10" s="81" customFormat="1">
      <c r="A333" s="218"/>
      <c r="B333" s="218"/>
      <c r="C333" s="218"/>
      <c r="D333" s="205"/>
      <c r="E333" s="203"/>
      <c r="F333" s="219"/>
      <c r="G333" s="219"/>
      <c r="H333" s="205"/>
      <c r="I333" s="206"/>
      <c r="J333" s="207"/>
    </row>
    <row r="334" spans="1:10" s="81" customFormat="1">
      <c r="A334" s="218"/>
      <c r="B334" s="218"/>
      <c r="C334" s="218"/>
      <c r="D334" s="205"/>
      <c r="E334" s="203"/>
      <c r="F334" s="219"/>
      <c r="G334" s="219"/>
      <c r="H334" s="205"/>
      <c r="I334" s="206"/>
      <c r="J334" s="207"/>
    </row>
    <row r="335" spans="1:10" s="81" customFormat="1">
      <c r="A335" s="218"/>
      <c r="B335" s="218"/>
      <c r="C335" s="218"/>
      <c r="D335" s="205"/>
      <c r="E335" s="203"/>
      <c r="F335" s="219"/>
      <c r="G335" s="219"/>
      <c r="H335" s="205"/>
      <c r="I335" s="206"/>
      <c r="J335" s="207"/>
    </row>
    <row r="336" spans="1:10" s="81" customFormat="1">
      <c r="A336" s="218"/>
      <c r="B336" s="218"/>
      <c r="C336" s="218"/>
      <c r="D336" s="205"/>
      <c r="E336" s="203"/>
      <c r="F336" s="219"/>
      <c r="G336" s="219"/>
      <c r="H336" s="205"/>
      <c r="I336" s="206"/>
      <c r="J336" s="207"/>
    </row>
    <row r="337" spans="1:10" s="81" customFormat="1">
      <c r="A337" s="218"/>
      <c r="B337" s="218"/>
      <c r="C337" s="218"/>
      <c r="D337" s="205"/>
      <c r="E337" s="203"/>
      <c r="F337" s="219"/>
      <c r="G337" s="219"/>
      <c r="H337" s="205"/>
      <c r="I337" s="206"/>
      <c r="J337" s="207"/>
    </row>
    <row r="338" spans="1:10" s="81" customFormat="1">
      <c r="A338" s="218"/>
      <c r="B338" s="218"/>
      <c r="C338" s="218"/>
      <c r="D338" s="205"/>
      <c r="E338" s="203"/>
      <c r="F338" s="219"/>
      <c r="G338" s="219"/>
      <c r="H338" s="205"/>
      <c r="I338" s="144"/>
      <c r="J338" s="207"/>
    </row>
    <row r="339" spans="1:10" s="81" customFormat="1">
      <c r="A339" s="218"/>
      <c r="B339" s="218"/>
      <c r="C339" s="218"/>
      <c r="D339" s="205"/>
      <c r="E339" s="203"/>
      <c r="F339" s="219"/>
      <c r="G339" s="219"/>
      <c r="H339" s="205"/>
      <c r="I339" s="206"/>
      <c r="J339" s="207"/>
    </row>
    <row r="340" spans="1:10" s="81" customFormat="1">
      <c r="A340" s="218"/>
      <c r="B340" s="218"/>
      <c r="C340" s="218"/>
      <c r="D340" s="205"/>
      <c r="E340" s="203"/>
      <c r="F340" s="219"/>
      <c r="G340" s="219"/>
      <c r="H340" s="205"/>
      <c r="I340" s="206"/>
      <c r="J340" s="207"/>
    </row>
    <row r="341" spans="1:10" s="81" customFormat="1">
      <c r="A341" s="218"/>
      <c r="B341" s="218"/>
      <c r="C341" s="218"/>
      <c r="D341" s="205"/>
      <c r="E341" s="203"/>
      <c r="F341" s="219"/>
      <c r="G341" s="188"/>
      <c r="H341" s="205"/>
      <c r="I341" s="206"/>
      <c r="J341" s="207"/>
    </row>
    <row r="342" spans="1:10" s="81" customFormat="1">
      <c r="A342" s="218"/>
      <c r="B342" s="218"/>
      <c r="C342" s="218"/>
      <c r="D342" s="205"/>
      <c r="E342" s="203"/>
      <c r="F342" s="219"/>
      <c r="G342" s="219"/>
      <c r="H342" s="205"/>
      <c r="I342" s="206"/>
      <c r="J342" s="207"/>
    </row>
    <row r="343" spans="1:10" s="81" customFormat="1">
      <c r="A343" s="218"/>
      <c r="B343" s="218"/>
      <c r="C343" s="218"/>
      <c r="D343" s="205"/>
      <c r="E343" s="203"/>
      <c r="F343" s="219"/>
      <c r="G343" s="219"/>
      <c r="H343" s="205"/>
      <c r="I343" s="206"/>
      <c r="J343" s="207"/>
    </row>
    <row r="344" spans="1:10" s="81" customFormat="1">
      <c r="A344" s="218"/>
      <c r="B344" s="218"/>
      <c r="C344" s="218"/>
      <c r="D344" s="205"/>
      <c r="E344" s="203"/>
      <c r="F344" s="219"/>
      <c r="G344" s="219"/>
      <c r="H344" s="205"/>
      <c r="I344" s="206"/>
      <c r="J344" s="207"/>
    </row>
    <row r="345" spans="1:10" s="81" customFormat="1">
      <c r="A345" s="218"/>
      <c r="B345" s="218"/>
      <c r="C345" s="218"/>
      <c r="D345" s="205"/>
      <c r="E345" s="203"/>
      <c r="F345" s="219"/>
      <c r="G345" s="219"/>
      <c r="H345" s="205"/>
      <c r="I345" s="206"/>
      <c r="J345" s="207"/>
    </row>
    <row r="346" spans="1:10" s="81" customFormat="1">
      <c r="A346" s="218"/>
      <c r="B346" s="218"/>
      <c r="C346" s="218"/>
      <c r="D346" s="205"/>
      <c r="E346" s="203"/>
      <c r="F346" s="219"/>
      <c r="G346" s="219"/>
      <c r="H346" s="205"/>
      <c r="I346" s="206"/>
      <c r="J346" s="207"/>
    </row>
    <row r="347" spans="1:10" s="81" customFormat="1">
      <c r="A347" s="218"/>
      <c r="B347" s="218"/>
      <c r="C347" s="218"/>
      <c r="D347" s="205"/>
      <c r="E347" s="203"/>
      <c r="F347" s="219"/>
      <c r="G347" s="219"/>
      <c r="H347" s="205"/>
      <c r="I347" s="206"/>
      <c r="J347" s="207"/>
    </row>
    <row r="348" spans="1:10" s="81" customFormat="1">
      <c r="A348" s="218"/>
      <c r="B348" s="218"/>
      <c r="C348" s="218"/>
      <c r="D348" s="205"/>
      <c r="E348" s="203"/>
      <c r="F348" s="219"/>
      <c r="G348" s="219"/>
      <c r="H348" s="205"/>
      <c r="I348" s="206"/>
      <c r="J348" s="207"/>
    </row>
    <row r="349" spans="1:10" s="81" customFormat="1">
      <c r="A349" s="218"/>
      <c r="B349" s="218"/>
      <c r="C349" s="218"/>
      <c r="D349" s="205"/>
      <c r="E349" s="203"/>
      <c r="F349" s="219"/>
      <c r="G349" s="219"/>
      <c r="H349" s="205"/>
      <c r="I349" s="206"/>
      <c r="J349" s="207"/>
    </row>
    <row r="350" spans="1:10" s="81" customFormat="1">
      <c r="A350" s="218"/>
      <c r="B350" s="218"/>
      <c r="C350" s="218"/>
      <c r="D350" s="205"/>
      <c r="E350" s="203"/>
      <c r="F350" s="219"/>
      <c r="G350" s="219"/>
      <c r="H350" s="205"/>
      <c r="I350" s="206"/>
      <c r="J350" s="207"/>
    </row>
    <row r="351" spans="1:10" s="81" customFormat="1">
      <c r="A351" s="218"/>
      <c r="B351" s="218"/>
      <c r="C351" s="218"/>
      <c r="D351" s="205"/>
      <c r="E351" s="203"/>
      <c r="F351" s="219"/>
      <c r="G351" s="219"/>
      <c r="H351" s="205"/>
      <c r="I351" s="206"/>
      <c r="J351" s="207"/>
    </row>
    <row r="352" spans="1:10" s="81" customFormat="1">
      <c r="A352" s="218"/>
      <c r="B352" s="218"/>
      <c r="C352" s="218"/>
      <c r="D352" s="205"/>
      <c r="E352" s="203"/>
      <c r="F352" s="219"/>
      <c r="G352" s="219"/>
      <c r="H352" s="205"/>
      <c r="I352" s="206"/>
      <c r="J352" s="207"/>
    </row>
    <row r="353" spans="1:10" s="81" customFormat="1">
      <c r="A353" s="218"/>
      <c r="B353" s="218"/>
      <c r="C353" s="218"/>
      <c r="D353" s="205"/>
      <c r="E353" s="203"/>
      <c r="F353" s="219"/>
      <c r="G353" s="219"/>
      <c r="H353" s="205"/>
      <c r="I353" s="206"/>
      <c r="J353" s="207"/>
    </row>
    <row r="354" spans="1:10" s="81" customFormat="1">
      <c r="A354" s="218"/>
      <c r="B354" s="218"/>
      <c r="C354" s="218"/>
      <c r="D354" s="205"/>
      <c r="E354" s="203"/>
      <c r="F354" s="219"/>
      <c r="G354" s="219"/>
      <c r="H354" s="205"/>
      <c r="I354" s="206"/>
      <c r="J354" s="207"/>
    </row>
    <row r="355" spans="1:10" s="81" customFormat="1">
      <c r="A355" s="218"/>
      <c r="B355" s="218"/>
      <c r="C355" s="218"/>
      <c r="D355" s="205"/>
      <c r="E355" s="203"/>
      <c r="F355" s="219"/>
      <c r="G355" s="219"/>
      <c r="H355" s="205"/>
      <c r="I355" s="206"/>
      <c r="J355" s="207"/>
    </row>
    <row r="356" spans="1:10" s="81" customFormat="1">
      <c r="A356" s="218"/>
      <c r="B356" s="218"/>
      <c r="C356" s="218"/>
      <c r="D356" s="205"/>
      <c r="E356" s="203"/>
      <c r="F356" s="219"/>
      <c r="G356" s="219"/>
      <c r="H356" s="205"/>
      <c r="I356" s="206"/>
      <c r="J356" s="207"/>
    </row>
    <row r="357" spans="1:10" s="81" customFormat="1">
      <c r="A357" s="218"/>
      <c r="B357" s="218"/>
      <c r="C357" s="218"/>
      <c r="D357" s="205"/>
      <c r="E357" s="203"/>
      <c r="F357" s="219"/>
      <c r="G357" s="219"/>
      <c r="H357" s="205"/>
      <c r="I357" s="206"/>
      <c r="J357" s="207"/>
    </row>
    <row r="358" spans="1:10" s="81" customFormat="1">
      <c r="A358" s="218"/>
      <c r="B358" s="218"/>
      <c r="C358" s="218"/>
      <c r="D358" s="205"/>
      <c r="E358" s="203"/>
      <c r="F358" s="219"/>
      <c r="G358" s="219"/>
      <c r="H358" s="205"/>
      <c r="I358" s="206"/>
      <c r="J358" s="207"/>
    </row>
    <row r="359" spans="1:10" s="81" customFormat="1">
      <c r="A359" s="218"/>
      <c r="B359" s="218"/>
      <c r="C359" s="218"/>
      <c r="D359" s="205"/>
      <c r="E359" s="203"/>
      <c r="F359" s="219"/>
      <c r="G359" s="219"/>
      <c r="H359" s="205"/>
      <c r="I359" s="206"/>
      <c r="J359" s="207"/>
    </row>
    <row r="360" spans="1:10" s="81" customFormat="1">
      <c r="A360" s="218"/>
      <c r="B360" s="218"/>
      <c r="C360" s="218"/>
      <c r="D360" s="205"/>
      <c r="E360" s="203"/>
      <c r="F360" s="219"/>
      <c r="G360" s="219"/>
      <c r="H360" s="205"/>
      <c r="I360" s="206"/>
      <c r="J360" s="207"/>
    </row>
    <row r="361" spans="1:10" s="81" customFormat="1">
      <c r="A361" s="218"/>
      <c r="B361" s="218"/>
      <c r="C361" s="218"/>
      <c r="D361" s="205"/>
      <c r="E361" s="203"/>
      <c r="F361" s="219"/>
      <c r="G361" s="219"/>
      <c r="H361" s="205"/>
      <c r="I361" s="206"/>
      <c r="J361" s="207"/>
    </row>
    <row r="362" spans="1:10" s="81" customFormat="1">
      <c r="A362" s="218"/>
      <c r="B362" s="218"/>
      <c r="C362" s="218"/>
      <c r="D362" s="205"/>
      <c r="E362" s="203"/>
      <c r="F362" s="219"/>
      <c r="G362" s="219"/>
      <c r="H362" s="205"/>
      <c r="I362" s="206"/>
      <c r="J362" s="207"/>
    </row>
    <row r="363" spans="1:10" s="81" customFormat="1">
      <c r="A363" s="218"/>
      <c r="B363" s="218"/>
      <c r="C363" s="218"/>
      <c r="D363" s="205"/>
      <c r="E363" s="203"/>
      <c r="F363" s="219"/>
      <c r="G363" s="219"/>
      <c r="H363" s="205"/>
      <c r="I363" s="206"/>
      <c r="J363" s="207"/>
    </row>
    <row r="364" spans="1:10" s="81" customFormat="1">
      <c r="A364" s="218"/>
      <c r="B364" s="218"/>
      <c r="C364" s="218"/>
      <c r="D364" s="205"/>
      <c r="E364" s="203"/>
      <c r="F364" s="219"/>
      <c r="G364" s="219"/>
      <c r="H364" s="205"/>
      <c r="I364" s="206"/>
      <c r="J364" s="207"/>
    </row>
    <row r="365" spans="1:10" s="81" customFormat="1">
      <c r="A365" s="218"/>
      <c r="B365" s="218"/>
      <c r="C365" s="218"/>
      <c r="D365" s="205"/>
      <c r="E365" s="203"/>
      <c r="F365" s="219"/>
      <c r="G365" s="219"/>
      <c r="H365" s="205"/>
      <c r="I365" s="206"/>
      <c r="J365" s="207"/>
    </row>
    <row r="366" spans="1:10" s="81" customFormat="1">
      <c r="A366" s="218"/>
      <c r="B366" s="218"/>
      <c r="C366" s="218"/>
      <c r="D366" s="205"/>
      <c r="E366" s="203"/>
      <c r="F366" s="219"/>
      <c r="G366" s="219"/>
      <c r="H366" s="205"/>
      <c r="I366" s="206"/>
      <c r="J366" s="207"/>
    </row>
    <row r="367" spans="1:10" s="81" customFormat="1">
      <c r="A367" s="218"/>
      <c r="B367" s="218"/>
      <c r="C367" s="218"/>
      <c r="D367" s="205"/>
      <c r="E367" s="203"/>
      <c r="F367" s="219"/>
      <c r="G367" s="219"/>
      <c r="H367" s="205"/>
      <c r="I367" s="206"/>
      <c r="J367" s="207"/>
    </row>
    <row r="368" spans="1:10" s="81" customFormat="1">
      <c r="A368" s="218"/>
      <c r="B368" s="218"/>
      <c r="C368" s="218"/>
      <c r="D368" s="205"/>
      <c r="E368" s="203"/>
      <c r="F368" s="219"/>
      <c r="G368" s="219"/>
      <c r="H368" s="205"/>
      <c r="I368" s="206"/>
      <c r="J368" s="207"/>
    </row>
    <row r="369" spans="1:10" s="81" customFormat="1">
      <c r="A369" s="218"/>
      <c r="B369" s="218"/>
      <c r="C369" s="218"/>
      <c r="D369" s="205"/>
      <c r="E369" s="203"/>
      <c r="F369" s="219"/>
      <c r="G369" s="219"/>
      <c r="H369" s="205"/>
      <c r="I369" s="206"/>
      <c r="J369" s="207"/>
    </row>
    <row r="370" spans="1:10" s="81" customFormat="1">
      <c r="A370" s="218"/>
      <c r="B370" s="218"/>
      <c r="C370" s="218"/>
      <c r="D370" s="205"/>
      <c r="E370" s="203"/>
      <c r="F370" s="219"/>
      <c r="G370" s="219"/>
      <c r="H370" s="205"/>
      <c r="I370" s="206"/>
      <c r="J370" s="207"/>
    </row>
    <row r="371" spans="1:10" s="81" customFormat="1">
      <c r="A371" s="218"/>
      <c r="B371" s="218"/>
      <c r="C371" s="218"/>
      <c r="D371" s="205"/>
      <c r="E371" s="203"/>
      <c r="F371" s="219"/>
      <c r="G371" s="219"/>
      <c r="H371" s="205"/>
      <c r="I371" s="206"/>
      <c r="J371" s="207"/>
    </row>
    <row r="372" spans="1:10" s="81" customFormat="1">
      <c r="A372" s="218"/>
      <c r="B372" s="218"/>
      <c r="C372" s="218"/>
      <c r="D372" s="205"/>
      <c r="E372" s="203"/>
      <c r="F372" s="219"/>
      <c r="G372" s="219"/>
      <c r="H372" s="205"/>
      <c r="I372" s="206"/>
      <c r="J372" s="207"/>
    </row>
    <row r="373" spans="1:10" s="81" customFormat="1">
      <c r="A373" s="218"/>
      <c r="B373" s="218"/>
      <c r="C373" s="218"/>
      <c r="D373" s="205"/>
      <c r="E373" s="203"/>
      <c r="F373" s="219"/>
      <c r="G373" s="219"/>
      <c r="H373" s="205"/>
      <c r="I373" s="206"/>
      <c r="J373" s="207"/>
    </row>
    <row r="374" spans="1:10" s="81" customFormat="1">
      <c r="A374" s="218"/>
      <c r="B374" s="218"/>
      <c r="C374" s="218"/>
      <c r="D374" s="205"/>
      <c r="E374" s="203"/>
      <c r="F374" s="219"/>
      <c r="G374" s="219"/>
      <c r="H374" s="205"/>
      <c r="I374" s="206"/>
      <c r="J374" s="207"/>
    </row>
    <row r="375" spans="1:10" s="81" customFormat="1">
      <c r="A375" s="218"/>
      <c r="B375" s="218"/>
      <c r="C375" s="218"/>
      <c r="D375" s="205"/>
      <c r="E375" s="203"/>
      <c r="F375" s="219"/>
      <c r="G375" s="219"/>
      <c r="H375" s="205"/>
      <c r="I375" s="206"/>
      <c r="J375" s="207"/>
    </row>
    <row r="376" spans="1:10" s="81" customFormat="1">
      <c r="A376" s="218"/>
      <c r="B376" s="218"/>
      <c r="C376" s="218"/>
      <c r="D376" s="205"/>
      <c r="E376" s="203"/>
      <c r="F376" s="219"/>
      <c r="G376" s="219"/>
      <c r="H376" s="205"/>
      <c r="I376" s="206"/>
      <c r="J376" s="207"/>
    </row>
    <row r="377" spans="1:10" s="81" customFormat="1">
      <c r="A377" s="218"/>
      <c r="B377" s="218"/>
      <c r="C377" s="218"/>
      <c r="D377" s="205"/>
      <c r="E377" s="203"/>
      <c r="F377" s="219"/>
      <c r="G377" s="219"/>
      <c r="H377" s="205"/>
      <c r="I377" s="206"/>
      <c r="J377" s="207"/>
    </row>
    <row r="378" spans="1:10" s="81" customFormat="1">
      <c r="A378" s="218"/>
      <c r="B378" s="218"/>
      <c r="C378" s="218"/>
      <c r="D378" s="205"/>
      <c r="E378" s="203"/>
      <c r="F378" s="219"/>
      <c r="G378" s="219"/>
      <c r="H378" s="205"/>
      <c r="I378" s="206"/>
      <c r="J378" s="207"/>
    </row>
    <row r="379" spans="1:10" s="81" customFormat="1">
      <c r="A379" s="218"/>
      <c r="B379" s="218"/>
      <c r="C379" s="218"/>
      <c r="D379" s="205"/>
      <c r="E379" s="203"/>
      <c r="F379" s="219"/>
      <c r="G379" s="219"/>
      <c r="H379" s="205"/>
      <c r="I379" s="206"/>
      <c r="J379" s="207"/>
    </row>
    <row r="380" spans="1:10" s="81" customFormat="1">
      <c r="A380" s="218"/>
      <c r="B380" s="218"/>
      <c r="C380" s="218"/>
      <c r="D380" s="205"/>
      <c r="E380" s="203"/>
      <c r="F380" s="219"/>
      <c r="G380" s="219"/>
      <c r="H380" s="205"/>
      <c r="I380" s="206"/>
      <c r="J380" s="207"/>
    </row>
    <row r="381" spans="1:10" s="81" customFormat="1">
      <c r="A381" s="218"/>
      <c r="B381" s="218"/>
      <c r="C381" s="218"/>
      <c r="D381" s="205"/>
      <c r="E381" s="203"/>
      <c r="F381" s="219"/>
      <c r="G381" s="219"/>
      <c r="H381" s="205"/>
      <c r="I381" s="206"/>
      <c r="J381" s="207"/>
    </row>
    <row r="382" spans="1:10" s="81" customFormat="1">
      <c r="A382" s="218"/>
      <c r="B382" s="218"/>
      <c r="C382" s="218"/>
      <c r="D382" s="205"/>
      <c r="E382" s="203"/>
      <c r="F382" s="219"/>
      <c r="G382" s="219"/>
      <c r="H382" s="205"/>
      <c r="I382" s="206"/>
      <c r="J382" s="207"/>
    </row>
    <row r="383" spans="1:10" s="81" customFormat="1">
      <c r="A383" s="218"/>
      <c r="B383" s="218"/>
      <c r="C383" s="218"/>
      <c r="D383" s="205"/>
      <c r="E383" s="203"/>
      <c r="F383" s="219"/>
      <c r="G383" s="219"/>
      <c r="H383" s="205"/>
      <c r="I383" s="206"/>
      <c r="J383" s="207"/>
    </row>
    <row r="384" spans="1:10" s="81" customFormat="1">
      <c r="A384" s="218"/>
      <c r="B384" s="218"/>
      <c r="C384" s="218"/>
      <c r="D384" s="205"/>
      <c r="E384" s="203"/>
      <c r="F384" s="219"/>
      <c r="G384" s="219"/>
      <c r="H384" s="205"/>
      <c r="I384" s="206"/>
      <c r="J384" s="207"/>
    </row>
    <row r="385" spans="1:10" s="81" customFormat="1">
      <c r="A385" s="218"/>
      <c r="B385" s="218"/>
      <c r="C385" s="218"/>
      <c r="D385" s="205"/>
      <c r="E385" s="203"/>
      <c r="F385" s="219"/>
      <c r="G385" s="219"/>
      <c r="H385" s="205"/>
      <c r="I385" s="206"/>
      <c r="J385" s="207"/>
    </row>
    <row r="386" spans="1:10" s="81" customFormat="1">
      <c r="A386" s="218"/>
      <c r="B386" s="218"/>
      <c r="C386" s="218"/>
      <c r="D386" s="205"/>
      <c r="E386" s="203"/>
      <c r="F386" s="219"/>
      <c r="G386" s="219"/>
      <c r="H386" s="205"/>
      <c r="I386" s="206"/>
      <c r="J386" s="207"/>
    </row>
    <row r="387" spans="1:10" s="81" customFormat="1">
      <c r="A387" s="218"/>
      <c r="B387" s="218"/>
      <c r="C387" s="218"/>
      <c r="D387" s="205"/>
      <c r="E387" s="203"/>
      <c r="F387" s="219"/>
      <c r="G387" s="219"/>
      <c r="H387" s="205"/>
      <c r="I387" s="206"/>
      <c r="J387" s="207"/>
    </row>
    <row r="388" spans="1:10" s="81" customFormat="1">
      <c r="A388" s="218"/>
      <c r="B388" s="218"/>
      <c r="C388" s="218"/>
      <c r="D388" s="205"/>
      <c r="E388" s="203"/>
      <c r="F388" s="219"/>
      <c r="G388" s="219"/>
      <c r="H388" s="205"/>
      <c r="I388" s="206"/>
      <c r="J388" s="207"/>
    </row>
    <row r="389" spans="1:10" s="81" customFormat="1">
      <c r="A389" s="218"/>
      <c r="B389" s="218"/>
      <c r="C389" s="218"/>
      <c r="D389" s="205"/>
      <c r="E389" s="203"/>
      <c r="F389" s="219"/>
      <c r="G389" s="219"/>
      <c r="H389" s="205"/>
      <c r="I389" s="206"/>
      <c r="J389" s="207"/>
    </row>
    <row r="390" spans="1:10" s="81" customFormat="1">
      <c r="A390" s="218"/>
      <c r="B390" s="218"/>
      <c r="C390" s="218"/>
      <c r="D390" s="205"/>
      <c r="E390" s="203"/>
      <c r="F390" s="219"/>
      <c r="G390" s="219"/>
      <c r="H390" s="205"/>
      <c r="I390" s="206"/>
      <c r="J390" s="207"/>
    </row>
    <row r="391" spans="1:10" s="81" customFormat="1">
      <c r="A391" s="218"/>
      <c r="B391" s="218"/>
      <c r="C391" s="218"/>
      <c r="D391" s="205"/>
      <c r="E391" s="203"/>
      <c r="F391" s="219"/>
      <c r="G391" s="219"/>
      <c r="H391" s="205"/>
      <c r="I391" s="206"/>
      <c r="J391" s="207"/>
    </row>
    <row r="392" spans="1:10" s="81" customFormat="1">
      <c r="A392" s="218"/>
      <c r="B392" s="218"/>
      <c r="C392" s="218"/>
      <c r="D392" s="205"/>
      <c r="E392" s="203"/>
      <c r="F392" s="219"/>
      <c r="G392" s="219"/>
      <c r="H392" s="205"/>
      <c r="I392" s="206"/>
      <c r="J392" s="207"/>
    </row>
    <row r="393" spans="1:10" s="81" customFormat="1">
      <c r="A393" s="218"/>
      <c r="B393" s="218"/>
      <c r="C393" s="218"/>
      <c r="D393" s="205"/>
      <c r="E393" s="203"/>
      <c r="F393" s="219"/>
      <c r="G393" s="219"/>
      <c r="H393" s="205"/>
      <c r="I393" s="206"/>
      <c r="J393" s="207"/>
    </row>
    <row r="394" spans="1:10" s="81" customFormat="1">
      <c r="A394" s="218"/>
      <c r="B394" s="218"/>
      <c r="C394" s="218"/>
      <c r="D394" s="205"/>
      <c r="E394" s="203"/>
      <c r="F394" s="219"/>
      <c r="G394" s="219"/>
      <c r="H394" s="205"/>
      <c r="I394" s="206"/>
      <c r="J394" s="207"/>
    </row>
    <row r="395" spans="1:10" s="81" customFormat="1">
      <c r="A395" s="218"/>
      <c r="B395" s="218"/>
      <c r="C395" s="218"/>
      <c r="D395" s="205"/>
      <c r="E395" s="203"/>
      <c r="F395" s="219"/>
      <c r="G395" s="219"/>
      <c r="H395" s="205"/>
      <c r="I395" s="144"/>
      <c r="J395" s="207"/>
    </row>
    <row r="396" spans="1:10" s="81" customFormat="1">
      <c r="A396" s="218"/>
      <c r="B396" s="218"/>
      <c r="C396" s="218"/>
      <c r="D396" s="205"/>
      <c r="E396" s="203"/>
      <c r="F396" s="219"/>
      <c r="G396" s="219"/>
      <c r="H396" s="205"/>
      <c r="I396" s="206"/>
      <c r="J396" s="207"/>
    </row>
    <row r="397" spans="1:10" s="81" customFormat="1">
      <c r="A397" s="218"/>
      <c r="B397" s="218"/>
      <c r="C397" s="218"/>
      <c r="D397" s="205"/>
      <c r="E397" s="203"/>
      <c r="F397" s="219"/>
      <c r="G397" s="219"/>
      <c r="H397" s="205"/>
      <c r="I397" s="206"/>
      <c r="J397" s="207"/>
    </row>
    <row r="398" spans="1:10" s="81" customFormat="1">
      <c r="A398" s="218"/>
      <c r="B398" s="218"/>
      <c r="C398" s="218"/>
      <c r="D398" s="205"/>
      <c r="E398" s="203"/>
      <c r="F398" s="219"/>
      <c r="G398" s="219"/>
      <c r="H398" s="205"/>
      <c r="I398" s="206"/>
      <c r="J398" s="207"/>
    </row>
    <row r="399" spans="1:10" s="81" customFormat="1">
      <c r="A399" s="218"/>
      <c r="B399" s="218"/>
      <c r="C399" s="218"/>
      <c r="D399" s="205"/>
      <c r="E399" s="203"/>
      <c r="F399" s="219"/>
      <c r="G399" s="219"/>
      <c r="H399" s="205"/>
      <c r="I399" s="206"/>
      <c r="J399" s="207"/>
    </row>
    <row r="400" spans="1:10" s="81" customFormat="1">
      <c r="A400" s="218"/>
      <c r="B400" s="218"/>
      <c r="C400" s="218"/>
      <c r="D400" s="205"/>
      <c r="E400" s="203"/>
      <c r="F400" s="219"/>
      <c r="G400" s="219"/>
      <c r="H400" s="205"/>
      <c r="I400" s="206"/>
      <c r="J400" s="207"/>
    </row>
    <row r="401" spans="1:10" s="81" customFormat="1">
      <c r="A401" s="218"/>
      <c r="B401" s="218"/>
      <c r="C401" s="218"/>
      <c r="D401" s="205"/>
      <c r="E401" s="203"/>
      <c r="F401" s="219"/>
      <c r="G401" s="219"/>
      <c r="H401" s="205"/>
      <c r="I401" s="206"/>
      <c r="J401" s="207"/>
    </row>
    <row r="402" spans="1:10" s="81" customFormat="1">
      <c r="A402" s="218"/>
      <c r="B402" s="218"/>
      <c r="C402" s="218"/>
      <c r="D402" s="205"/>
      <c r="E402" s="203"/>
      <c r="F402" s="219"/>
      <c r="G402" s="219"/>
      <c r="H402" s="205"/>
      <c r="I402" s="206"/>
      <c r="J402" s="207"/>
    </row>
    <row r="403" spans="1:10" s="81" customFormat="1">
      <c r="A403" s="218"/>
      <c r="B403" s="218"/>
      <c r="C403" s="218"/>
      <c r="D403" s="205"/>
      <c r="E403" s="203"/>
      <c r="F403" s="219"/>
      <c r="G403" s="219"/>
      <c r="H403" s="205"/>
      <c r="I403" s="144"/>
      <c r="J403" s="207"/>
    </row>
    <row r="404" spans="1:10" s="81" customFormat="1">
      <c r="A404" s="218"/>
      <c r="B404" s="218"/>
      <c r="C404" s="218"/>
      <c r="D404" s="205"/>
      <c r="E404" s="203"/>
      <c r="F404" s="219"/>
      <c r="G404" s="219"/>
      <c r="H404" s="205"/>
      <c r="I404" s="206"/>
      <c r="J404" s="207"/>
    </row>
    <row r="405" spans="1:10" s="81" customFormat="1">
      <c r="A405" s="218"/>
      <c r="B405" s="218"/>
      <c r="C405" s="218"/>
      <c r="D405" s="205"/>
      <c r="E405" s="203"/>
      <c r="F405" s="219"/>
      <c r="G405" s="219"/>
      <c r="H405" s="205"/>
      <c r="I405" s="206"/>
      <c r="J405" s="207"/>
    </row>
    <row r="406" spans="1:10" s="81" customFormat="1">
      <c r="A406" s="218"/>
      <c r="B406" s="218"/>
      <c r="C406" s="218"/>
      <c r="D406" s="205"/>
      <c r="E406" s="203"/>
      <c r="F406" s="219"/>
      <c r="G406" s="219"/>
      <c r="H406" s="205"/>
      <c r="I406" s="206"/>
      <c r="J406" s="207"/>
    </row>
    <row r="407" spans="1:10" s="81" customFormat="1">
      <c r="A407" s="218"/>
      <c r="B407" s="218"/>
      <c r="C407" s="218"/>
      <c r="D407" s="205"/>
      <c r="E407" s="203"/>
      <c r="F407" s="219"/>
      <c r="G407" s="219"/>
      <c r="H407" s="205"/>
      <c r="I407" s="206"/>
      <c r="J407" s="207"/>
    </row>
    <row r="408" spans="1:10">
      <c r="A408" s="157"/>
      <c r="B408" s="157"/>
      <c r="C408" s="157"/>
      <c r="D408" s="90"/>
      <c r="E408" s="158"/>
      <c r="F408" s="159"/>
      <c r="G408" s="159"/>
      <c r="H408" s="90"/>
      <c r="I408" s="172"/>
      <c r="J408" s="171"/>
    </row>
    <row r="415" spans="1:10">
      <c r="D415" s="217"/>
    </row>
  </sheetData>
  <autoFilter ref="A6:I408" xr:uid="{00000000-0009-0000-0000-000001000000}"/>
  <mergeCells count="11">
    <mergeCell ref="B6:B7"/>
    <mergeCell ref="A6:A7"/>
    <mergeCell ref="C6:C7"/>
    <mergeCell ref="D6:D7"/>
    <mergeCell ref="E6:E7"/>
    <mergeCell ref="J6:J7"/>
    <mergeCell ref="I6:I7"/>
    <mergeCell ref="H6:H7"/>
    <mergeCell ref="G6:G7"/>
    <mergeCell ref="C1:F1"/>
    <mergeCell ref="F6:F7"/>
  </mergeCells>
  <phoneticPr fontId="3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1"/>
  <sheetViews>
    <sheetView topLeftCell="A88" workbookViewId="0">
      <selection activeCell="L38" sqref="L38"/>
    </sheetView>
  </sheetViews>
  <sheetFormatPr defaultRowHeight="14.25"/>
  <cols>
    <col min="1" max="1" width="7" customWidth="1"/>
    <col min="2" max="2" width="11.7109375" style="75" customWidth="1"/>
    <col min="3" max="3" width="15.5703125" customWidth="1"/>
    <col min="4" max="4" width="14.5703125" customWidth="1"/>
    <col min="5" max="5" width="11.42578125" customWidth="1"/>
    <col min="6" max="6" width="17.140625" style="76" customWidth="1"/>
    <col min="7" max="8" width="15.140625" customWidth="1"/>
    <col min="9" max="9" width="12.140625" customWidth="1"/>
    <col min="11" max="11" width="9.140625" customWidth="1"/>
  </cols>
  <sheetData>
    <row r="1" spans="1:9" ht="21.75">
      <c r="A1" s="34"/>
      <c r="B1" s="34"/>
      <c r="C1" s="34"/>
      <c r="D1" s="279" t="s">
        <v>152</v>
      </c>
      <c r="E1" s="279"/>
      <c r="F1" s="279"/>
      <c r="G1" s="279"/>
      <c r="H1" s="279"/>
      <c r="I1" s="279"/>
    </row>
    <row r="2" spans="1:9" ht="21.75">
      <c r="A2" s="34"/>
      <c r="B2" s="34"/>
      <c r="C2" s="34"/>
      <c r="D2" s="279" t="s">
        <v>153</v>
      </c>
      <c r="E2" s="279"/>
      <c r="F2" s="279"/>
      <c r="G2" s="279"/>
      <c r="H2" s="279"/>
      <c r="I2" s="279"/>
    </row>
    <row r="3" spans="1:9">
      <c r="A3" s="9"/>
      <c r="B3" s="35"/>
      <c r="C3" s="9"/>
      <c r="D3" s="9"/>
      <c r="E3" s="9"/>
      <c r="F3" s="9"/>
      <c r="G3" s="9"/>
      <c r="H3" s="9"/>
      <c r="I3" s="9"/>
    </row>
    <row r="4" spans="1:9" ht="18">
      <c r="A4" s="280" t="s">
        <v>154</v>
      </c>
      <c r="B4" s="281" t="s">
        <v>155</v>
      </c>
      <c r="C4" s="280" t="s">
        <v>156</v>
      </c>
      <c r="D4" s="283" t="s">
        <v>157</v>
      </c>
      <c r="E4" s="284"/>
      <c r="F4" s="280" t="s">
        <v>40</v>
      </c>
      <c r="G4" s="280"/>
      <c r="H4" s="280" t="s">
        <v>158</v>
      </c>
      <c r="I4" s="299" t="s">
        <v>45</v>
      </c>
    </row>
    <row r="5" spans="1:9" ht="18">
      <c r="A5" s="280"/>
      <c r="B5" s="282"/>
      <c r="C5" s="280"/>
      <c r="D5" s="285"/>
      <c r="E5" s="286"/>
      <c r="F5" s="246" t="s">
        <v>4</v>
      </c>
      <c r="G5" s="246" t="s">
        <v>5</v>
      </c>
      <c r="H5" s="280"/>
      <c r="I5" s="282"/>
    </row>
    <row r="6" spans="1:9">
      <c r="A6" s="287">
        <v>1</v>
      </c>
      <c r="B6" s="300" t="s">
        <v>159</v>
      </c>
      <c r="C6" s="36">
        <v>11409145</v>
      </c>
      <c r="D6" s="293" t="s">
        <v>9</v>
      </c>
      <c r="E6" s="294"/>
      <c r="F6" s="37"/>
      <c r="G6" s="38"/>
      <c r="H6" s="39">
        <f>ROUND(C6+F6-G6,2)</f>
        <v>11409145</v>
      </c>
      <c r="I6" s="40"/>
    </row>
    <row r="7" spans="1:9">
      <c r="A7" s="288"/>
      <c r="B7" s="301"/>
      <c r="C7" s="77">
        <v>209099187</v>
      </c>
      <c r="D7" s="295" t="s">
        <v>8</v>
      </c>
      <c r="E7" s="296"/>
      <c r="F7" s="71"/>
      <c r="G7" s="78"/>
      <c r="H7" s="41">
        <f t="shared" ref="H7:H20" si="0">ROUND(C7+F7-G7,2)</f>
        <v>209099187</v>
      </c>
      <c r="I7" s="71"/>
    </row>
    <row r="8" spans="1:9">
      <c r="A8" s="288"/>
      <c r="B8" s="301"/>
      <c r="C8" s="77">
        <v>104024492</v>
      </c>
      <c r="D8" s="295" t="s">
        <v>7</v>
      </c>
      <c r="E8" s="296"/>
      <c r="F8" s="42"/>
      <c r="G8" s="42">
        <f>Vietinbank!F6</f>
        <v>44943140</v>
      </c>
      <c r="H8" s="41">
        <f t="shared" si="0"/>
        <v>59081352</v>
      </c>
      <c r="I8" s="43"/>
    </row>
    <row r="9" spans="1:9">
      <c r="A9" s="288"/>
      <c r="B9" s="301"/>
      <c r="C9" s="44">
        <v>17800</v>
      </c>
      <c r="D9" s="297" t="s">
        <v>6</v>
      </c>
      <c r="E9" s="45" t="s">
        <v>160</v>
      </c>
      <c r="F9" s="46"/>
      <c r="G9" s="47"/>
      <c r="H9" s="41">
        <f t="shared" si="0"/>
        <v>17800</v>
      </c>
      <c r="I9" s="48"/>
    </row>
    <row r="10" spans="1:9">
      <c r="A10" s="289"/>
      <c r="B10" s="302"/>
      <c r="C10" s="49">
        <v>364138817</v>
      </c>
      <c r="D10" s="298"/>
      <c r="E10" s="50" t="s">
        <v>151</v>
      </c>
      <c r="F10" s="51"/>
      <c r="G10" s="52">
        <f>Techcombank!F6</f>
        <v>25888520</v>
      </c>
      <c r="H10" s="53">
        <f t="shared" si="0"/>
        <v>338250297</v>
      </c>
      <c r="I10" s="54"/>
    </row>
    <row r="11" spans="1:9">
      <c r="A11" s="269">
        <v>2</v>
      </c>
      <c r="B11" s="303" t="s">
        <v>161</v>
      </c>
      <c r="C11" s="103">
        <f t="shared" ref="C11:C20" si="1">H6</f>
        <v>11409145</v>
      </c>
      <c r="D11" s="273" t="s">
        <v>9</v>
      </c>
      <c r="E11" s="274"/>
      <c r="F11" s="124"/>
      <c r="G11" s="105"/>
      <c r="H11" s="106">
        <f t="shared" si="0"/>
        <v>11409145</v>
      </c>
      <c r="I11" s="104"/>
    </row>
    <row r="12" spans="1:9">
      <c r="A12" s="270"/>
      <c r="B12" s="304"/>
      <c r="C12" s="107">
        <f t="shared" si="1"/>
        <v>209099187</v>
      </c>
      <c r="D12" s="275" t="s">
        <v>8</v>
      </c>
      <c r="E12" s="276"/>
      <c r="F12" s="108"/>
      <c r="G12" s="109"/>
      <c r="H12" s="106">
        <f t="shared" si="0"/>
        <v>209099187</v>
      </c>
      <c r="I12" s="110"/>
    </row>
    <row r="13" spans="1:9">
      <c r="A13" s="270"/>
      <c r="B13" s="304"/>
      <c r="C13" s="111">
        <f t="shared" si="1"/>
        <v>59081352</v>
      </c>
      <c r="D13" s="275" t="s">
        <v>7</v>
      </c>
      <c r="E13" s="276"/>
      <c r="F13" s="112">
        <f>Vietinbank!E10</f>
        <v>284251051</v>
      </c>
      <c r="G13" s="113">
        <f>Vietinbank!F10</f>
        <v>52897300</v>
      </c>
      <c r="H13" s="106">
        <f t="shared" si="0"/>
        <v>290435103</v>
      </c>
      <c r="I13" s="114"/>
    </row>
    <row r="14" spans="1:9">
      <c r="A14" s="270"/>
      <c r="B14" s="304"/>
      <c r="C14" s="115">
        <f t="shared" si="1"/>
        <v>17800</v>
      </c>
      <c r="D14" s="277" t="s">
        <v>6</v>
      </c>
      <c r="E14" s="116" t="s">
        <v>160</v>
      </c>
      <c r="F14" s="117"/>
      <c r="G14" s="118"/>
      <c r="H14" s="106">
        <f t="shared" si="0"/>
        <v>17800</v>
      </c>
      <c r="I14" s="119"/>
    </row>
    <row r="15" spans="1:9">
      <c r="A15" s="271"/>
      <c r="B15" s="305"/>
      <c r="C15" s="120">
        <f t="shared" si="1"/>
        <v>338250297</v>
      </c>
      <c r="D15" s="278"/>
      <c r="E15" s="121" t="s">
        <v>151</v>
      </c>
      <c r="F15" s="130"/>
      <c r="G15" s="123">
        <f>Techcombank!F10</f>
        <v>142658500</v>
      </c>
      <c r="H15" s="106">
        <f t="shared" si="0"/>
        <v>195591797</v>
      </c>
      <c r="I15" s="122"/>
    </row>
    <row r="16" spans="1:9">
      <c r="A16" s="287">
        <v>3</v>
      </c>
      <c r="B16" s="300" t="s">
        <v>162</v>
      </c>
      <c r="C16" s="55">
        <f t="shared" si="1"/>
        <v>11409145</v>
      </c>
      <c r="D16" s="293" t="s">
        <v>9</v>
      </c>
      <c r="E16" s="294"/>
      <c r="F16" s="37"/>
      <c r="G16" s="38"/>
      <c r="H16" s="39">
        <f t="shared" si="0"/>
        <v>11409145</v>
      </c>
      <c r="I16" s="40"/>
    </row>
    <row r="17" spans="1:20">
      <c r="A17" s="288"/>
      <c r="B17" s="301"/>
      <c r="C17" s="79">
        <f t="shared" si="1"/>
        <v>209099187</v>
      </c>
      <c r="D17" s="295" t="s">
        <v>8</v>
      </c>
      <c r="E17" s="296"/>
      <c r="F17" s="56"/>
      <c r="G17" s="78"/>
      <c r="H17" s="41">
        <f t="shared" si="0"/>
        <v>209099187</v>
      </c>
      <c r="I17" s="71"/>
    </row>
    <row r="18" spans="1:20">
      <c r="A18" s="288"/>
      <c r="B18" s="301"/>
      <c r="C18" s="79">
        <f t="shared" si="1"/>
        <v>290435103</v>
      </c>
      <c r="D18" s="295" t="s">
        <v>7</v>
      </c>
      <c r="E18" s="296"/>
      <c r="F18" s="57">
        <f>Vietinbank!E16</f>
        <v>1589117500</v>
      </c>
      <c r="G18" s="42">
        <f>Vietinbank!F16</f>
        <v>38299217</v>
      </c>
      <c r="H18" s="41">
        <f t="shared" si="0"/>
        <v>1841253386</v>
      </c>
      <c r="I18" s="43"/>
    </row>
    <row r="19" spans="1:20">
      <c r="A19" s="288"/>
      <c r="B19" s="301"/>
      <c r="C19" s="79">
        <f t="shared" si="1"/>
        <v>17800</v>
      </c>
      <c r="D19" s="297" t="s">
        <v>6</v>
      </c>
      <c r="E19" s="45" t="s">
        <v>160</v>
      </c>
      <c r="F19" s="47"/>
      <c r="G19" s="58"/>
      <c r="H19" s="41">
        <f t="shared" si="0"/>
        <v>17800</v>
      </c>
      <c r="I19" s="48"/>
    </row>
    <row r="20" spans="1:20">
      <c r="A20" s="289"/>
      <c r="B20" s="302"/>
      <c r="C20" s="79">
        <f t="shared" si="1"/>
        <v>195591797</v>
      </c>
      <c r="D20" s="298"/>
      <c r="E20" s="50" t="s">
        <v>151</v>
      </c>
      <c r="F20" s="59"/>
      <c r="G20" s="60">
        <f>Techcombank!F16</f>
        <v>91477000</v>
      </c>
      <c r="H20" s="41">
        <f t="shared" si="0"/>
        <v>104114797</v>
      </c>
      <c r="I20" s="54"/>
    </row>
    <row r="21" spans="1:20">
      <c r="A21" s="269">
        <v>4</v>
      </c>
      <c r="B21" s="272">
        <v>44203</v>
      </c>
      <c r="C21" s="103">
        <f t="shared" ref="C21:C30" si="2">H16</f>
        <v>11409145</v>
      </c>
      <c r="D21" s="273" t="s">
        <v>9</v>
      </c>
      <c r="E21" s="274"/>
      <c r="F21" s="124"/>
      <c r="G21" s="105"/>
      <c r="H21" s="106">
        <f t="shared" ref="H21:H30" si="3">ROUND(C21+F21-G21,2)</f>
        <v>11409145</v>
      </c>
      <c r="I21" s="104"/>
      <c r="N21" s="61"/>
    </row>
    <row r="22" spans="1:20">
      <c r="A22" s="270"/>
      <c r="B22" s="270"/>
      <c r="C22" s="107">
        <f t="shared" si="2"/>
        <v>209099187</v>
      </c>
      <c r="D22" s="275" t="s">
        <v>8</v>
      </c>
      <c r="E22" s="276"/>
      <c r="F22" s="108"/>
      <c r="G22" s="109"/>
      <c r="H22" s="106">
        <f t="shared" si="3"/>
        <v>209099187</v>
      </c>
      <c r="I22" s="110"/>
      <c r="N22" s="61"/>
    </row>
    <row r="23" spans="1:20">
      <c r="A23" s="270"/>
      <c r="B23" s="270"/>
      <c r="C23" s="111">
        <f t="shared" si="2"/>
        <v>1841253386</v>
      </c>
      <c r="D23" s="275" t="s">
        <v>7</v>
      </c>
      <c r="E23" s="276"/>
      <c r="F23" s="112"/>
      <c r="G23" s="113">
        <f>Vietinbank!F23</f>
        <v>562588375</v>
      </c>
      <c r="H23" s="106">
        <f t="shared" si="3"/>
        <v>1278665011</v>
      </c>
      <c r="I23" s="114"/>
    </row>
    <row r="24" spans="1:20">
      <c r="A24" s="270"/>
      <c r="B24" s="270"/>
      <c r="C24" s="115">
        <f t="shared" si="2"/>
        <v>17800</v>
      </c>
      <c r="D24" s="277" t="s">
        <v>6</v>
      </c>
      <c r="E24" s="116" t="s">
        <v>160</v>
      </c>
      <c r="F24" s="117"/>
      <c r="G24" s="118"/>
      <c r="H24" s="106">
        <f t="shared" si="3"/>
        <v>17800</v>
      </c>
      <c r="I24" s="119"/>
    </row>
    <row r="25" spans="1:20" ht="15.75" customHeight="1">
      <c r="A25" s="271"/>
      <c r="B25" s="271"/>
      <c r="C25" s="120">
        <f t="shared" si="2"/>
        <v>104114797</v>
      </c>
      <c r="D25" s="278"/>
      <c r="E25" s="121" t="s">
        <v>151</v>
      </c>
      <c r="F25" s="130">
        <f>Techcombank!E28</f>
        <v>552179000</v>
      </c>
      <c r="G25" s="123">
        <f>Techcombank!F28</f>
        <v>40020960</v>
      </c>
      <c r="H25" s="106">
        <f t="shared" si="3"/>
        <v>616272837</v>
      </c>
      <c r="I25" s="122"/>
    </row>
    <row r="26" spans="1:20" ht="15.75" customHeight="1">
      <c r="A26" s="287">
        <v>5</v>
      </c>
      <c r="B26" s="300" t="s">
        <v>163</v>
      </c>
      <c r="C26" s="55">
        <f t="shared" si="2"/>
        <v>11409145</v>
      </c>
      <c r="D26" s="293" t="s">
        <v>9</v>
      </c>
      <c r="E26" s="294"/>
      <c r="F26" s="37">
        <f>'Tiền mặt'!E6</f>
        <v>30000000</v>
      </c>
      <c r="G26" s="38">
        <f>'Tiền mặt'!F6</f>
        <v>30060000</v>
      </c>
      <c r="H26" s="39">
        <f t="shared" si="3"/>
        <v>11349145</v>
      </c>
      <c r="I26" s="40"/>
    </row>
    <row r="27" spans="1:20" ht="15.75" customHeight="1">
      <c r="A27" s="288"/>
      <c r="B27" s="301"/>
      <c r="C27" s="79">
        <f t="shared" si="2"/>
        <v>209099187</v>
      </c>
      <c r="D27" s="295" t="s">
        <v>8</v>
      </c>
      <c r="E27" s="296"/>
      <c r="F27" s="56"/>
      <c r="G27" s="78"/>
      <c r="H27" s="41">
        <f t="shared" si="3"/>
        <v>209099187</v>
      </c>
      <c r="I27" s="71"/>
    </row>
    <row r="28" spans="1:20">
      <c r="A28" s="288"/>
      <c r="B28" s="301"/>
      <c r="C28" s="79">
        <f t="shared" si="2"/>
        <v>1278665011</v>
      </c>
      <c r="D28" s="295" t="s">
        <v>7</v>
      </c>
      <c r="E28" s="296"/>
      <c r="F28" s="57">
        <f>Vietinbank!E29</f>
        <v>474946296</v>
      </c>
      <c r="G28" s="42">
        <f>Vietinbank!F29</f>
        <v>654053059</v>
      </c>
      <c r="H28" s="41">
        <f t="shared" si="3"/>
        <v>1099558248</v>
      </c>
      <c r="I28" s="43"/>
      <c r="P28" s="61"/>
    </row>
    <row r="29" spans="1:20">
      <c r="A29" s="288"/>
      <c r="B29" s="301"/>
      <c r="C29" s="79">
        <f t="shared" si="2"/>
        <v>17800</v>
      </c>
      <c r="D29" s="297" t="s">
        <v>6</v>
      </c>
      <c r="E29" s="45" t="s">
        <v>160</v>
      </c>
      <c r="F29" s="47"/>
      <c r="G29" s="58"/>
      <c r="H29" s="41">
        <f t="shared" si="3"/>
        <v>17800</v>
      </c>
      <c r="I29" s="48"/>
      <c r="P29" s="61"/>
    </row>
    <row r="30" spans="1:20">
      <c r="A30" s="289"/>
      <c r="B30" s="302"/>
      <c r="C30" s="79">
        <f t="shared" si="2"/>
        <v>616272837</v>
      </c>
      <c r="D30" s="298"/>
      <c r="E30" s="50" t="s">
        <v>151</v>
      </c>
      <c r="F30" s="59">
        <f>Techcombank!E33</f>
        <v>522179000</v>
      </c>
      <c r="G30" s="60">
        <f>Techcombank!F33</f>
        <v>72508000</v>
      </c>
      <c r="H30" s="41">
        <f t="shared" si="3"/>
        <v>1065943837</v>
      </c>
      <c r="I30" s="54"/>
      <c r="Q30" s="61"/>
    </row>
    <row r="31" spans="1:20">
      <c r="A31" s="269">
        <v>6</v>
      </c>
      <c r="B31" s="303"/>
      <c r="C31" s="103"/>
      <c r="D31" s="273"/>
      <c r="E31" s="274"/>
      <c r="F31" s="104"/>
      <c r="G31" s="105"/>
      <c r="H31" s="125"/>
      <c r="I31" s="104"/>
      <c r="T31" s="61"/>
    </row>
    <row r="32" spans="1:20">
      <c r="A32" s="270"/>
      <c r="B32" s="304"/>
      <c r="C32" s="107"/>
      <c r="D32" s="275"/>
      <c r="E32" s="276"/>
      <c r="F32" s="126"/>
      <c r="G32" s="109"/>
      <c r="H32" s="106"/>
      <c r="I32" s="110"/>
    </row>
    <row r="33" spans="1:16">
      <c r="A33" s="270">
        <v>6.4</v>
      </c>
      <c r="B33" s="304"/>
      <c r="C33" s="107"/>
      <c r="D33" s="275"/>
      <c r="E33" s="276"/>
      <c r="F33" s="132"/>
      <c r="G33" s="113"/>
      <c r="H33" s="106"/>
      <c r="I33" s="114"/>
      <c r="P33" s="61"/>
    </row>
    <row r="34" spans="1:16">
      <c r="A34" s="270"/>
      <c r="B34" s="304"/>
      <c r="C34" s="107"/>
      <c r="D34" s="277"/>
      <c r="E34" s="116"/>
      <c r="F34" s="119"/>
      <c r="G34" s="118"/>
      <c r="H34" s="106"/>
      <c r="I34" s="119"/>
      <c r="P34" s="61"/>
    </row>
    <row r="35" spans="1:16">
      <c r="A35" s="271">
        <v>6.8</v>
      </c>
      <c r="B35" s="305"/>
      <c r="C35" s="107"/>
      <c r="D35" s="278"/>
      <c r="E35" s="121"/>
      <c r="F35" s="166"/>
      <c r="G35" s="123"/>
      <c r="H35" s="106"/>
      <c r="I35" s="122"/>
    </row>
    <row r="36" spans="1:16">
      <c r="A36" s="287">
        <v>7</v>
      </c>
      <c r="B36" s="290"/>
      <c r="C36" s="55"/>
      <c r="D36" s="293"/>
      <c r="E36" s="294"/>
      <c r="F36" s="37"/>
      <c r="G36" s="38"/>
      <c r="H36" s="39"/>
      <c r="I36" s="40"/>
    </row>
    <row r="37" spans="1:16">
      <c r="A37" s="288"/>
      <c r="B37" s="291"/>
      <c r="C37" s="79"/>
      <c r="D37" s="295"/>
      <c r="E37" s="296"/>
      <c r="F37" s="71"/>
      <c r="G37" s="78"/>
      <c r="H37" s="41"/>
      <c r="I37" s="71"/>
    </row>
    <row r="38" spans="1:16">
      <c r="A38" s="288">
        <v>7.6</v>
      </c>
      <c r="B38" s="291"/>
      <c r="C38" s="79"/>
      <c r="D38" s="295"/>
      <c r="E38" s="296"/>
      <c r="F38" s="62"/>
      <c r="G38" s="62"/>
      <c r="H38" s="41"/>
      <c r="I38" s="43"/>
    </row>
    <row r="39" spans="1:16">
      <c r="A39" s="288"/>
      <c r="B39" s="291"/>
      <c r="C39" s="79"/>
      <c r="D39" s="297"/>
      <c r="E39" s="45"/>
      <c r="F39" s="63"/>
      <c r="G39" s="64"/>
      <c r="H39" s="41"/>
      <c r="I39" s="48"/>
    </row>
    <row r="40" spans="1:16">
      <c r="A40" s="289">
        <v>8</v>
      </c>
      <c r="B40" s="292"/>
      <c r="C40" s="79"/>
      <c r="D40" s="298"/>
      <c r="E40" s="50"/>
      <c r="F40" s="69"/>
      <c r="G40" s="65"/>
      <c r="H40" s="41"/>
      <c r="I40" s="54"/>
    </row>
    <row r="41" spans="1:16">
      <c r="A41" s="269">
        <v>8</v>
      </c>
      <c r="B41" s="272"/>
      <c r="C41" s="103"/>
      <c r="D41" s="273"/>
      <c r="E41" s="274"/>
      <c r="F41" s="104"/>
      <c r="G41" s="124"/>
      <c r="H41" s="125"/>
      <c r="I41" s="104"/>
    </row>
    <row r="42" spans="1:16">
      <c r="A42" s="270"/>
      <c r="B42" s="270"/>
      <c r="C42" s="107"/>
      <c r="D42" s="275"/>
      <c r="E42" s="276"/>
      <c r="F42" s="135"/>
      <c r="G42" s="127"/>
      <c r="H42" s="106"/>
      <c r="I42" s="110"/>
    </row>
    <row r="43" spans="1:16">
      <c r="A43" s="270">
        <v>8.8000000000000007</v>
      </c>
      <c r="B43" s="270"/>
      <c r="C43" s="107"/>
      <c r="D43" s="275"/>
      <c r="E43" s="276"/>
      <c r="F43" s="167"/>
      <c r="G43" s="128"/>
      <c r="H43" s="106"/>
      <c r="I43" s="114"/>
    </row>
    <row r="44" spans="1:16">
      <c r="A44" s="270"/>
      <c r="B44" s="270"/>
      <c r="C44" s="107"/>
      <c r="D44" s="277"/>
      <c r="E44" s="116"/>
      <c r="F44" s="119"/>
      <c r="G44" s="129"/>
      <c r="H44" s="106"/>
      <c r="I44" s="119"/>
    </row>
    <row r="45" spans="1:16">
      <c r="A45" s="271">
        <v>9.1999999999999993</v>
      </c>
      <c r="B45" s="271"/>
      <c r="C45" s="120"/>
      <c r="D45" s="278"/>
      <c r="E45" s="121"/>
      <c r="F45" s="123"/>
      <c r="G45" s="130"/>
      <c r="H45" s="131"/>
      <c r="I45" s="122"/>
    </row>
    <row r="46" spans="1:16" s="66" customFormat="1">
      <c r="A46" s="287">
        <v>9</v>
      </c>
      <c r="B46" s="290"/>
      <c r="C46" s="55"/>
      <c r="D46" s="293"/>
      <c r="E46" s="294"/>
      <c r="F46" s="37"/>
      <c r="G46" s="38"/>
      <c r="H46" s="39"/>
      <c r="I46" s="40"/>
    </row>
    <row r="47" spans="1:16" s="66" customFormat="1">
      <c r="A47" s="288"/>
      <c r="B47" s="291"/>
      <c r="C47" s="79"/>
      <c r="D47" s="295"/>
      <c r="E47" s="296"/>
      <c r="F47" s="80"/>
      <c r="G47" s="78"/>
      <c r="H47" s="41"/>
      <c r="I47" s="71"/>
    </row>
    <row r="48" spans="1:16" s="66" customFormat="1">
      <c r="A48" s="288">
        <v>7.6</v>
      </c>
      <c r="B48" s="291"/>
      <c r="C48" s="79"/>
      <c r="D48" s="295"/>
      <c r="E48" s="296"/>
      <c r="F48" s="62"/>
      <c r="G48" s="62"/>
      <c r="H48" s="41"/>
      <c r="I48" s="43"/>
    </row>
    <row r="49" spans="1:15" s="66" customFormat="1">
      <c r="A49" s="288"/>
      <c r="B49" s="291"/>
      <c r="C49" s="79"/>
      <c r="D49" s="297"/>
      <c r="E49" s="45"/>
      <c r="F49" s="63"/>
      <c r="G49" s="64"/>
      <c r="H49" s="41"/>
      <c r="I49" s="48"/>
    </row>
    <row r="50" spans="1:15" s="66" customFormat="1">
      <c r="A50" s="289">
        <v>8</v>
      </c>
      <c r="B50" s="292"/>
      <c r="C50" s="67"/>
      <c r="D50" s="298"/>
      <c r="E50" s="50"/>
      <c r="F50" s="69"/>
      <c r="G50" s="65"/>
      <c r="H50" s="68"/>
      <c r="I50" s="54"/>
    </row>
    <row r="51" spans="1:15" s="66" customFormat="1">
      <c r="A51" s="269">
        <v>10</v>
      </c>
      <c r="B51" s="272"/>
      <c r="C51" s="103"/>
      <c r="D51" s="273"/>
      <c r="E51" s="274"/>
      <c r="F51" s="104"/>
      <c r="G51" s="124"/>
      <c r="H51" s="125"/>
      <c r="I51" s="104"/>
    </row>
    <row r="52" spans="1:15" s="66" customFormat="1">
      <c r="A52" s="270"/>
      <c r="B52" s="270"/>
      <c r="C52" s="107"/>
      <c r="D52" s="275"/>
      <c r="E52" s="276"/>
      <c r="F52" s="135"/>
      <c r="G52" s="127"/>
      <c r="H52" s="106"/>
      <c r="I52" s="110"/>
    </row>
    <row r="53" spans="1:15" s="66" customFormat="1">
      <c r="A53" s="270">
        <v>8.8000000000000007</v>
      </c>
      <c r="B53" s="270"/>
      <c r="C53" s="107"/>
      <c r="D53" s="275"/>
      <c r="E53" s="276"/>
      <c r="F53" s="167"/>
      <c r="G53" s="128"/>
      <c r="H53" s="106"/>
      <c r="I53" s="114"/>
    </row>
    <row r="54" spans="1:15" s="66" customFormat="1">
      <c r="A54" s="270"/>
      <c r="B54" s="270"/>
      <c r="C54" s="107"/>
      <c r="D54" s="277"/>
      <c r="E54" s="116"/>
      <c r="F54" s="119"/>
      <c r="G54" s="129"/>
      <c r="H54" s="106"/>
      <c r="I54" s="119"/>
    </row>
    <row r="55" spans="1:15" s="66" customFormat="1">
      <c r="A55" s="271">
        <v>9.1999999999999993</v>
      </c>
      <c r="B55" s="271"/>
      <c r="C55" s="120"/>
      <c r="D55" s="278"/>
      <c r="E55" s="121"/>
      <c r="F55" s="123"/>
      <c r="G55" s="130"/>
      <c r="H55" s="131"/>
      <c r="I55" s="122"/>
    </row>
    <row r="56" spans="1:15" s="66" customFormat="1">
      <c r="A56" s="287">
        <v>11</v>
      </c>
      <c r="B56" s="290"/>
      <c r="C56" s="55"/>
      <c r="D56" s="293"/>
      <c r="E56" s="294"/>
      <c r="F56" s="37"/>
      <c r="G56" s="38"/>
      <c r="H56" s="39"/>
      <c r="I56" s="40"/>
    </row>
    <row r="57" spans="1:15" s="66" customFormat="1">
      <c r="A57" s="288"/>
      <c r="B57" s="291"/>
      <c r="C57" s="79"/>
      <c r="D57" s="295"/>
      <c r="E57" s="296"/>
      <c r="F57" s="80"/>
      <c r="G57" s="78"/>
      <c r="H57" s="41"/>
      <c r="I57" s="71"/>
    </row>
    <row r="58" spans="1:15" s="66" customFormat="1">
      <c r="A58" s="288">
        <v>7.6</v>
      </c>
      <c r="B58" s="291"/>
      <c r="C58" s="79"/>
      <c r="D58" s="295"/>
      <c r="E58" s="296"/>
      <c r="F58" s="62"/>
      <c r="G58" s="62"/>
      <c r="H58" s="41"/>
      <c r="I58" s="43"/>
    </row>
    <row r="59" spans="1:15" s="66" customFormat="1">
      <c r="A59" s="288"/>
      <c r="B59" s="291"/>
      <c r="C59" s="79"/>
      <c r="D59" s="297"/>
      <c r="E59" s="45"/>
      <c r="F59" s="63"/>
      <c r="G59" s="64"/>
      <c r="H59" s="41"/>
      <c r="I59" s="48"/>
    </row>
    <row r="60" spans="1:15" s="66" customFormat="1">
      <c r="A60" s="289">
        <v>8</v>
      </c>
      <c r="B60" s="292"/>
      <c r="C60" s="67"/>
      <c r="D60" s="298"/>
      <c r="E60" s="50"/>
      <c r="F60" s="69"/>
      <c r="G60" s="65"/>
      <c r="H60" s="68"/>
      <c r="I60" s="54"/>
      <c r="O60" s="70"/>
    </row>
    <row r="61" spans="1:15" s="66" customFormat="1">
      <c r="A61" s="269">
        <v>12</v>
      </c>
      <c r="B61" s="272"/>
      <c r="C61" s="103"/>
      <c r="D61" s="273"/>
      <c r="E61" s="274"/>
      <c r="F61" s="133"/>
      <c r="G61" s="134"/>
      <c r="H61" s="125"/>
      <c r="I61" s="104"/>
    </row>
    <row r="62" spans="1:15" s="66" customFormat="1">
      <c r="A62" s="270"/>
      <c r="B62" s="270"/>
      <c r="C62" s="107"/>
      <c r="D62" s="275"/>
      <c r="E62" s="276"/>
      <c r="F62" s="135"/>
      <c r="G62" s="136"/>
      <c r="H62" s="106"/>
      <c r="I62" s="110"/>
    </row>
    <row r="63" spans="1:15" s="66" customFormat="1">
      <c r="A63" s="270">
        <v>8.8000000000000007</v>
      </c>
      <c r="B63" s="270"/>
      <c r="C63" s="107"/>
      <c r="D63" s="275"/>
      <c r="E63" s="276"/>
      <c r="F63" s="137"/>
      <c r="G63" s="128"/>
      <c r="H63" s="106"/>
      <c r="I63" s="114"/>
    </row>
    <row r="64" spans="1:15" s="66" customFormat="1">
      <c r="A64" s="270"/>
      <c r="B64" s="270"/>
      <c r="C64" s="107"/>
      <c r="D64" s="277"/>
      <c r="E64" s="116"/>
      <c r="F64" s="138"/>
      <c r="G64" s="129"/>
      <c r="H64" s="106"/>
      <c r="I64" s="119"/>
    </row>
    <row r="65" spans="1:11" s="66" customFormat="1">
      <c r="A65" s="271">
        <v>9.1999999999999993</v>
      </c>
      <c r="B65" s="271"/>
      <c r="C65" s="120"/>
      <c r="D65" s="278"/>
      <c r="E65" s="121"/>
      <c r="F65" s="123"/>
      <c r="G65" s="139"/>
      <c r="H65" s="131"/>
      <c r="I65" s="122"/>
    </row>
    <row r="66" spans="1:11" s="66" customFormat="1">
      <c r="A66" s="287">
        <v>13</v>
      </c>
      <c r="B66" s="290"/>
      <c r="C66" s="55"/>
      <c r="D66" s="293"/>
      <c r="E66" s="294"/>
      <c r="F66" s="83"/>
      <c r="G66" s="38"/>
      <c r="H66" s="39"/>
      <c r="I66" s="40"/>
    </row>
    <row r="67" spans="1:11" s="66" customFormat="1">
      <c r="A67" s="288"/>
      <c r="B67" s="291"/>
      <c r="C67" s="79"/>
      <c r="D67" s="295"/>
      <c r="E67" s="296"/>
      <c r="F67" s="84"/>
      <c r="G67" s="78"/>
      <c r="H67" s="41"/>
      <c r="I67" s="71"/>
      <c r="K67" s="70"/>
    </row>
    <row r="68" spans="1:11" s="66" customFormat="1">
      <c r="A68" s="288">
        <v>7.6</v>
      </c>
      <c r="B68" s="291"/>
      <c r="C68" s="79"/>
      <c r="D68" s="295"/>
      <c r="E68" s="296"/>
      <c r="F68" s="85"/>
      <c r="G68" s="85"/>
      <c r="H68" s="41"/>
      <c r="I68" s="43"/>
    </row>
    <row r="69" spans="1:11" s="66" customFormat="1">
      <c r="A69" s="288"/>
      <c r="B69" s="291"/>
      <c r="C69" s="79"/>
      <c r="D69" s="297"/>
      <c r="E69" s="45"/>
      <c r="F69" s="86"/>
      <c r="G69" s="87"/>
      <c r="H69" s="41"/>
      <c r="I69" s="48"/>
    </row>
    <row r="70" spans="1:11" s="66" customFormat="1">
      <c r="A70" s="289">
        <v>8</v>
      </c>
      <c r="B70" s="292"/>
      <c r="C70" s="79"/>
      <c r="D70" s="298"/>
      <c r="E70" s="50"/>
      <c r="F70" s="69"/>
      <c r="G70" s="65"/>
      <c r="H70" s="68"/>
      <c r="I70" s="54"/>
    </row>
    <row r="71" spans="1:11" s="66" customFormat="1">
      <c r="A71" s="269">
        <v>14</v>
      </c>
      <c r="B71" s="272"/>
      <c r="C71" s="103"/>
      <c r="D71" s="273"/>
      <c r="E71" s="274"/>
      <c r="F71" s="133"/>
      <c r="G71" s="134"/>
      <c r="H71" s="125"/>
      <c r="I71" s="104"/>
    </row>
    <row r="72" spans="1:11" s="66" customFormat="1">
      <c r="A72" s="270"/>
      <c r="B72" s="270"/>
      <c r="C72" s="107"/>
      <c r="D72" s="275"/>
      <c r="E72" s="276"/>
      <c r="F72" s="135"/>
      <c r="G72" s="136"/>
      <c r="H72" s="106"/>
      <c r="I72" s="110"/>
    </row>
    <row r="73" spans="1:11" s="66" customFormat="1">
      <c r="A73" s="270">
        <v>8.8000000000000007</v>
      </c>
      <c r="B73" s="270"/>
      <c r="C73" s="107"/>
      <c r="D73" s="275"/>
      <c r="E73" s="276"/>
      <c r="F73" s="137"/>
      <c r="G73" s="128"/>
      <c r="H73" s="106"/>
      <c r="I73" s="114"/>
    </row>
    <row r="74" spans="1:11" s="66" customFormat="1">
      <c r="A74" s="270"/>
      <c r="B74" s="270"/>
      <c r="C74" s="107"/>
      <c r="D74" s="277"/>
      <c r="E74" s="116"/>
      <c r="F74" s="138"/>
      <c r="G74" s="129"/>
      <c r="H74" s="106"/>
      <c r="I74" s="119"/>
    </row>
    <row r="75" spans="1:11" s="66" customFormat="1">
      <c r="A75" s="271">
        <v>9.1999999999999993</v>
      </c>
      <c r="B75" s="271"/>
      <c r="C75" s="120"/>
      <c r="D75" s="278"/>
      <c r="E75" s="121"/>
      <c r="F75" s="123"/>
      <c r="G75" s="139"/>
      <c r="H75" s="131"/>
      <c r="I75" s="122"/>
    </row>
    <row r="76" spans="1:11" s="66" customFormat="1">
      <c r="A76" s="287">
        <v>15</v>
      </c>
      <c r="B76" s="290"/>
      <c r="C76" s="55"/>
      <c r="D76" s="293"/>
      <c r="E76" s="294"/>
      <c r="F76" s="83"/>
      <c r="G76" s="38"/>
      <c r="H76" s="39"/>
      <c r="I76" s="40"/>
    </row>
    <row r="77" spans="1:11" s="66" customFormat="1">
      <c r="A77" s="288"/>
      <c r="B77" s="291"/>
      <c r="C77" s="79"/>
      <c r="D77" s="295"/>
      <c r="E77" s="296"/>
      <c r="F77" s="84"/>
      <c r="G77" s="78"/>
      <c r="H77" s="41"/>
      <c r="I77" s="71"/>
    </row>
    <row r="78" spans="1:11" s="66" customFormat="1">
      <c r="A78" s="288">
        <v>7.6</v>
      </c>
      <c r="B78" s="291"/>
      <c r="C78" s="79"/>
      <c r="D78" s="295"/>
      <c r="E78" s="296"/>
      <c r="F78" s="85"/>
      <c r="G78" s="85"/>
      <c r="H78" s="41"/>
      <c r="I78" s="43"/>
    </row>
    <row r="79" spans="1:11" s="66" customFormat="1">
      <c r="A79" s="288"/>
      <c r="B79" s="291"/>
      <c r="C79" s="79"/>
      <c r="D79" s="297"/>
      <c r="E79" s="45"/>
      <c r="F79" s="86"/>
      <c r="G79" s="87"/>
      <c r="H79" s="41"/>
      <c r="I79" s="48"/>
    </row>
    <row r="80" spans="1:11" s="66" customFormat="1">
      <c r="A80" s="289">
        <v>8</v>
      </c>
      <c r="B80" s="292"/>
      <c r="C80" s="79"/>
      <c r="D80" s="298"/>
      <c r="E80" s="50"/>
      <c r="F80" s="69"/>
      <c r="G80" s="65"/>
      <c r="H80" s="68"/>
      <c r="I80" s="54"/>
    </row>
    <row r="81" spans="1:14" s="66" customFormat="1">
      <c r="A81" s="269">
        <v>16</v>
      </c>
      <c r="B81" s="272"/>
      <c r="C81" s="103"/>
      <c r="D81" s="273"/>
      <c r="E81" s="274"/>
      <c r="F81" s="133"/>
      <c r="G81" s="134"/>
      <c r="H81" s="125"/>
      <c r="I81" s="104"/>
    </row>
    <row r="82" spans="1:14" s="66" customFormat="1">
      <c r="A82" s="270"/>
      <c r="B82" s="270"/>
      <c r="C82" s="107"/>
      <c r="D82" s="275"/>
      <c r="E82" s="276"/>
      <c r="F82" s="135"/>
      <c r="G82" s="136"/>
      <c r="H82" s="106"/>
      <c r="I82" s="110"/>
    </row>
    <row r="83" spans="1:14" s="66" customFormat="1">
      <c r="A83" s="270">
        <v>8.8000000000000007</v>
      </c>
      <c r="B83" s="270"/>
      <c r="C83" s="107"/>
      <c r="D83" s="275"/>
      <c r="E83" s="276"/>
      <c r="F83" s="137"/>
      <c r="G83" s="128"/>
      <c r="H83" s="106"/>
      <c r="I83" s="114"/>
    </row>
    <row r="84" spans="1:14" s="66" customFormat="1">
      <c r="A84" s="270"/>
      <c r="B84" s="270"/>
      <c r="C84" s="107"/>
      <c r="D84" s="277"/>
      <c r="E84" s="116"/>
      <c r="F84" s="138"/>
      <c r="G84" s="129"/>
      <c r="H84" s="106"/>
      <c r="I84" s="119"/>
    </row>
    <row r="85" spans="1:14" s="66" customFormat="1">
      <c r="A85" s="271">
        <v>9.1999999999999993</v>
      </c>
      <c r="B85" s="271"/>
      <c r="C85" s="120"/>
      <c r="D85" s="278"/>
      <c r="E85" s="121"/>
      <c r="F85" s="123"/>
      <c r="G85" s="139"/>
      <c r="H85" s="131"/>
      <c r="I85" s="122"/>
    </row>
    <row r="86" spans="1:14" s="66" customFormat="1">
      <c r="A86" s="287">
        <v>17</v>
      </c>
      <c r="B86" s="290"/>
      <c r="C86" s="55"/>
      <c r="D86" s="293"/>
      <c r="E86" s="294"/>
      <c r="F86" s="83"/>
      <c r="G86" s="38"/>
      <c r="H86" s="39"/>
      <c r="I86" s="40"/>
    </row>
    <row r="87" spans="1:14" s="66" customFormat="1">
      <c r="A87" s="288"/>
      <c r="B87" s="291"/>
      <c r="C87" s="79"/>
      <c r="D87" s="295"/>
      <c r="E87" s="296"/>
      <c r="F87" s="84"/>
      <c r="G87" s="78"/>
      <c r="H87" s="41"/>
      <c r="I87" s="71"/>
    </row>
    <row r="88" spans="1:14" s="66" customFormat="1">
      <c r="A88" s="288">
        <v>7.6</v>
      </c>
      <c r="B88" s="291"/>
      <c r="C88" s="79"/>
      <c r="D88" s="295"/>
      <c r="E88" s="296"/>
      <c r="F88" s="85"/>
      <c r="G88" s="85"/>
      <c r="H88" s="41"/>
      <c r="I88" s="43"/>
    </row>
    <row r="89" spans="1:14" s="66" customFormat="1">
      <c r="A89" s="288"/>
      <c r="B89" s="291"/>
      <c r="C89" s="79"/>
      <c r="D89" s="297"/>
      <c r="E89" s="45"/>
      <c r="F89" s="86"/>
      <c r="G89" s="87"/>
      <c r="H89" s="41"/>
      <c r="I89" s="48"/>
    </row>
    <row r="90" spans="1:14" s="66" customFormat="1">
      <c r="A90" s="289">
        <v>8</v>
      </c>
      <c r="B90" s="292"/>
      <c r="C90" s="67"/>
      <c r="D90" s="298"/>
      <c r="E90" s="50"/>
      <c r="F90" s="69"/>
      <c r="G90" s="65"/>
      <c r="H90" s="68"/>
      <c r="I90" s="54"/>
    </row>
    <row r="91" spans="1:14" s="66" customFormat="1">
      <c r="A91" s="269">
        <v>18</v>
      </c>
      <c r="B91" s="272"/>
      <c r="C91" s="103"/>
      <c r="D91" s="273"/>
      <c r="E91" s="274"/>
      <c r="F91" s="133"/>
      <c r="G91" s="134"/>
      <c r="H91" s="125"/>
      <c r="I91" s="104"/>
    </row>
    <row r="92" spans="1:14" s="66" customFormat="1">
      <c r="A92" s="270"/>
      <c r="B92" s="270"/>
      <c r="C92" s="107"/>
      <c r="D92" s="275"/>
      <c r="E92" s="276"/>
      <c r="F92" s="135"/>
      <c r="G92" s="136"/>
      <c r="H92" s="106"/>
      <c r="I92" s="110"/>
    </row>
    <row r="93" spans="1:14" s="66" customFormat="1">
      <c r="A93" s="270">
        <v>8.8000000000000007</v>
      </c>
      <c r="B93" s="270"/>
      <c r="C93" s="107"/>
      <c r="D93" s="275"/>
      <c r="E93" s="276"/>
      <c r="F93" s="137"/>
      <c r="G93" s="128"/>
      <c r="H93" s="106"/>
      <c r="I93" s="114"/>
    </row>
    <row r="94" spans="1:14" s="66" customFormat="1">
      <c r="A94" s="270"/>
      <c r="B94" s="270"/>
      <c r="C94" s="107"/>
      <c r="D94" s="277"/>
      <c r="E94" s="116"/>
      <c r="F94" s="138"/>
      <c r="G94" s="129"/>
      <c r="H94" s="106"/>
      <c r="I94" s="119"/>
      <c r="N94" s="70"/>
    </row>
    <row r="95" spans="1:14" s="66" customFormat="1">
      <c r="A95" s="271">
        <v>9.1999999999999993</v>
      </c>
      <c r="B95" s="271"/>
      <c r="C95" s="120"/>
      <c r="D95" s="278"/>
      <c r="E95" s="121"/>
      <c r="F95" s="123"/>
      <c r="G95" s="139"/>
      <c r="H95" s="131"/>
      <c r="I95" s="122"/>
    </row>
    <row r="96" spans="1:14" s="66" customFormat="1">
      <c r="A96" s="287">
        <v>19</v>
      </c>
      <c r="B96" s="290"/>
      <c r="C96" s="55"/>
      <c r="D96" s="293"/>
      <c r="E96" s="294"/>
      <c r="F96" s="83"/>
      <c r="G96" s="38"/>
      <c r="H96" s="39"/>
      <c r="I96" s="40"/>
    </row>
    <row r="97" spans="1:13" s="66" customFormat="1">
      <c r="A97" s="288"/>
      <c r="B97" s="291"/>
      <c r="C97" s="79"/>
      <c r="D97" s="295"/>
      <c r="E97" s="296"/>
      <c r="F97" s="84"/>
      <c r="G97" s="78"/>
      <c r="H97" s="41"/>
      <c r="I97" s="71"/>
    </row>
    <row r="98" spans="1:13" s="66" customFormat="1">
      <c r="A98" s="288"/>
      <c r="B98" s="291"/>
      <c r="C98" s="79"/>
      <c r="D98" s="295"/>
      <c r="E98" s="296"/>
      <c r="F98" s="85"/>
      <c r="G98" s="85"/>
      <c r="H98" s="41"/>
      <c r="I98" s="43"/>
    </row>
    <row r="99" spans="1:13" s="66" customFormat="1">
      <c r="A99" s="288"/>
      <c r="B99" s="291"/>
      <c r="C99" s="79"/>
      <c r="D99" s="297"/>
      <c r="E99" s="45"/>
      <c r="F99" s="86"/>
      <c r="G99" s="87"/>
      <c r="H99" s="41"/>
      <c r="I99" s="48"/>
    </row>
    <row r="100" spans="1:13" s="66" customFormat="1">
      <c r="A100" s="289"/>
      <c r="B100" s="292"/>
      <c r="C100" s="67"/>
      <c r="D100" s="298"/>
      <c r="E100" s="50"/>
      <c r="F100" s="69"/>
      <c r="G100" s="65"/>
      <c r="H100" s="68"/>
      <c r="I100" s="54"/>
    </row>
    <row r="101" spans="1:13" s="66" customFormat="1">
      <c r="A101" s="269">
        <v>20</v>
      </c>
      <c r="B101" s="272"/>
      <c r="C101" s="103"/>
      <c r="D101" s="273"/>
      <c r="E101" s="274"/>
      <c r="F101" s="133"/>
      <c r="G101" s="134"/>
      <c r="H101" s="125"/>
      <c r="I101" s="104"/>
    </row>
    <row r="102" spans="1:13" s="66" customFormat="1">
      <c r="A102" s="270"/>
      <c r="B102" s="270"/>
      <c r="C102" s="107"/>
      <c r="D102" s="275"/>
      <c r="E102" s="276"/>
      <c r="F102" s="135"/>
      <c r="G102" s="136"/>
      <c r="H102" s="106"/>
      <c r="I102" s="110"/>
    </row>
    <row r="103" spans="1:13" s="66" customFormat="1">
      <c r="A103" s="270">
        <v>8.8000000000000007</v>
      </c>
      <c r="B103" s="270"/>
      <c r="C103" s="107"/>
      <c r="D103" s="275"/>
      <c r="E103" s="276"/>
      <c r="F103" s="137"/>
      <c r="G103" s="128"/>
      <c r="H103" s="106"/>
      <c r="I103" s="114"/>
    </row>
    <row r="104" spans="1:13" s="66" customFormat="1">
      <c r="A104" s="270"/>
      <c r="B104" s="270"/>
      <c r="C104" s="107"/>
      <c r="D104" s="277"/>
      <c r="E104" s="116"/>
      <c r="F104" s="138"/>
      <c r="G104" s="129"/>
      <c r="H104" s="106"/>
      <c r="I104" s="119"/>
    </row>
    <row r="105" spans="1:13" s="66" customFormat="1">
      <c r="A105" s="271">
        <v>9.1999999999999993</v>
      </c>
      <c r="B105" s="271"/>
      <c r="C105" s="120"/>
      <c r="D105" s="278"/>
      <c r="E105" s="121"/>
      <c r="F105" s="123"/>
      <c r="G105" s="139"/>
      <c r="H105" s="131"/>
      <c r="I105" s="122"/>
    </row>
    <row r="106" spans="1:13" s="66" customFormat="1">
      <c r="A106" s="306">
        <v>21</v>
      </c>
      <c r="B106" s="309"/>
      <c r="C106" s="55"/>
      <c r="D106" s="310"/>
      <c r="E106" s="311"/>
      <c r="F106" s="220"/>
      <c r="G106" s="221"/>
      <c r="H106" s="39"/>
      <c r="I106" s="222"/>
    </row>
    <row r="107" spans="1:13" s="66" customFormat="1">
      <c r="A107" s="307"/>
      <c r="B107" s="307"/>
      <c r="C107" s="79"/>
      <c r="D107" s="312"/>
      <c r="E107" s="313"/>
      <c r="F107" s="223"/>
      <c r="G107" s="224"/>
      <c r="H107" s="41"/>
      <c r="I107" s="225"/>
    </row>
    <row r="108" spans="1:13" s="66" customFormat="1">
      <c r="A108" s="307"/>
      <c r="B108" s="307"/>
      <c r="C108" s="79"/>
      <c r="D108" s="312"/>
      <c r="E108" s="313"/>
      <c r="F108" s="226"/>
      <c r="G108" s="227"/>
      <c r="H108" s="41"/>
      <c r="I108" s="228"/>
      <c r="M108" s="66" t="s">
        <v>164</v>
      </c>
    </row>
    <row r="109" spans="1:13" s="66" customFormat="1">
      <c r="A109" s="307"/>
      <c r="B109" s="307"/>
      <c r="C109" s="79"/>
      <c r="D109" s="314"/>
      <c r="E109" s="148"/>
      <c r="F109" s="229"/>
      <c r="G109" s="230"/>
      <c r="H109" s="41"/>
      <c r="I109" s="231"/>
    </row>
    <row r="110" spans="1:13" s="66" customFormat="1">
      <c r="A110" s="308"/>
      <c r="B110" s="308"/>
      <c r="C110" s="67"/>
      <c r="D110" s="315"/>
      <c r="E110" s="211"/>
      <c r="F110" s="232"/>
      <c r="G110" s="233"/>
      <c r="H110" s="53"/>
      <c r="I110" s="234"/>
    </row>
    <row r="111" spans="1:13">
      <c r="A111" s="72"/>
      <c r="B111" s="250" t="s">
        <v>165</v>
      </c>
      <c r="C111" s="251"/>
      <c r="D111" s="251"/>
      <c r="E111" s="252"/>
      <c r="F111" s="73">
        <f>SUM(F6:F110)</f>
        <v>3452672847</v>
      </c>
      <c r="G111" s="74">
        <f>SUM(G6:G110)</f>
        <v>1755394071</v>
      </c>
      <c r="H111" s="267"/>
      <c r="I111" s="268"/>
    </row>
  </sheetData>
  <mergeCells count="137">
    <mergeCell ref="D98:E98"/>
    <mergeCell ref="D99:D100"/>
    <mergeCell ref="A86:A90"/>
    <mergeCell ref="B86:B90"/>
    <mergeCell ref="D86:E86"/>
    <mergeCell ref="D87:E87"/>
    <mergeCell ref="D88:E88"/>
    <mergeCell ref="D89:D90"/>
    <mergeCell ref="A81:A85"/>
    <mergeCell ref="B81:B85"/>
    <mergeCell ref="D81:E81"/>
    <mergeCell ref="D82:E82"/>
    <mergeCell ref="D83:E83"/>
    <mergeCell ref="D84:D85"/>
    <mergeCell ref="A76:A80"/>
    <mergeCell ref="B76:B80"/>
    <mergeCell ref="D76:E76"/>
    <mergeCell ref="D77:E77"/>
    <mergeCell ref="D78:E78"/>
    <mergeCell ref="D79:D80"/>
    <mergeCell ref="A61:A65"/>
    <mergeCell ref="B61:B65"/>
    <mergeCell ref="D61:E61"/>
    <mergeCell ref="D62:E62"/>
    <mergeCell ref="D63:E63"/>
    <mergeCell ref="D64:D65"/>
    <mergeCell ref="A56:A60"/>
    <mergeCell ref="B56:B60"/>
    <mergeCell ref="D56:E56"/>
    <mergeCell ref="D57:E57"/>
    <mergeCell ref="D58:E58"/>
    <mergeCell ref="D59:D60"/>
    <mergeCell ref="A51:A55"/>
    <mergeCell ref="B51:B55"/>
    <mergeCell ref="D51:E51"/>
    <mergeCell ref="D52:E52"/>
    <mergeCell ref="D53:E53"/>
    <mergeCell ref="D54:D55"/>
    <mergeCell ref="A46:A50"/>
    <mergeCell ref="B46:B50"/>
    <mergeCell ref="D46:E46"/>
    <mergeCell ref="D47:E47"/>
    <mergeCell ref="D48:E48"/>
    <mergeCell ref="D49:D50"/>
    <mergeCell ref="A41:A45"/>
    <mergeCell ref="B41:B45"/>
    <mergeCell ref="D41:E41"/>
    <mergeCell ref="D42:E42"/>
    <mergeCell ref="D43:E43"/>
    <mergeCell ref="D44:D45"/>
    <mergeCell ref="D12:E12"/>
    <mergeCell ref="D13:E13"/>
    <mergeCell ref="D14:D15"/>
    <mergeCell ref="A26:A30"/>
    <mergeCell ref="B26:B30"/>
    <mergeCell ref="D26:E26"/>
    <mergeCell ref="D27:E27"/>
    <mergeCell ref="D28:E28"/>
    <mergeCell ref="D29:D30"/>
    <mergeCell ref="A21:A25"/>
    <mergeCell ref="B21:B25"/>
    <mergeCell ref="D21:E21"/>
    <mergeCell ref="D22:E22"/>
    <mergeCell ref="D23:E23"/>
    <mergeCell ref="D24:D25"/>
    <mergeCell ref="A71:A75"/>
    <mergeCell ref="B71:B75"/>
    <mergeCell ref="D71:E71"/>
    <mergeCell ref="D72:E72"/>
    <mergeCell ref="D73:E73"/>
    <mergeCell ref="D74:D75"/>
    <mergeCell ref="A16:A20"/>
    <mergeCell ref="B16:B20"/>
    <mergeCell ref="D16:E16"/>
    <mergeCell ref="D17:E17"/>
    <mergeCell ref="D18:E18"/>
    <mergeCell ref="D19:D20"/>
    <mergeCell ref="A36:A40"/>
    <mergeCell ref="B36:B40"/>
    <mergeCell ref="D36:E36"/>
    <mergeCell ref="D37:E37"/>
    <mergeCell ref="D38:E38"/>
    <mergeCell ref="D39:D40"/>
    <mergeCell ref="A31:A35"/>
    <mergeCell ref="B31:B35"/>
    <mergeCell ref="D31:E31"/>
    <mergeCell ref="D32:E32"/>
    <mergeCell ref="D33:E33"/>
    <mergeCell ref="D34:D35"/>
    <mergeCell ref="D1:I1"/>
    <mergeCell ref="D2:I2"/>
    <mergeCell ref="A4:A5"/>
    <mergeCell ref="B4:B5"/>
    <mergeCell ref="C4:C5"/>
    <mergeCell ref="D4:E5"/>
    <mergeCell ref="F4:G4"/>
    <mergeCell ref="H4:H5"/>
    <mergeCell ref="A66:A70"/>
    <mergeCell ref="B66:B70"/>
    <mergeCell ref="D66:E66"/>
    <mergeCell ref="D67:E67"/>
    <mergeCell ref="D68:E68"/>
    <mergeCell ref="D69:D70"/>
    <mergeCell ref="I4:I5"/>
    <mergeCell ref="A6:A10"/>
    <mergeCell ref="B6:B10"/>
    <mergeCell ref="D6:E6"/>
    <mergeCell ref="D7:E7"/>
    <mergeCell ref="D8:E8"/>
    <mergeCell ref="D9:D10"/>
    <mergeCell ref="A11:A15"/>
    <mergeCell ref="B11:B15"/>
    <mergeCell ref="D11:E11"/>
    <mergeCell ref="B111:E111"/>
    <mergeCell ref="H111:I111"/>
    <mergeCell ref="A91:A95"/>
    <mergeCell ref="B91:B95"/>
    <mergeCell ref="D91:E91"/>
    <mergeCell ref="D92:E92"/>
    <mergeCell ref="D93:E93"/>
    <mergeCell ref="D94:D95"/>
    <mergeCell ref="A101:A105"/>
    <mergeCell ref="B101:B105"/>
    <mergeCell ref="D101:E101"/>
    <mergeCell ref="D102:E102"/>
    <mergeCell ref="D103:E103"/>
    <mergeCell ref="D104:D105"/>
    <mergeCell ref="A106:A110"/>
    <mergeCell ref="B106:B110"/>
    <mergeCell ref="D106:E106"/>
    <mergeCell ref="D107:E107"/>
    <mergeCell ref="D108:E108"/>
    <mergeCell ref="D109:D110"/>
    <mergeCell ref="A96:A100"/>
    <mergeCell ref="B96:B100"/>
    <mergeCell ref="D96:E96"/>
    <mergeCell ref="D97:E97"/>
  </mergeCells>
  <pageMargins left="0.7" right="0.7" top="0.75" bottom="0.75" header="0.3" footer="0.3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topLeftCell="A7" workbookViewId="0">
      <selection activeCell="J30" sqref="J30"/>
    </sheetView>
  </sheetViews>
  <sheetFormatPr defaultColWidth="9.140625" defaultRowHeight="13.5"/>
  <cols>
    <col min="1" max="1" width="9.140625" style="76"/>
    <col min="2" max="2" width="13.85546875" style="76" customWidth="1"/>
    <col min="3" max="3" width="18.28515625" style="76" customWidth="1"/>
    <col min="4" max="4" width="53.85546875" style="76" customWidth="1"/>
    <col min="5" max="5" width="18.140625" style="76" customWidth="1"/>
    <col min="6" max="6" width="18.42578125" style="76" customWidth="1"/>
    <col min="7" max="7" width="17.28515625" style="76" customWidth="1"/>
    <col min="8" max="8" width="18.28515625" style="76" customWidth="1"/>
    <col min="9" max="16384" width="9.140625" style="76"/>
  </cols>
  <sheetData>
    <row r="1" spans="1:8" ht="21.75">
      <c r="D1" s="279" t="s">
        <v>166</v>
      </c>
      <c r="E1" s="279"/>
      <c r="F1" s="279"/>
      <c r="G1" s="279"/>
      <c r="H1" s="279"/>
    </row>
    <row r="2" spans="1:8" ht="21.75">
      <c r="D2" s="279" t="s">
        <v>153</v>
      </c>
      <c r="E2" s="279"/>
      <c r="F2" s="279"/>
      <c r="G2" s="279"/>
      <c r="H2" s="279"/>
    </row>
    <row r="4" spans="1:8" ht="18">
      <c r="A4" s="299" t="s">
        <v>154</v>
      </c>
      <c r="B4" s="281" t="s">
        <v>155</v>
      </c>
      <c r="C4" s="299" t="s">
        <v>156</v>
      </c>
      <c r="D4" s="299" t="s">
        <v>167</v>
      </c>
      <c r="E4" s="322" t="s">
        <v>40</v>
      </c>
      <c r="F4" s="323"/>
      <c r="G4" s="299" t="s">
        <v>158</v>
      </c>
      <c r="H4" s="299" t="s">
        <v>45</v>
      </c>
    </row>
    <row r="5" spans="1:8" ht="18">
      <c r="A5" s="282"/>
      <c r="B5" s="321"/>
      <c r="C5" s="282"/>
      <c r="D5" s="282"/>
      <c r="E5" s="246" t="s">
        <v>4</v>
      </c>
      <c r="F5" s="246" t="s">
        <v>5</v>
      </c>
      <c r="G5" s="282"/>
      <c r="H5" s="282"/>
    </row>
    <row r="6" spans="1:8" ht="14.25">
      <c r="A6" s="327">
        <v>1</v>
      </c>
      <c r="B6" s="324">
        <v>44200</v>
      </c>
      <c r="C6" s="173">
        <v>364138817</v>
      </c>
      <c r="D6" s="174"/>
      <c r="E6" s="175">
        <f>SUM(E7:E9)</f>
        <v>0</v>
      </c>
      <c r="F6" s="175">
        <f>SUM(F7:F9)</f>
        <v>25888520</v>
      </c>
      <c r="G6" s="176">
        <f>ROUND(C6+E6-F6,2)</f>
        <v>338250297</v>
      </c>
      <c r="H6" s="177"/>
    </row>
    <row r="7" spans="1:8">
      <c r="A7" s="328"/>
      <c r="B7" s="325"/>
      <c r="C7" s="94"/>
      <c r="D7" s="97" t="s">
        <v>50</v>
      </c>
      <c r="E7" s="82"/>
      <c r="F7" s="82">
        <v>11214000</v>
      </c>
      <c r="G7" s="94"/>
      <c r="H7" s="94"/>
    </row>
    <row r="8" spans="1:8">
      <c r="A8" s="328"/>
      <c r="B8" s="325"/>
      <c r="C8" s="94"/>
      <c r="D8" s="97" t="s">
        <v>54</v>
      </c>
      <c r="E8" s="193"/>
      <c r="F8" s="82">
        <v>14000000</v>
      </c>
      <c r="G8" s="94"/>
      <c r="H8" s="94"/>
    </row>
    <row r="9" spans="1:8">
      <c r="A9" s="329"/>
      <c r="B9" s="326"/>
      <c r="C9" s="89"/>
      <c r="D9" s="187" t="s">
        <v>56</v>
      </c>
      <c r="E9" s="89"/>
      <c r="F9" s="146">
        <v>674520</v>
      </c>
      <c r="G9" s="89"/>
      <c r="H9" s="89"/>
    </row>
    <row r="10" spans="1:8" ht="14.25">
      <c r="A10" s="316">
        <v>2</v>
      </c>
      <c r="B10" s="320">
        <v>44201</v>
      </c>
      <c r="C10" s="173">
        <f>G6</f>
        <v>338250297</v>
      </c>
      <c r="D10" s="174"/>
      <c r="E10" s="175">
        <f>SUM(E11:E15)</f>
        <v>0</v>
      </c>
      <c r="F10" s="175">
        <f>SUM(F11:F15)</f>
        <v>142658500</v>
      </c>
      <c r="G10" s="176">
        <f>ROUND(C10+E10-F10,2)</f>
        <v>195591797</v>
      </c>
      <c r="H10" s="177"/>
    </row>
    <row r="11" spans="1:8" ht="24.75">
      <c r="A11" s="317"/>
      <c r="B11" s="317"/>
      <c r="C11" s="88"/>
      <c r="D11" s="186" t="s">
        <v>68</v>
      </c>
      <c r="E11" s="88"/>
      <c r="F11" s="193">
        <v>342000</v>
      </c>
      <c r="G11" s="88"/>
      <c r="H11" s="88"/>
    </row>
    <row r="12" spans="1:8" ht="14.25">
      <c r="A12" s="317"/>
      <c r="B12" s="317"/>
      <c r="C12" s="88"/>
      <c r="D12" s="102" t="s">
        <v>69</v>
      </c>
      <c r="E12" s="88"/>
      <c r="F12" s="93">
        <v>7650000</v>
      </c>
      <c r="G12" s="88"/>
      <c r="H12" s="88"/>
    </row>
    <row r="13" spans="1:8">
      <c r="A13" s="317"/>
      <c r="B13" s="317"/>
      <c r="C13" s="88"/>
      <c r="D13" s="97" t="s">
        <v>168</v>
      </c>
      <c r="E13" s="88"/>
      <c r="F13" s="82">
        <v>595000</v>
      </c>
      <c r="G13" s="88"/>
      <c r="H13" s="88"/>
    </row>
    <row r="14" spans="1:8">
      <c r="A14" s="317"/>
      <c r="B14" s="317"/>
      <c r="C14" s="88"/>
      <c r="D14" s="186" t="s">
        <v>74</v>
      </c>
      <c r="E14" s="88"/>
      <c r="F14" s="93">
        <v>550000</v>
      </c>
      <c r="G14" s="88"/>
      <c r="H14" s="88"/>
    </row>
    <row r="15" spans="1:8">
      <c r="A15" s="319"/>
      <c r="B15" s="319"/>
      <c r="C15" s="89"/>
      <c r="D15" s="187" t="s">
        <v>75</v>
      </c>
      <c r="E15" s="89"/>
      <c r="F15" s="146">
        <v>133521500</v>
      </c>
      <c r="G15" s="89"/>
      <c r="H15" s="89"/>
    </row>
    <row r="16" spans="1:8" ht="14.25">
      <c r="A16" s="316">
        <v>3</v>
      </c>
      <c r="B16" s="320">
        <v>44202</v>
      </c>
      <c r="C16" s="173">
        <f>G10</f>
        <v>195591797</v>
      </c>
      <c r="D16" s="174"/>
      <c r="E16" s="175">
        <f>SUM(E17:E27)</f>
        <v>0</v>
      </c>
      <c r="F16" s="175">
        <f>SUM(F17:F27)</f>
        <v>91477000</v>
      </c>
      <c r="G16" s="176">
        <f>ROUND(C16+E16-F16,2)</f>
        <v>104114797</v>
      </c>
      <c r="H16" s="177"/>
    </row>
    <row r="17" spans="1:8">
      <c r="A17" s="317"/>
      <c r="B17" s="317"/>
      <c r="C17" s="88"/>
      <c r="D17" s="101" t="s">
        <v>100</v>
      </c>
      <c r="E17" s="88"/>
      <c r="F17" s="82">
        <v>15700000</v>
      </c>
      <c r="G17" s="88"/>
      <c r="H17" s="88"/>
    </row>
    <row r="18" spans="1:8">
      <c r="A18" s="317"/>
      <c r="B18" s="317"/>
      <c r="C18" s="88"/>
      <c r="D18" s="97" t="s">
        <v>102</v>
      </c>
      <c r="E18" s="88"/>
      <c r="F18" s="82">
        <v>184000</v>
      </c>
      <c r="G18" s="88"/>
      <c r="H18" s="88"/>
    </row>
    <row r="19" spans="1:8">
      <c r="A19" s="317"/>
      <c r="B19" s="317"/>
      <c r="C19" s="88"/>
      <c r="D19" s="97" t="s">
        <v>104</v>
      </c>
      <c r="E19" s="88"/>
      <c r="F19" s="82">
        <v>374000</v>
      </c>
      <c r="G19" s="88"/>
      <c r="H19" s="88"/>
    </row>
    <row r="20" spans="1:8">
      <c r="A20" s="317"/>
      <c r="B20" s="317"/>
      <c r="C20" s="88"/>
      <c r="D20" s="169" t="s">
        <v>107</v>
      </c>
      <c r="E20" s="88"/>
      <c r="F20" s="82">
        <v>40000000</v>
      </c>
      <c r="G20" s="88"/>
      <c r="H20" s="88"/>
    </row>
    <row r="21" spans="1:8">
      <c r="A21" s="317"/>
      <c r="B21" s="317"/>
      <c r="C21" s="88"/>
      <c r="D21" s="101" t="s">
        <v>108</v>
      </c>
      <c r="E21" s="88"/>
      <c r="F21" s="82">
        <v>7598000</v>
      </c>
      <c r="G21" s="88"/>
      <c r="H21" s="88"/>
    </row>
    <row r="22" spans="1:8">
      <c r="A22" s="317"/>
      <c r="B22" s="317"/>
      <c r="C22" s="88"/>
      <c r="D22" s="101" t="s">
        <v>108</v>
      </c>
      <c r="E22" s="88"/>
      <c r="F22" s="82">
        <v>13114000</v>
      </c>
      <c r="G22" s="88"/>
      <c r="H22" s="88"/>
    </row>
    <row r="23" spans="1:8">
      <c r="A23" s="317"/>
      <c r="B23" s="317"/>
      <c r="C23" s="88"/>
      <c r="D23" s="169" t="s">
        <v>110</v>
      </c>
      <c r="E23" s="88"/>
      <c r="F23" s="82">
        <v>2180000</v>
      </c>
      <c r="G23" s="88"/>
      <c r="H23" s="88"/>
    </row>
    <row r="24" spans="1:8">
      <c r="A24" s="317"/>
      <c r="B24" s="317"/>
      <c r="C24" s="88"/>
      <c r="D24" s="101" t="s">
        <v>112</v>
      </c>
      <c r="E24" s="88"/>
      <c r="F24" s="82">
        <v>188000</v>
      </c>
      <c r="G24" s="88"/>
      <c r="H24" s="88"/>
    </row>
    <row r="25" spans="1:8">
      <c r="A25" s="317"/>
      <c r="B25" s="317"/>
      <c r="C25" s="88"/>
      <c r="D25" s="101" t="s">
        <v>114</v>
      </c>
      <c r="E25" s="88"/>
      <c r="F25" s="82">
        <v>437000</v>
      </c>
      <c r="G25" s="88"/>
      <c r="H25" s="88"/>
    </row>
    <row r="26" spans="1:8">
      <c r="A26" s="318"/>
      <c r="B26" s="318"/>
      <c r="C26" s="236"/>
      <c r="D26" s="238" t="s">
        <v>117</v>
      </c>
      <c r="E26" s="236"/>
      <c r="F26" s="82">
        <v>5702000</v>
      </c>
      <c r="G26" s="236"/>
      <c r="H26" s="236"/>
    </row>
    <row r="27" spans="1:8">
      <c r="A27" s="319"/>
      <c r="B27" s="319"/>
      <c r="C27" s="89"/>
      <c r="D27" s="212" t="s">
        <v>115</v>
      </c>
      <c r="E27" s="89"/>
      <c r="F27" s="146">
        <v>6000000</v>
      </c>
      <c r="G27" s="89"/>
      <c r="H27" s="89"/>
    </row>
    <row r="28" spans="1:8" ht="14.25">
      <c r="A28" s="316">
        <v>4</v>
      </c>
      <c r="B28" s="320">
        <v>44203</v>
      </c>
      <c r="C28" s="173">
        <f>G16</f>
        <v>104114797</v>
      </c>
      <c r="D28" s="174"/>
      <c r="E28" s="175">
        <f>SUM(E29:E32)</f>
        <v>552179000</v>
      </c>
      <c r="F28" s="175">
        <f>SUM(F29:F32)</f>
        <v>40020960</v>
      </c>
      <c r="G28" s="176">
        <f>ROUND(C28+E28-F28,2)</f>
        <v>616272837</v>
      </c>
      <c r="H28" s="177"/>
    </row>
    <row r="29" spans="1:8">
      <c r="A29" s="317"/>
      <c r="B29" s="317"/>
      <c r="C29" s="88"/>
      <c r="D29" s="101" t="s">
        <v>127</v>
      </c>
      <c r="E29" s="88"/>
      <c r="F29" s="82">
        <v>7368960</v>
      </c>
      <c r="G29" s="88"/>
      <c r="H29" s="88"/>
    </row>
    <row r="30" spans="1:8">
      <c r="A30" s="317"/>
      <c r="B30" s="317"/>
      <c r="C30" s="88"/>
      <c r="D30" s="101" t="s">
        <v>128</v>
      </c>
      <c r="E30" s="88"/>
      <c r="F30" s="82">
        <v>2220000</v>
      </c>
      <c r="G30" s="88"/>
      <c r="H30" s="88"/>
    </row>
    <row r="31" spans="1:8">
      <c r="A31" s="317"/>
      <c r="B31" s="317"/>
      <c r="C31" s="88"/>
      <c r="D31" s="101" t="s">
        <v>129</v>
      </c>
      <c r="E31" s="82">
        <v>552179000</v>
      </c>
      <c r="F31" s="82"/>
      <c r="G31" s="88"/>
      <c r="H31" s="88"/>
    </row>
    <row r="32" spans="1:8">
      <c r="A32" s="319"/>
      <c r="B32" s="319"/>
      <c r="C32" s="89"/>
      <c r="D32" s="212" t="s">
        <v>84</v>
      </c>
      <c r="E32" s="89"/>
      <c r="F32" s="146">
        <v>30432000</v>
      </c>
      <c r="G32" s="89"/>
      <c r="H32" s="89"/>
    </row>
    <row r="33" spans="1:8" ht="14.25">
      <c r="A33" s="316">
        <v>5</v>
      </c>
      <c r="B33" s="320">
        <v>44204</v>
      </c>
      <c r="C33" s="173">
        <f>G28</f>
        <v>616272837</v>
      </c>
      <c r="D33" s="174"/>
      <c r="E33" s="175">
        <f>SUM(E34:E40)</f>
        <v>522179000</v>
      </c>
      <c r="F33" s="175">
        <f>SUM(F34:F40)</f>
        <v>72508000</v>
      </c>
      <c r="G33" s="176">
        <f>ROUND(C33+E33-F33,2)</f>
        <v>1065943837</v>
      </c>
      <c r="H33" s="177"/>
    </row>
    <row r="34" spans="1:8">
      <c r="A34" s="317"/>
      <c r="B34" s="317"/>
      <c r="C34" s="88"/>
      <c r="D34" s="101" t="s">
        <v>129</v>
      </c>
      <c r="E34" s="82">
        <f>262109000+200000000+60070000</f>
        <v>522179000</v>
      </c>
      <c r="F34" s="82"/>
      <c r="G34" s="88"/>
      <c r="H34" s="88"/>
    </row>
    <row r="35" spans="1:8">
      <c r="A35" s="317"/>
      <c r="B35" s="317"/>
      <c r="C35" s="88"/>
      <c r="D35" s="101" t="s">
        <v>143</v>
      </c>
      <c r="E35" s="88"/>
      <c r="F35" s="149">
        <v>1408000</v>
      </c>
      <c r="G35" s="88"/>
      <c r="H35" s="88"/>
    </row>
    <row r="36" spans="1:8">
      <c r="A36" s="317"/>
      <c r="B36" s="317"/>
      <c r="C36" s="88"/>
      <c r="D36" s="101" t="s">
        <v>144</v>
      </c>
      <c r="E36" s="88"/>
      <c r="F36" s="242">
        <v>5000000</v>
      </c>
      <c r="G36" s="88"/>
      <c r="H36" s="88"/>
    </row>
    <row r="37" spans="1:8">
      <c r="A37" s="317"/>
      <c r="B37" s="317"/>
      <c r="C37" s="88"/>
      <c r="D37" s="101" t="s">
        <v>146</v>
      </c>
      <c r="E37" s="88"/>
      <c r="F37" s="82">
        <v>4000000</v>
      </c>
      <c r="G37" s="88"/>
      <c r="H37" s="88"/>
    </row>
    <row r="38" spans="1:8">
      <c r="A38" s="317"/>
      <c r="B38" s="317"/>
      <c r="C38" s="88"/>
      <c r="D38" s="148" t="s">
        <v>147</v>
      </c>
      <c r="E38" s="88"/>
      <c r="F38" s="149">
        <v>2000000</v>
      </c>
      <c r="G38" s="88"/>
      <c r="H38" s="88"/>
    </row>
    <row r="39" spans="1:8">
      <c r="A39" s="318"/>
      <c r="B39" s="318"/>
      <c r="C39" s="236"/>
      <c r="D39" s="243" t="s">
        <v>149</v>
      </c>
      <c r="E39" s="236"/>
      <c r="F39" s="244">
        <v>100000</v>
      </c>
      <c r="G39" s="236"/>
      <c r="H39" s="236"/>
    </row>
    <row r="40" spans="1:8">
      <c r="A40" s="319"/>
      <c r="B40" s="319"/>
      <c r="C40" s="89"/>
      <c r="D40" s="212" t="s">
        <v>148</v>
      </c>
      <c r="E40" s="89"/>
      <c r="F40" s="146">
        <v>60000000</v>
      </c>
      <c r="G40" s="89"/>
      <c r="H40" s="89"/>
    </row>
  </sheetData>
  <mergeCells count="19">
    <mergeCell ref="B10:B15"/>
    <mergeCell ref="A4:A5"/>
    <mergeCell ref="A6:A9"/>
    <mergeCell ref="A33:A40"/>
    <mergeCell ref="B33:B40"/>
    <mergeCell ref="D1:H1"/>
    <mergeCell ref="D2:H2"/>
    <mergeCell ref="H4:H5"/>
    <mergeCell ref="B4:B5"/>
    <mergeCell ref="E4:F4"/>
    <mergeCell ref="A28:A32"/>
    <mergeCell ref="B28:B32"/>
    <mergeCell ref="B6:B9"/>
    <mergeCell ref="G4:G5"/>
    <mergeCell ref="C4:C5"/>
    <mergeCell ref="A16:A27"/>
    <mergeCell ref="B16:B27"/>
    <mergeCell ref="D4:D5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topLeftCell="A7" workbookViewId="0">
      <selection activeCell="M22" sqref="M22"/>
    </sheetView>
  </sheetViews>
  <sheetFormatPr defaultColWidth="9.140625" defaultRowHeight="13.5"/>
  <cols>
    <col min="1" max="1" width="9.140625" style="76"/>
    <col min="2" max="2" width="14" style="76" customWidth="1"/>
    <col min="3" max="3" width="19" style="76" customWidth="1"/>
    <col min="4" max="4" width="61.28515625" style="76" customWidth="1"/>
    <col min="5" max="5" width="18" style="76" customWidth="1"/>
    <col min="6" max="6" width="18.7109375" style="76" customWidth="1"/>
    <col min="7" max="7" width="18.28515625" style="76" customWidth="1"/>
    <col min="8" max="8" width="18.140625" style="76" customWidth="1"/>
    <col min="9" max="16384" width="9.140625" style="76"/>
  </cols>
  <sheetData>
    <row r="1" spans="1:8" ht="21.75">
      <c r="D1" s="279" t="s">
        <v>169</v>
      </c>
      <c r="E1" s="279"/>
      <c r="F1" s="279"/>
      <c r="G1" s="279"/>
      <c r="H1" s="279"/>
    </row>
    <row r="2" spans="1:8" ht="21.75">
      <c r="D2" s="279" t="s">
        <v>170</v>
      </c>
      <c r="E2" s="279"/>
      <c r="F2" s="279"/>
      <c r="G2" s="279"/>
      <c r="H2" s="279"/>
    </row>
    <row r="4" spans="1:8" ht="18">
      <c r="A4" s="299" t="s">
        <v>154</v>
      </c>
      <c r="B4" s="281" t="s">
        <v>155</v>
      </c>
      <c r="C4" s="299" t="s">
        <v>156</v>
      </c>
      <c r="D4" s="299" t="s">
        <v>167</v>
      </c>
      <c r="E4" s="322" t="s">
        <v>40</v>
      </c>
      <c r="F4" s="323"/>
      <c r="G4" s="299" t="s">
        <v>158</v>
      </c>
      <c r="H4" s="299" t="s">
        <v>45</v>
      </c>
    </row>
    <row r="5" spans="1:8" ht="18">
      <c r="A5" s="282"/>
      <c r="B5" s="321"/>
      <c r="C5" s="282"/>
      <c r="D5" s="282"/>
      <c r="E5" s="246" t="s">
        <v>4</v>
      </c>
      <c r="F5" s="246" t="s">
        <v>5</v>
      </c>
      <c r="G5" s="282"/>
      <c r="H5" s="282"/>
    </row>
    <row r="6" spans="1:8" ht="14.25">
      <c r="A6" s="316">
        <v>1</v>
      </c>
      <c r="B6" s="320">
        <v>44200</v>
      </c>
      <c r="C6" s="176">
        <v>104024492</v>
      </c>
      <c r="D6" s="177"/>
      <c r="E6" s="178">
        <f>SUM(E7:E9)</f>
        <v>0</v>
      </c>
      <c r="F6" s="178">
        <f>SUM(F7:F9)</f>
        <v>44943140</v>
      </c>
      <c r="G6" s="179">
        <f>ROUND(C6+E6-F6,2)</f>
        <v>59081352</v>
      </c>
      <c r="H6" s="177"/>
    </row>
    <row r="7" spans="1:8" ht="14.25">
      <c r="A7" s="317"/>
      <c r="B7" s="330"/>
      <c r="C7" s="163"/>
      <c r="D7" s="97" t="s">
        <v>57</v>
      </c>
      <c r="E7" s="92"/>
      <c r="F7" s="82">
        <v>40652040</v>
      </c>
      <c r="G7" s="164"/>
      <c r="H7" s="194"/>
    </row>
    <row r="8" spans="1:8" ht="15" customHeight="1">
      <c r="A8" s="317"/>
      <c r="B8" s="330"/>
      <c r="C8" s="88"/>
      <c r="D8" s="97" t="s">
        <v>62</v>
      </c>
      <c r="E8" s="82"/>
      <c r="F8" s="82">
        <v>4251500</v>
      </c>
      <c r="G8" s="88"/>
      <c r="H8" s="88"/>
    </row>
    <row r="9" spans="1:8" ht="15" customHeight="1">
      <c r="A9" s="319"/>
      <c r="B9" s="331"/>
      <c r="C9" s="89"/>
      <c r="D9" s="187" t="s">
        <v>65</v>
      </c>
      <c r="E9" s="89"/>
      <c r="F9" s="146">
        <f>19800+19800</f>
        <v>39600</v>
      </c>
      <c r="G9" s="89"/>
      <c r="H9" s="89"/>
    </row>
    <row r="10" spans="1:8" ht="14.25">
      <c r="A10" s="316">
        <v>2</v>
      </c>
      <c r="B10" s="320">
        <v>44201</v>
      </c>
      <c r="C10" s="176">
        <f>G6</f>
        <v>59081352</v>
      </c>
      <c r="D10" s="177"/>
      <c r="E10" s="178">
        <f>SUM(E11:E15)</f>
        <v>284251051</v>
      </c>
      <c r="F10" s="178">
        <f>SUM(F11:F15)</f>
        <v>52897300</v>
      </c>
      <c r="G10" s="179">
        <f>ROUND(C10+E10-F10,2)</f>
        <v>290435103</v>
      </c>
      <c r="H10" s="177"/>
    </row>
    <row r="11" spans="1:8">
      <c r="A11" s="317"/>
      <c r="B11" s="317"/>
      <c r="C11" s="88"/>
      <c r="D11" s="97" t="s">
        <v>77</v>
      </c>
      <c r="E11" s="92">
        <v>284251051</v>
      </c>
      <c r="F11" s="92"/>
      <c r="G11" s="88"/>
      <c r="H11" s="88"/>
    </row>
    <row r="12" spans="1:8">
      <c r="A12" s="317"/>
      <c r="B12" s="317"/>
      <c r="C12" s="88"/>
      <c r="D12" s="97" t="s">
        <v>80</v>
      </c>
      <c r="E12" s="88"/>
      <c r="F12" s="92">
        <v>43400000</v>
      </c>
      <c r="G12" s="88"/>
      <c r="H12" s="88"/>
    </row>
    <row r="13" spans="1:8">
      <c r="A13" s="317"/>
      <c r="B13" s="317"/>
      <c r="C13" s="88"/>
      <c r="D13" s="97" t="s">
        <v>84</v>
      </c>
      <c r="E13" s="88"/>
      <c r="F13" s="92">
        <v>4390000</v>
      </c>
      <c r="G13" s="88"/>
      <c r="H13" s="88"/>
    </row>
    <row r="14" spans="1:8">
      <c r="A14" s="318"/>
      <c r="B14" s="318"/>
      <c r="C14" s="236"/>
      <c r="D14" s="205" t="s">
        <v>87</v>
      </c>
      <c r="E14" s="236"/>
      <c r="F14" s="203">
        <v>2194500</v>
      </c>
      <c r="G14" s="236"/>
      <c r="H14" s="236"/>
    </row>
    <row r="15" spans="1:8">
      <c r="A15" s="319"/>
      <c r="B15" s="319"/>
      <c r="C15" s="89"/>
      <c r="D15" s="187" t="s">
        <v>85</v>
      </c>
      <c r="E15" s="89"/>
      <c r="F15" s="235">
        <v>2912800</v>
      </c>
      <c r="G15" s="89"/>
      <c r="H15" s="89"/>
    </row>
    <row r="16" spans="1:8" ht="14.25">
      <c r="A16" s="316">
        <v>3</v>
      </c>
      <c r="B16" s="320">
        <v>44202</v>
      </c>
      <c r="C16" s="176">
        <f>G10</f>
        <v>290435103</v>
      </c>
      <c r="D16" s="177"/>
      <c r="E16" s="178">
        <f>SUM(E17:E22)</f>
        <v>1589117500</v>
      </c>
      <c r="F16" s="178">
        <f>SUM(F17:F22)</f>
        <v>38299217</v>
      </c>
      <c r="G16" s="179">
        <f>ROUND(C16+E16-F16,2)</f>
        <v>1841253386</v>
      </c>
      <c r="H16" s="177"/>
    </row>
    <row r="17" spans="1:8">
      <c r="A17" s="317"/>
      <c r="B17" s="317"/>
      <c r="C17" s="88"/>
      <c r="D17" s="101" t="s">
        <v>89</v>
      </c>
      <c r="E17" s="82">
        <v>880000000</v>
      </c>
      <c r="F17" s="82"/>
      <c r="G17" s="88"/>
      <c r="H17" s="88"/>
    </row>
    <row r="18" spans="1:8">
      <c r="A18" s="317"/>
      <c r="B18" s="317"/>
      <c r="C18" s="88"/>
      <c r="D18" s="101" t="s">
        <v>90</v>
      </c>
      <c r="E18" s="82">
        <v>709117500</v>
      </c>
      <c r="F18" s="82"/>
      <c r="G18" s="88"/>
      <c r="H18" s="88"/>
    </row>
    <row r="19" spans="1:8">
      <c r="A19" s="317"/>
      <c r="B19" s="317"/>
      <c r="C19" s="88"/>
      <c r="D19" s="148" t="s">
        <v>92</v>
      </c>
      <c r="E19" s="88"/>
      <c r="F19" s="149">
        <v>5698000</v>
      </c>
      <c r="G19" s="88"/>
      <c r="H19" s="88"/>
    </row>
    <row r="20" spans="1:8">
      <c r="A20" s="317"/>
      <c r="B20" s="317"/>
      <c r="C20" s="88"/>
      <c r="D20" s="148" t="s">
        <v>93</v>
      </c>
      <c r="E20" s="88"/>
      <c r="F20" s="149">
        <v>19610217</v>
      </c>
      <c r="G20" s="88"/>
      <c r="H20" s="88"/>
    </row>
    <row r="21" spans="1:8">
      <c r="A21" s="317"/>
      <c r="B21" s="317"/>
      <c r="C21" s="88"/>
      <c r="D21" s="148" t="s">
        <v>95</v>
      </c>
      <c r="E21" s="88"/>
      <c r="F21" s="82">
        <v>8591000</v>
      </c>
      <c r="G21" s="88"/>
      <c r="H21" s="88"/>
    </row>
    <row r="22" spans="1:8">
      <c r="A22" s="319"/>
      <c r="B22" s="319"/>
      <c r="C22" s="89"/>
      <c r="D22" s="212" t="s">
        <v>97</v>
      </c>
      <c r="E22" s="89"/>
      <c r="F22" s="146">
        <v>4400000</v>
      </c>
      <c r="G22" s="89"/>
      <c r="H22" s="89"/>
    </row>
    <row r="23" spans="1:8" ht="14.25">
      <c r="A23" s="316">
        <v>4</v>
      </c>
      <c r="B23" s="320">
        <v>44203</v>
      </c>
      <c r="C23" s="176">
        <f>G16</f>
        <v>1841253386</v>
      </c>
      <c r="D23" s="177"/>
      <c r="E23" s="178">
        <f>SUM(E24:E28)</f>
        <v>0</v>
      </c>
      <c r="F23" s="178">
        <f>SUM(F24:F28)</f>
        <v>562588375</v>
      </c>
      <c r="G23" s="179">
        <f>ROUND(C23+E23-F23,2)</f>
        <v>1278665011</v>
      </c>
      <c r="H23" s="177"/>
    </row>
    <row r="24" spans="1:8">
      <c r="A24" s="317"/>
      <c r="B24" s="317"/>
      <c r="C24" s="88"/>
      <c r="D24" s="240" t="s">
        <v>119</v>
      </c>
      <c r="E24" s="88"/>
      <c r="F24" s="82">
        <v>1925000</v>
      </c>
      <c r="G24" s="88"/>
      <c r="H24" s="88"/>
    </row>
    <row r="25" spans="1:8">
      <c r="A25" s="317"/>
      <c r="B25" s="317"/>
      <c r="C25" s="88"/>
      <c r="D25" s="148" t="s">
        <v>121</v>
      </c>
      <c r="E25" s="88"/>
      <c r="F25" s="149">
        <v>484000</v>
      </c>
      <c r="G25" s="88"/>
      <c r="H25" s="88"/>
    </row>
    <row r="26" spans="1:8">
      <c r="A26" s="317"/>
      <c r="B26" s="317"/>
      <c r="C26" s="88"/>
      <c r="D26" s="101" t="s">
        <v>126</v>
      </c>
      <c r="E26" s="88"/>
      <c r="F26" s="149">
        <v>8000000</v>
      </c>
      <c r="G26" s="88"/>
      <c r="H26" s="88"/>
    </row>
    <row r="27" spans="1:8" ht="24.75">
      <c r="A27" s="317"/>
      <c r="B27" s="317"/>
      <c r="C27" s="88"/>
      <c r="D27" s="148" t="s">
        <v>122</v>
      </c>
      <c r="E27" s="88"/>
      <c r="F27" s="149">
        <v>262109375</v>
      </c>
      <c r="G27" s="88"/>
      <c r="H27" s="88"/>
    </row>
    <row r="28" spans="1:8">
      <c r="A28" s="319"/>
      <c r="B28" s="319"/>
      <c r="C28" s="89"/>
      <c r="D28" s="211" t="s">
        <v>125</v>
      </c>
      <c r="E28" s="89"/>
      <c r="F28" s="241">
        <v>290070000</v>
      </c>
      <c r="G28" s="89"/>
      <c r="H28" s="89"/>
    </row>
    <row r="29" spans="1:8" ht="14.25">
      <c r="A29" s="316">
        <v>5</v>
      </c>
      <c r="B29" s="320">
        <v>44204</v>
      </c>
      <c r="C29" s="176">
        <f>G23</f>
        <v>1278665011</v>
      </c>
      <c r="D29" s="177"/>
      <c r="E29" s="178">
        <f>SUM(E30:E35)</f>
        <v>474946296</v>
      </c>
      <c r="F29" s="178">
        <f>SUM(F30:F35)</f>
        <v>654053059</v>
      </c>
      <c r="G29" s="179">
        <f>ROUND(C29+E29-F29,2)</f>
        <v>1099558248</v>
      </c>
      <c r="H29" s="177"/>
    </row>
    <row r="30" spans="1:8" ht="15" customHeight="1">
      <c r="A30" s="317"/>
      <c r="B30" s="330"/>
      <c r="C30" s="88"/>
      <c r="D30" s="148" t="s">
        <v>132</v>
      </c>
      <c r="E30" s="88"/>
      <c r="F30" s="149">
        <v>262109375</v>
      </c>
      <c r="G30" s="88"/>
      <c r="H30" s="88"/>
    </row>
    <row r="31" spans="1:8" ht="15" customHeight="1">
      <c r="A31" s="317"/>
      <c r="B31" s="330"/>
      <c r="C31" s="88"/>
      <c r="D31" s="148" t="s">
        <v>133</v>
      </c>
      <c r="E31" s="88"/>
      <c r="F31" s="149">
        <v>290070000</v>
      </c>
      <c r="G31" s="88"/>
      <c r="H31" s="88"/>
    </row>
    <row r="32" spans="1:8" ht="15" customHeight="1">
      <c r="A32" s="317"/>
      <c r="B32" s="330"/>
      <c r="C32" s="88"/>
      <c r="D32" s="101" t="s">
        <v>134</v>
      </c>
      <c r="E32" s="149">
        <v>474946296</v>
      </c>
      <c r="F32" s="149"/>
      <c r="G32" s="88"/>
      <c r="H32" s="88"/>
    </row>
    <row r="33" spans="1:8">
      <c r="A33" s="317"/>
      <c r="B33" s="330"/>
      <c r="C33" s="88"/>
      <c r="D33" s="101" t="s">
        <v>135</v>
      </c>
      <c r="E33" s="88"/>
      <c r="F33" s="149">
        <v>18139000</v>
      </c>
      <c r="G33" s="88"/>
      <c r="H33" s="88"/>
    </row>
    <row r="34" spans="1:8">
      <c r="A34" s="317"/>
      <c r="B34" s="330"/>
      <c r="C34" s="88"/>
      <c r="D34" s="101" t="s">
        <v>136</v>
      </c>
      <c r="E34" s="88"/>
      <c r="F34" s="149">
        <v>23459700</v>
      </c>
      <c r="G34" s="88"/>
      <c r="H34" s="88"/>
    </row>
    <row r="35" spans="1:8">
      <c r="A35" s="319"/>
      <c r="B35" s="331"/>
      <c r="C35" s="89"/>
      <c r="D35" s="212" t="s">
        <v>137</v>
      </c>
      <c r="E35" s="89"/>
      <c r="F35" s="241">
        <v>60274984</v>
      </c>
      <c r="G35" s="89"/>
      <c r="H35" s="89"/>
    </row>
  </sheetData>
  <mergeCells count="19">
    <mergeCell ref="C4:C5"/>
    <mergeCell ref="A4:A5"/>
    <mergeCell ref="D1:H1"/>
    <mergeCell ref="D2:H2"/>
    <mergeCell ref="H4:H5"/>
    <mergeCell ref="D4:D5"/>
    <mergeCell ref="G4:G5"/>
    <mergeCell ref="E4:F4"/>
    <mergeCell ref="A29:A35"/>
    <mergeCell ref="B29:B35"/>
    <mergeCell ref="A6:A9"/>
    <mergeCell ref="B6:B9"/>
    <mergeCell ref="B4:B5"/>
    <mergeCell ref="A10:A15"/>
    <mergeCell ref="B10:B15"/>
    <mergeCell ref="A23:A28"/>
    <mergeCell ref="B23:B28"/>
    <mergeCell ref="A16:A22"/>
    <mergeCell ref="B16:B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C7" sqref="C7"/>
    </sheetView>
  </sheetViews>
  <sheetFormatPr defaultColWidth="9.140625" defaultRowHeight="13.5"/>
  <cols>
    <col min="1" max="1" width="7.85546875" style="76" customWidth="1"/>
    <col min="2" max="2" width="13.140625" style="76" customWidth="1"/>
    <col min="3" max="3" width="16.42578125" style="76" customWidth="1"/>
    <col min="4" max="4" width="46.140625" style="76" customWidth="1"/>
    <col min="5" max="5" width="16.28515625" style="76" customWidth="1"/>
    <col min="6" max="6" width="16" style="76" customWidth="1"/>
    <col min="7" max="7" width="17" style="76" customWidth="1"/>
    <col min="8" max="8" width="15.140625" style="76" customWidth="1"/>
    <col min="9" max="16384" width="9.140625" style="76"/>
  </cols>
  <sheetData>
    <row r="1" spans="1:8" ht="21.75">
      <c r="D1" s="279" t="s">
        <v>171</v>
      </c>
      <c r="E1" s="279"/>
      <c r="F1" s="279"/>
      <c r="G1" s="279"/>
      <c r="H1" s="279"/>
    </row>
    <row r="2" spans="1:8" ht="21.75">
      <c r="D2" s="279" t="s">
        <v>172</v>
      </c>
      <c r="E2" s="279"/>
      <c r="F2" s="279"/>
      <c r="G2" s="279"/>
      <c r="H2" s="279"/>
    </row>
    <row r="4" spans="1:8" ht="18">
      <c r="A4" s="280" t="s">
        <v>154</v>
      </c>
      <c r="B4" s="281" t="s">
        <v>155</v>
      </c>
      <c r="C4" s="280" t="s">
        <v>156</v>
      </c>
      <c r="D4" s="284" t="s">
        <v>167</v>
      </c>
      <c r="E4" s="280" t="s">
        <v>40</v>
      </c>
      <c r="F4" s="280"/>
      <c r="G4" s="280" t="s">
        <v>158</v>
      </c>
      <c r="H4" s="299" t="s">
        <v>45</v>
      </c>
    </row>
    <row r="5" spans="1:8" ht="18">
      <c r="A5" s="280"/>
      <c r="B5" s="282"/>
      <c r="C5" s="280"/>
      <c r="D5" s="286"/>
      <c r="E5" s="246" t="s">
        <v>4</v>
      </c>
      <c r="F5" s="246" t="s">
        <v>5</v>
      </c>
      <c r="G5" s="280"/>
      <c r="H5" s="282"/>
    </row>
    <row r="6" spans="1:8" ht="14.25">
      <c r="A6" s="316">
        <v>1</v>
      </c>
      <c r="B6" s="320">
        <v>44169</v>
      </c>
      <c r="C6" s="176">
        <v>209099187</v>
      </c>
      <c r="D6" s="180"/>
      <c r="E6" s="178">
        <f>SUM(E7:E10)</f>
        <v>0</v>
      </c>
      <c r="F6" s="178">
        <f>SUM(F7:F10)</f>
        <v>0</v>
      </c>
      <c r="G6" s="179">
        <f>ROUND(C6+E6-F6,2)</f>
        <v>209099187</v>
      </c>
      <c r="H6" s="180"/>
    </row>
    <row r="7" spans="1:8" ht="14.25">
      <c r="A7" s="317"/>
      <c r="B7" s="330"/>
      <c r="C7" s="163"/>
      <c r="D7" s="101"/>
      <c r="E7" s="82"/>
      <c r="F7" s="82"/>
      <c r="G7" s="164"/>
      <c r="H7" s="165"/>
    </row>
    <row r="8" spans="1:8" ht="14.25">
      <c r="A8" s="317"/>
      <c r="B8" s="330"/>
      <c r="C8" s="163"/>
      <c r="D8" s="101"/>
      <c r="E8" s="92"/>
      <c r="F8" s="82"/>
      <c r="G8" s="164"/>
      <c r="H8" s="165"/>
    </row>
    <row r="9" spans="1:8" ht="15" customHeight="1">
      <c r="A9" s="317"/>
      <c r="B9" s="330"/>
      <c r="C9" s="88"/>
      <c r="D9" s="101"/>
      <c r="E9" s="82"/>
      <c r="F9" s="82"/>
      <c r="G9" s="88"/>
      <c r="H9" s="88"/>
    </row>
    <row r="10" spans="1:8">
      <c r="A10" s="319"/>
      <c r="B10" s="331"/>
      <c r="C10" s="89"/>
      <c r="D10" s="212"/>
      <c r="E10" s="146"/>
      <c r="F10" s="89"/>
      <c r="G10" s="89"/>
      <c r="H10" s="89"/>
    </row>
  </sheetData>
  <mergeCells count="11">
    <mergeCell ref="A6:A10"/>
    <mergeCell ref="B6:B10"/>
    <mergeCell ref="H4:H5"/>
    <mergeCell ref="C4:C5"/>
    <mergeCell ref="D4:D5"/>
    <mergeCell ref="A4:A5"/>
    <mergeCell ref="D1:H1"/>
    <mergeCell ref="D2:H2"/>
    <mergeCell ref="B4:B5"/>
    <mergeCell ref="E4:F4"/>
    <mergeCell ref="G4:G5"/>
  </mergeCells>
  <pageMargins left="0.7" right="0.7" top="0.75" bottom="0.75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I19" sqref="I19"/>
    </sheetView>
  </sheetViews>
  <sheetFormatPr defaultColWidth="9.140625" defaultRowHeight="13.5"/>
  <cols>
    <col min="1" max="1" width="8" style="76" customWidth="1"/>
    <col min="2" max="2" width="13" style="76" customWidth="1"/>
    <col min="3" max="3" width="15.5703125" style="76" customWidth="1"/>
    <col min="4" max="4" width="45.85546875" style="76" customWidth="1"/>
    <col min="5" max="5" width="15.5703125" style="76" customWidth="1"/>
    <col min="6" max="6" width="16" style="76" customWidth="1"/>
    <col min="7" max="7" width="16.42578125" style="76" customWidth="1"/>
    <col min="8" max="8" width="16.140625" style="76" customWidth="1"/>
    <col min="9" max="16384" width="9.140625" style="76"/>
  </cols>
  <sheetData>
    <row r="1" spans="1:8" ht="21.75">
      <c r="A1" s="91"/>
      <c r="B1" s="91"/>
      <c r="C1" s="91"/>
      <c r="D1" s="279" t="s">
        <v>173</v>
      </c>
      <c r="E1" s="279"/>
      <c r="F1" s="279"/>
      <c r="G1" s="279"/>
      <c r="H1" s="279"/>
    </row>
    <row r="2" spans="1:8" ht="21.75">
      <c r="A2" s="91"/>
      <c r="B2" s="91"/>
      <c r="C2" s="91"/>
      <c r="D2" s="279" t="s">
        <v>153</v>
      </c>
      <c r="E2" s="279"/>
      <c r="F2" s="279"/>
      <c r="G2" s="279"/>
      <c r="H2" s="279"/>
    </row>
    <row r="3" spans="1:8">
      <c r="A3" s="91"/>
      <c r="B3" s="91"/>
      <c r="C3" s="91"/>
      <c r="D3" s="91"/>
      <c r="E3" s="91"/>
      <c r="F3" s="91"/>
      <c r="G3" s="91"/>
      <c r="H3" s="91"/>
    </row>
    <row r="4" spans="1:8" ht="18">
      <c r="A4" s="280" t="s">
        <v>154</v>
      </c>
      <c r="B4" s="281" t="s">
        <v>155</v>
      </c>
      <c r="C4" s="280" t="s">
        <v>156</v>
      </c>
      <c r="D4" s="284" t="s">
        <v>167</v>
      </c>
      <c r="E4" s="280" t="s">
        <v>40</v>
      </c>
      <c r="F4" s="280"/>
      <c r="G4" s="280" t="s">
        <v>158</v>
      </c>
      <c r="H4" s="299" t="s">
        <v>45</v>
      </c>
    </row>
    <row r="5" spans="1:8" ht="18">
      <c r="A5" s="299"/>
      <c r="B5" s="333"/>
      <c r="C5" s="299"/>
      <c r="D5" s="332"/>
      <c r="E5" s="245" t="s">
        <v>4</v>
      </c>
      <c r="F5" s="245" t="s">
        <v>5</v>
      </c>
      <c r="G5" s="299"/>
      <c r="H5" s="333"/>
    </row>
    <row r="6" spans="1:8" ht="18">
      <c r="A6" s="316">
        <v>1</v>
      </c>
      <c r="B6" s="320">
        <v>44204</v>
      </c>
      <c r="C6" s="181">
        <v>11409145</v>
      </c>
      <c r="D6" s="182"/>
      <c r="E6" s="183">
        <f>SUM(E7:E9)</f>
        <v>30000000</v>
      </c>
      <c r="F6" s="183">
        <f>SUM(F7:F9)</f>
        <v>30060000</v>
      </c>
      <c r="G6" s="184">
        <f>ROUND(C6+E6-F6,2)</f>
        <v>11349145</v>
      </c>
      <c r="H6" s="182"/>
    </row>
    <row r="7" spans="1:8" ht="15" customHeight="1">
      <c r="A7" s="317"/>
      <c r="B7" s="330"/>
      <c r="C7" s="88"/>
      <c r="D7" s="101" t="s">
        <v>138</v>
      </c>
      <c r="E7" s="88"/>
      <c r="F7" s="149">
        <v>60000</v>
      </c>
      <c r="G7" s="88"/>
      <c r="H7" s="88"/>
    </row>
    <row r="8" spans="1:8">
      <c r="A8" s="317"/>
      <c r="B8" s="330"/>
      <c r="C8" s="88"/>
      <c r="D8" s="101" t="s">
        <v>141</v>
      </c>
      <c r="E8" s="149">
        <v>30000000</v>
      </c>
      <c r="F8" s="149"/>
      <c r="G8" s="88"/>
      <c r="H8" s="88"/>
    </row>
    <row r="9" spans="1:8">
      <c r="A9" s="319"/>
      <c r="B9" s="331"/>
      <c r="C9" s="89"/>
      <c r="D9" s="212" t="s">
        <v>142</v>
      </c>
      <c r="E9" s="89"/>
      <c r="F9" s="241">
        <v>30000000</v>
      </c>
      <c r="G9" s="89"/>
      <c r="H9" s="89"/>
    </row>
  </sheetData>
  <mergeCells count="11">
    <mergeCell ref="D1:H1"/>
    <mergeCell ref="D2:H2"/>
    <mergeCell ref="A4:A5"/>
    <mergeCell ref="B4:B5"/>
    <mergeCell ref="C4:C5"/>
    <mergeCell ref="A6:A9"/>
    <mergeCell ref="B6:B9"/>
    <mergeCell ref="D4:D5"/>
    <mergeCell ref="H4:H5"/>
    <mergeCell ref="G4:G5"/>
    <mergeCell ref="E4:F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thanhnhan</dc:creator>
  <cp:keywords/>
  <dc:description/>
  <cp:lastModifiedBy/>
  <cp:revision/>
  <dcterms:created xsi:type="dcterms:W3CDTF">2011-07-30T15:18:56Z</dcterms:created>
  <dcterms:modified xsi:type="dcterms:W3CDTF">2021-01-09T05:44:46Z</dcterms:modified>
  <cp:category/>
  <cp:contentStatus/>
</cp:coreProperties>
</file>