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3_Tools\03_linhtinh\GitHub\NhungLe\20210106\"/>
    </mc:Choice>
  </mc:AlternateContent>
  <bookViews>
    <workbookView xWindow="0" yWindow="0" windowWidth="28560" windowHeight="13665" tabRatio="711" firstSheet="6" activeTab="6"/>
  </bookViews>
  <sheets>
    <sheet name="DỰ ÁN 2019" sheetId="1" r:id="rId1"/>
    <sheet name="Chi phí lương NC " sheetId="7" state="hidden" r:id="rId2"/>
    <sheet name="THI CÔNG TẠM ỨNG" sheetId="5" r:id="rId3"/>
    <sheet name="DỰ ÁN 2020" sheetId="6" state="hidden" r:id="rId4"/>
    <sheet name="DU AN 2020-HANH in " sheetId="13" state="hidden" r:id="rId5"/>
    <sheet name="DA GIAI CHI" sheetId="16" r:id="rId6"/>
    <sheet name="DU AN 2021" sheetId="17" r:id="rId7"/>
    <sheet name="DU AN 2020" sheetId="12" r:id="rId8"/>
    <sheet name="CHI VP" sheetId="14" r:id="rId9"/>
    <sheet name=" BCAO DU AN 2020 IN" sheetId="9" state="hidden" r:id="rId10"/>
    <sheet name="Sheet1" sheetId="15" r:id="rId11"/>
  </sheets>
  <definedNames>
    <definedName name="_xlnm._FilterDatabase" localSheetId="9" hidden="1">' BCAO DU AN 2020 IN'!$A$5:$W$415</definedName>
    <definedName name="_xlnm._FilterDatabase" localSheetId="8" hidden="1">'CHI VP'!$A$1:$K$184</definedName>
    <definedName name="_xlnm._FilterDatabase" localSheetId="5" hidden="1">'DA GIAI CHI'!$A$3:$K$84</definedName>
    <definedName name="_xlnm._FilterDatabase" localSheetId="0" hidden="1">'DỰ ÁN 2019'!$A$6:$O$313</definedName>
    <definedName name="_xlnm._FilterDatabase" localSheetId="7" hidden="1">'DU AN 2020'!$A$5:$Z$1026</definedName>
    <definedName name="_xlnm._FilterDatabase" localSheetId="3" hidden="1">'DỰ ÁN 2020'!$A$5:$O$102</definedName>
    <definedName name="_xlnm._FilterDatabase" localSheetId="4" hidden="1">'DU AN 2020-HANH in '!$A$5:$X$442</definedName>
    <definedName name="_xlnm._FilterDatabase" localSheetId="6" hidden="1">'DU AN 2021'!$A$5:$Z$148</definedName>
    <definedName name="_xlnm._FilterDatabase" localSheetId="2" hidden="1">'THI CÔNG TẠM ỨNG'!$A$7:$G$21</definedName>
    <definedName name="_xlnm.Print_Area" localSheetId="3">'DỰ ÁN 2020'!$A$1:$L$275</definedName>
    <definedName name="y" localSheetId="6">'DU AN 2021'!$E$163</definedName>
    <definedName name="y">'DU AN 2020'!$E$1028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7" i="17" l="1"/>
  <c r="P147" i="17" s="1"/>
  <c r="M145" i="17"/>
  <c r="P145" i="17" s="1"/>
  <c r="M144" i="17"/>
  <c r="P144" i="17" s="1"/>
  <c r="M143" i="17"/>
  <c r="P143" i="17" s="1"/>
  <c r="M142" i="17"/>
  <c r="P142" i="17" s="1"/>
  <c r="M141" i="17"/>
  <c r="P141" i="17" s="1"/>
  <c r="M140" i="17"/>
  <c r="P140" i="17" s="1"/>
  <c r="M139" i="17"/>
  <c r="P139" i="17" s="1"/>
  <c r="M138" i="17"/>
  <c r="P138" i="17" s="1"/>
  <c r="M137" i="17"/>
  <c r="P137" i="17" s="1"/>
  <c r="M136" i="17"/>
  <c r="P136" i="17" s="1"/>
  <c r="M135" i="17"/>
  <c r="P135" i="17" s="1"/>
  <c r="M133" i="17"/>
  <c r="P133" i="17" s="1"/>
  <c r="M132" i="17"/>
  <c r="P132" i="17" s="1"/>
  <c r="M131" i="17"/>
  <c r="M129" i="17"/>
  <c r="P129" i="17" s="1"/>
  <c r="M128" i="17"/>
  <c r="P128" i="17" s="1"/>
  <c r="M127" i="17"/>
  <c r="P127" i="17" s="1"/>
  <c r="M126" i="17"/>
  <c r="P126" i="17" s="1"/>
  <c r="M125" i="17"/>
  <c r="P125" i="17" s="1"/>
  <c r="M124" i="17"/>
  <c r="P124" i="17" s="1"/>
  <c r="M123" i="17"/>
  <c r="P123" i="17" s="1"/>
  <c r="M122" i="17"/>
  <c r="P122" i="17" s="1"/>
  <c r="M121" i="17"/>
  <c r="P121" i="17" s="1"/>
  <c r="M120" i="17"/>
  <c r="P120" i="17" s="1"/>
  <c r="M119" i="17"/>
  <c r="P119" i="17" s="1"/>
  <c r="M117" i="17"/>
  <c r="P117" i="17" s="1"/>
  <c r="M116" i="17"/>
  <c r="P116" i="17" s="1"/>
  <c r="M115" i="17"/>
  <c r="P115" i="17" s="1"/>
  <c r="M114" i="17"/>
  <c r="P114" i="17" s="1"/>
  <c r="M113" i="17"/>
  <c r="G113" i="17"/>
  <c r="M111" i="17"/>
  <c r="P111" i="17" s="1"/>
  <c r="M110" i="17"/>
  <c r="P110" i="17" s="1"/>
  <c r="M109" i="17"/>
  <c r="P109" i="17" s="1"/>
  <c r="M108" i="17"/>
  <c r="P108" i="17" s="1"/>
  <c r="M107" i="17"/>
  <c r="P107" i="17" s="1"/>
  <c r="M106" i="17"/>
  <c r="P106" i="17" s="1"/>
  <c r="M105" i="17"/>
  <c r="P105" i="17" s="1"/>
  <c r="Y103" i="17"/>
  <c r="G103" i="17" s="1"/>
  <c r="L103" i="17"/>
  <c r="M103" i="17" s="1"/>
  <c r="M102" i="17"/>
  <c r="P102" i="17" s="1"/>
  <c r="M101" i="17"/>
  <c r="P101" i="17" s="1"/>
  <c r="M100" i="17"/>
  <c r="P100" i="17" s="1"/>
  <c r="M99" i="17"/>
  <c r="P99" i="17" s="1"/>
  <c r="M98" i="17"/>
  <c r="P98" i="17" s="1"/>
  <c r="M97" i="17"/>
  <c r="P97" i="17" s="1"/>
  <c r="M95" i="17"/>
  <c r="M92" i="17"/>
  <c r="P92" i="17" s="1"/>
  <c r="M90" i="17"/>
  <c r="P90" i="17" s="1"/>
  <c r="M89" i="17"/>
  <c r="P89" i="17" s="1"/>
  <c r="M88" i="17"/>
  <c r="P88" i="17" s="1"/>
  <c r="M87" i="17"/>
  <c r="P87" i="17" s="1"/>
  <c r="M86" i="17"/>
  <c r="P86" i="17" s="1"/>
  <c r="M85" i="17"/>
  <c r="P85" i="17" s="1"/>
  <c r="M84" i="17"/>
  <c r="P84" i="17" s="1"/>
  <c r="M83" i="17"/>
  <c r="P83" i="17" s="1"/>
  <c r="M82" i="17"/>
  <c r="P82" i="17" s="1"/>
  <c r="M81" i="17"/>
  <c r="P81" i="17" s="1"/>
  <c r="M80" i="17"/>
  <c r="P80" i="17" s="1"/>
  <c r="Y78" i="17"/>
  <c r="G78" i="17" s="1"/>
  <c r="M78" i="17"/>
  <c r="M77" i="17"/>
  <c r="P77" i="17" s="1"/>
  <c r="M76" i="17"/>
  <c r="P76" i="17" s="1"/>
  <c r="M75" i="17"/>
  <c r="P75" i="17" s="1"/>
  <c r="M74" i="17"/>
  <c r="P74" i="17" s="1"/>
  <c r="M73" i="17"/>
  <c r="P73" i="17" s="1"/>
  <c r="M72" i="17"/>
  <c r="P72" i="17" s="1"/>
  <c r="M71" i="17"/>
  <c r="P71" i="17" s="1"/>
  <c r="M70" i="17"/>
  <c r="P70" i="17" s="1"/>
  <c r="M69" i="17"/>
  <c r="P69" i="17" s="1"/>
  <c r="Y67" i="17"/>
  <c r="G67" i="17" s="1"/>
  <c r="L67" i="17"/>
  <c r="M67" i="17" s="1"/>
  <c r="M66" i="17"/>
  <c r="P66" i="17" s="1"/>
  <c r="M65" i="17"/>
  <c r="P65" i="17" s="1"/>
  <c r="M62" i="17"/>
  <c r="P62" i="17" s="1"/>
  <c r="M61" i="17"/>
  <c r="P61" i="17" s="1"/>
  <c r="M60" i="17"/>
  <c r="V59" i="17"/>
  <c r="M59" i="17"/>
  <c r="Y57" i="17"/>
  <c r="G57" i="17" s="1"/>
  <c r="M57" i="17"/>
  <c r="M56" i="17"/>
  <c r="P56" i="17" s="1"/>
  <c r="M55" i="17"/>
  <c r="P55" i="17" s="1"/>
  <c r="M53" i="17"/>
  <c r="P53" i="17" s="1"/>
  <c r="M52" i="17"/>
  <c r="P52" i="17" s="1"/>
  <c r="M51" i="17"/>
  <c r="P51" i="17" s="1"/>
  <c r="M50" i="17"/>
  <c r="P50" i="17" s="1"/>
  <c r="M49" i="17"/>
  <c r="P49" i="17" s="1"/>
  <c r="M48" i="17"/>
  <c r="P48" i="17" s="1"/>
  <c r="M47" i="17"/>
  <c r="P47" i="17" s="1"/>
  <c r="M46" i="17"/>
  <c r="P46" i="17" s="1"/>
  <c r="M45" i="17"/>
  <c r="P45" i="17" s="1"/>
  <c r="M44" i="17"/>
  <c r="P44" i="17" s="1"/>
  <c r="M43" i="17"/>
  <c r="P43" i="17" s="1"/>
  <c r="M42" i="17"/>
  <c r="P42" i="17" s="1"/>
  <c r="Y40" i="17"/>
  <c r="I40" i="17" s="1"/>
  <c r="M40" i="17" s="1"/>
  <c r="M39" i="17"/>
  <c r="P39" i="17" s="1"/>
  <c r="Y37" i="17"/>
  <c r="I37" i="17" s="1"/>
  <c r="M37" i="17" s="1"/>
  <c r="M36" i="17"/>
  <c r="P36" i="17" s="1"/>
  <c r="M34" i="17"/>
  <c r="N34" i="17" s="1"/>
  <c r="M33" i="17"/>
  <c r="N33" i="17" s="1"/>
  <c r="N35" i="17" s="1"/>
  <c r="Y31" i="17"/>
  <c r="I31" i="17" s="1"/>
  <c r="M31" i="17" s="1"/>
  <c r="P31" i="17" s="1"/>
  <c r="M30" i="17"/>
  <c r="P30" i="17" s="1"/>
  <c r="M29" i="17"/>
  <c r="Y27" i="17"/>
  <c r="M27" i="17" s="1"/>
  <c r="M26" i="17"/>
  <c r="N26" i="17" s="1"/>
  <c r="M25" i="17"/>
  <c r="M24" i="17"/>
  <c r="M23" i="17"/>
  <c r="N23" i="17" s="1"/>
  <c r="Y21" i="17"/>
  <c r="M20" i="17"/>
  <c r="O20" i="17" s="1"/>
  <c r="P20" i="17" s="1"/>
  <c r="M19" i="17"/>
  <c r="N19" i="17" s="1"/>
  <c r="M18" i="17"/>
  <c r="O18" i="17" s="1"/>
  <c r="P18" i="17" s="1"/>
  <c r="Y16" i="17"/>
  <c r="I16" i="17" s="1"/>
  <c r="M16" i="17" s="1"/>
  <c r="M15" i="17"/>
  <c r="P15" i="17" s="1"/>
  <c r="M14" i="17"/>
  <c r="P14" i="17" s="1"/>
  <c r="M13" i="17"/>
  <c r="P13" i="17" s="1"/>
  <c r="Y11" i="17"/>
  <c r="I11" i="17" s="1"/>
  <c r="M11" i="17" s="1"/>
  <c r="P11" i="17" s="1"/>
  <c r="M10" i="17"/>
  <c r="P10" i="17" s="1"/>
  <c r="M9" i="17"/>
  <c r="Y7" i="17"/>
  <c r="I7" i="17" s="1"/>
  <c r="M7" i="17" s="1"/>
  <c r="M6" i="17"/>
  <c r="N6" i="17" s="1"/>
  <c r="N8" i="17" s="1"/>
  <c r="O19" i="17" l="1"/>
  <c r="P19" i="17" s="1"/>
  <c r="M21" i="17"/>
  <c r="O21" i="17" s="1"/>
  <c r="P21" i="17" s="1"/>
  <c r="P146" i="17"/>
  <c r="P59" i="17"/>
  <c r="P78" i="17"/>
  <c r="P79" i="17" s="1"/>
  <c r="P130" i="17"/>
  <c r="N13" i="17"/>
  <c r="N17" i="17" s="1"/>
  <c r="P113" i="17"/>
  <c r="P118" i="17" s="1"/>
  <c r="N15" i="17"/>
  <c r="M79" i="17"/>
  <c r="N10" i="17"/>
  <c r="P67" i="17"/>
  <c r="P103" i="17"/>
  <c r="M146" i="17"/>
  <c r="N36" i="17"/>
  <c r="N38" i="17" s="1"/>
  <c r="N14" i="17"/>
  <c r="N20" i="17"/>
  <c r="N24" i="17"/>
  <c r="N25" i="17"/>
  <c r="P57" i="17"/>
  <c r="N57" i="17"/>
  <c r="N63" i="17" s="1"/>
  <c r="N30" i="17"/>
  <c r="N31" i="17"/>
  <c r="P34" i="17"/>
  <c r="M112" i="17"/>
  <c r="P6" i="17"/>
  <c r="N28" i="17"/>
  <c r="N54" i="17"/>
  <c r="M148" i="17"/>
  <c r="P148" i="17"/>
  <c r="M93" i="17"/>
  <c r="P7" i="17"/>
  <c r="N7" i="17"/>
  <c r="M12" i="17"/>
  <c r="P9" i="17"/>
  <c r="N9" i="17"/>
  <c r="N12" i="17" s="1"/>
  <c r="N11" i="17"/>
  <c r="P16" i="17"/>
  <c r="N16" i="17"/>
  <c r="N18" i="17"/>
  <c r="N22" i="17" s="1"/>
  <c r="M28" i="17"/>
  <c r="M41" i="17"/>
  <c r="M54" i="17"/>
  <c r="M8" i="17"/>
  <c r="M17" i="17"/>
  <c r="N27" i="17"/>
  <c r="M38" i="17"/>
  <c r="P37" i="17"/>
  <c r="N37" i="17"/>
  <c r="P40" i="17"/>
  <c r="N40" i="17"/>
  <c r="N41" i="17" s="1"/>
  <c r="M32" i="17"/>
  <c r="P29" i="17"/>
  <c r="N29" i="17"/>
  <c r="N32" i="17" s="1"/>
  <c r="P33" i="17"/>
  <c r="M58" i="17"/>
  <c r="M64" i="17"/>
  <c r="P64" i="17"/>
  <c r="M68" i="17"/>
  <c r="M91" i="17"/>
  <c r="M104" i="17"/>
  <c r="M118" i="17"/>
  <c r="M63" i="17"/>
  <c r="P93" i="17"/>
  <c r="M94" i="17"/>
  <c r="M96" i="17"/>
  <c r="P95" i="17"/>
  <c r="M130" i="17"/>
  <c r="M134" i="17"/>
  <c r="P131" i="17"/>
  <c r="P134" i="17" s="1"/>
  <c r="P91" i="17"/>
  <c r="P94" i="17"/>
  <c r="H41" i="15"/>
  <c r="H42" i="15"/>
  <c r="H44" i="15"/>
  <c r="L549" i="12"/>
  <c r="N549" i="12" s="1"/>
  <c r="L749" i="12"/>
  <c r="N749" i="12" s="1"/>
  <c r="L921" i="12"/>
  <c r="N921" i="12" s="1"/>
  <c r="L826" i="12"/>
  <c r="N826" i="12" s="1"/>
  <c r="L920" i="12"/>
  <c r="N920" i="12" s="1"/>
  <c r="L454" i="12"/>
  <c r="N454" i="12" s="1"/>
  <c r="L706" i="12"/>
  <c r="N706" i="12" s="1"/>
  <c r="L592" i="12"/>
  <c r="N592" i="12" s="1"/>
  <c r="L591" i="12"/>
  <c r="N591" i="12" s="1"/>
  <c r="L919" i="12"/>
  <c r="N919" i="12" s="1"/>
  <c r="L774" i="12"/>
  <c r="N774" i="12" s="1"/>
  <c r="L853" i="12"/>
  <c r="N853" i="12" s="1"/>
  <c r="L998" i="12"/>
  <c r="N998" i="12" s="1"/>
  <c r="W1012" i="12"/>
  <c r="L1012" i="12"/>
  <c r="N1012" i="12" s="1"/>
  <c r="N1011" i="12"/>
  <c r="N1010" i="12"/>
  <c r="N1009" i="12"/>
  <c r="L1008" i="12"/>
  <c r="N1008" i="12" s="1"/>
  <c r="L1007" i="12"/>
  <c r="N1007" i="12" s="1"/>
  <c r="L1006" i="12"/>
  <c r="N1006" i="12" s="1"/>
  <c r="L1005" i="12"/>
  <c r="N1005" i="12" s="1"/>
  <c r="L1004" i="12"/>
  <c r="N1004" i="12" s="1"/>
  <c r="L1003" i="12"/>
  <c r="N1003" i="12" s="1"/>
  <c r="L1002" i="12"/>
  <c r="N1002" i="12" s="1"/>
  <c r="L1001" i="12"/>
  <c r="N1001" i="12" s="1"/>
  <c r="L1000" i="12"/>
  <c r="N1000" i="12" s="1"/>
  <c r="L999" i="12"/>
  <c r="N999" i="12" s="1"/>
  <c r="L239" i="12"/>
  <c r="N239" i="12" s="1"/>
  <c r="L556" i="12"/>
  <c r="N556" i="12" s="1"/>
  <c r="L963" i="12"/>
  <c r="N963" i="12" s="1"/>
  <c r="L962" i="12"/>
  <c r="N962" i="12" s="1"/>
  <c r="L748" i="12"/>
  <c r="N748" i="12" s="1"/>
  <c r="L961" i="12"/>
  <c r="N961" i="12" s="1"/>
  <c r="L918" i="12"/>
  <c r="N918" i="12" s="1"/>
  <c r="L852" i="12"/>
  <c r="N852" i="12" s="1"/>
  <c r="L548" i="12"/>
  <c r="N548" i="12" s="1"/>
  <c r="L590" i="12"/>
  <c r="N590" i="12" s="1"/>
  <c r="L747" i="12"/>
  <c r="N747" i="12" s="1"/>
  <c r="L546" i="12"/>
  <c r="N546" i="12" s="1"/>
  <c r="L547" i="12"/>
  <c r="N547" i="12" s="1"/>
  <c r="L705" i="12"/>
  <c r="N705" i="12" s="1"/>
  <c r="L746" i="12"/>
  <c r="N746" i="12" s="1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L77" i="12"/>
  <c r="N77" i="12" s="1"/>
  <c r="L851" i="12"/>
  <c r="N851" i="12" s="1"/>
  <c r="L76" i="12"/>
  <c r="N76" i="12" s="1"/>
  <c r="L917" i="12"/>
  <c r="N917" i="12" s="1"/>
  <c r="K550" i="12"/>
  <c r="K827" i="12"/>
  <c r="K854" i="12"/>
  <c r="L745" i="12"/>
  <c r="N745" i="12" s="1"/>
  <c r="L744" i="12"/>
  <c r="N744" i="12" s="1"/>
  <c r="L916" i="12"/>
  <c r="N916" i="12" s="1"/>
  <c r="L960" i="12"/>
  <c r="N960" i="12" s="1"/>
  <c r="L743" i="12"/>
  <c r="N743" i="12" s="1"/>
  <c r="L915" i="12"/>
  <c r="N915" i="12" s="1"/>
  <c r="L75" i="12"/>
  <c r="N75" i="12" s="1"/>
  <c r="L881" i="12"/>
  <c r="N881" i="12" s="1"/>
  <c r="H38" i="15"/>
  <c r="I38" i="15"/>
  <c r="J38" i="15"/>
  <c r="K29" i="15"/>
  <c r="K30" i="15"/>
  <c r="J30" i="15"/>
  <c r="L388" i="12"/>
  <c r="N388" i="12" s="1"/>
  <c r="A5" i="16"/>
  <c r="A6" i="16"/>
  <c r="F333" i="12"/>
  <c r="L453" i="12"/>
  <c r="N453" i="12" s="1"/>
  <c r="L850" i="12"/>
  <c r="N850" i="12" s="1"/>
  <c r="L880" i="12"/>
  <c r="N880" i="12" s="1"/>
  <c r="L959" i="12"/>
  <c r="N959" i="12" s="1"/>
  <c r="L879" i="12"/>
  <c r="N879" i="12" s="1"/>
  <c r="L958" i="12"/>
  <c r="N958" i="12" s="1"/>
  <c r="L704" i="12"/>
  <c r="N704" i="12" s="1"/>
  <c r="L849" i="12"/>
  <c r="N849" i="12" s="1"/>
  <c r="L957" i="12"/>
  <c r="N957" i="12" s="1"/>
  <c r="L914" i="12"/>
  <c r="N914" i="12" s="1"/>
  <c r="L956" i="12"/>
  <c r="N956" i="12" s="1"/>
  <c r="L955" i="12"/>
  <c r="N955" i="12" s="1"/>
  <c r="L954" i="12"/>
  <c r="N954" i="12" s="1"/>
  <c r="L878" i="12"/>
  <c r="N878" i="12" s="1"/>
  <c r="L877" i="12"/>
  <c r="N877" i="12" s="1"/>
  <c r="L913" i="12"/>
  <c r="N913" i="12" s="1"/>
  <c r="L912" i="12"/>
  <c r="N912" i="12" s="1"/>
  <c r="L911" i="12"/>
  <c r="N911" i="12" s="1"/>
  <c r="L910" i="12"/>
  <c r="N910" i="12" s="1"/>
  <c r="L953" i="12"/>
  <c r="N953" i="12" s="1"/>
  <c r="L848" i="12"/>
  <c r="N848" i="12" s="1"/>
  <c r="L952" i="12"/>
  <c r="N952" i="12" s="1"/>
  <c r="L909" i="12"/>
  <c r="N909" i="12" s="1"/>
  <c r="L374" i="12"/>
  <c r="N374" i="12" s="1"/>
  <c r="L633" i="12"/>
  <c r="N633" i="12" s="1"/>
  <c r="L632" i="12"/>
  <c r="N632" i="12" s="1"/>
  <c r="L951" i="12"/>
  <c r="N951" i="12" s="1"/>
  <c r="L452" i="12"/>
  <c r="N452" i="12" s="1"/>
  <c r="L742" i="12"/>
  <c r="N742" i="12" s="1"/>
  <c r="L847" i="12"/>
  <c r="N847" i="12" s="1"/>
  <c r="L825" i="12"/>
  <c r="N825" i="12" s="1"/>
  <c r="L876" i="12"/>
  <c r="N876" i="12" s="1"/>
  <c r="L824" i="12"/>
  <c r="N824" i="12" s="1"/>
  <c r="L950" i="12"/>
  <c r="N950" i="12" s="1"/>
  <c r="L773" i="12"/>
  <c r="N773" i="12" s="1"/>
  <c r="L589" i="12"/>
  <c r="N589" i="12" s="1"/>
  <c r="L772" i="12"/>
  <c r="N772" i="12" s="1"/>
  <c r="L451" i="12"/>
  <c r="N451" i="12" s="1"/>
  <c r="L450" i="12"/>
  <c r="N450" i="12" s="1"/>
  <c r="L449" i="12"/>
  <c r="N449" i="12" s="1"/>
  <c r="L631" i="12"/>
  <c r="N631" i="12" s="1"/>
  <c r="L875" i="12"/>
  <c r="N875" i="12" s="1"/>
  <c r="L846" i="12"/>
  <c r="N846" i="12" s="1"/>
  <c r="L874" i="12"/>
  <c r="N874" i="12" s="1"/>
  <c r="L448" i="12"/>
  <c r="N448" i="12" s="1"/>
  <c r="L703" i="12"/>
  <c r="N703" i="12" s="1"/>
  <c r="L447" i="12"/>
  <c r="N447" i="12" s="1"/>
  <c r="W761" i="12"/>
  <c r="L761" i="12"/>
  <c r="N761" i="12" s="1"/>
  <c r="L760" i="12"/>
  <c r="N760" i="12" s="1"/>
  <c r="L759" i="12"/>
  <c r="N759" i="12" s="1"/>
  <c r="L758" i="12"/>
  <c r="N758" i="12" s="1"/>
  <c r="L757" i="12"/>
  <c r="N757" i="12" s="1"/>
  <c r="L756" i="12"/>
  <c r="N756" i="12" s="1"/>
  <c r="L755" i="12"/>
  <c r="N755" i="12" s="1"/>
  <c r="L754" i="12"/>
  <c r="N754" i="12" s="1"/>
  <c r="L753" i="12"/>
  <c r="N753" i="12" s="1"/>
  <c r="L752" i="12"/>
  <c r="L908" i="12"/>
  <c r="N908" i="12" s="1"/>
  <c r="L949" i="12"/>
  <c r="N949" i="12" s="1"/>
  <c r="L907" i="12"/>
  <c r="N907" i="12" s="1"/>
  <c r="L948" i="12"/>
  <c r="N948" i="12" s="1"/>
  <c r="L445" i="12"/>
  <c r="N445" i="12" s="1"/>
  <c r="L741" i="12"/>
  <c r="N741" i="12" s="1"/>
  <c r="W791" i="12"/>
  <c r="F791" i="12" s="1"/>
  <c r="L444" i="12"/>
  <c r="N444" i="12" s="1"/>
  <c r="W996" i="12"/>
  <c r="L996" i="12"/>
  <c r="N996" i="12" s="1"/>
  <c r="N995" i="12"/>
  <c r="N994" i="12"/>
  <c r="N993" i="12"/>
  <c r="L992" i="12"/>
  <c r="N992" i="12" s="1"/>
  <c r="L991" i="12"/>
  <c r="N991" i="12" s="1"/>
  <c r="L990" i="12"/>
  <c r="N990" i="12" s="1"/>
  <c r="L989" i="12"/>
  <c r="N989" i="12" s="1"/>
  <c r="L988" i="12"/>
  <c r="N988" i="12" s="1"/>
  <c r="L987" i="12"/>
  <c r="N987" i="12" s="1"/>
  <c r="L986" i="12"/>
  <c r="N986" i="12" s="1"/>
  <c r="L985" i="12"/>
  <c r="N985" i="12" s="1"/>
  <c r="L984" i="12"/>
  <c r="N984" i="12" s="1"/>
  <c r="L983" i="12"/>
  <c r="N983" i="12" s="1"/>
  <c r="L982" i="12"/>
  <c r="N982" i="12" s="1"/>
  <c r="W932" i="12"/>
  <c r="L932" i="12"/>
  <c r="N932" i="12" s="1"/>
  <c r="L931" i="12"/>
  <c r="N931" i="12" s="1"/>
  <c r="L930" i="12"/>
  <c r="N930" i="12" s="1"/>
  <c r="L929" i="12"/>
  <c r="N929" i="12" s="1"/>
  <c r="L928" i="12"/>
  <c r="N928" i="12" s="1"/>
  <c r="L927" i="12"/>
  <c r="N927" i="12" s="1"/>
  <c r="L926" i="12"/>
  <c r="L925" i="12"/>
  <c r="N925" i="12" s="1"/>
  <c r="L924" i="12"/>
  <c r="N924" i="12" s="1"/>
  <c r="L446" i="12"/>
  <c r="N446" i="12" s="1"/>
  <c r="L6" i="12"/>
  <c r="N6" i="12" s="1"/>
  <c r="L947" i="12"/>
  <c r="N947" i="12" s="1"/>
  <c r="L443" i="12"/>
  <c r="N443" i="12" s="1"/>
  <c r="L442" i="12"/>
  <c r="N442" i="12" s="1"/>
  <c r="L906" i="12"/>
  <c r="N906" i="12" s="1"/>
  <c r="L946" i="12"/>
  <c r="N946" i="12" s="1"/>
  <c r="L740" i="12"/>
  <c r="N740" i="12" s="1"/>
  <c r="L945" i="12"/>
  <c r="N945" i="12" s="1"/>
  <c r="L441" i="12"/>
  <c r="N441" i="12" s="1"/>
  <c r="L823" i="12"/>
  <c r="N823" i="12" s="1"/>
  <c r="L905" i="12"/>
  <c r="N905" i="12" s="1"/>
  <c r="L782" i="12"/>
  <c r="N782" i="12" s="1"/>
  <c r="L440" i="12"/>
  <c r="N440" i="12" s="1"/>
  <c r="L771" i="12"/>
  <c r="N771" i="12" s="1"/>
  <c r="L439" i="12"/>
  <c r="N439" i="12" s="1"/>
  <c r="L739" i="12"/>
  <c r="N739" i="12" s="1"/>
  <c r="L738" i="12"/>
  <c r="N738" i="12" s="1"/>
  <c r="L904" i="12"/>
  <c r="N904" i="12" s="1"/>
  <c r="L373" i="12"/>
  <c r="N373" i="12" s="1"/>
  <c r="L438" i="12"/>
  <c r="N438" i="12" s="1"/>
  <c r="L484" i="12"/>
  <c r="N484" i="12" s="1"/>
  <c r="H70" i="16"/>
  <c r="H84" i="16"/>
  <c r="G84" i="16"/>
  <c r="E84" i="16"/>
  <c r="L903" i="12"/>
  <c r="N903" i="12" s="1"/>
  <c r="L462" i="12"/>
  <c r="N462" i="12" s="1"/>
  <c r="L461" i="12"/>
  <c r="N461" i="12" s="1"/>
  <c r="L902" i="12"/>
  <c r="N902" i="12" s="1"/>
  <c r="L822" i="12"/>
  <c r="N822" i="12" s="1"/>
  <c r="L737" i="12"/>
  <c r="N737" i="12" s="1"/>
  <c r="L821" i="12"/>
  <c r="N821" i="12" s="1"/>
  <c r="L389" i="12"/>
  <c r="N389" i="12" s="1"/>
  <c r="L390" i="12"/>
  <c r="N390" i="12" s="1"/>
  <c r="A8" i="16"/>
  <c r="A9" i="16"/>
  <c r="A10" i="16"/>
  <c r="L901" i="12"/>
  <c r="N901" i="12" s="1"/>
  <c r="L787" i="12"/>
  <c r="N787" i="12" s="1"/>
  <c r="J26" i="15"/>
  <c r="J28" i="15"/>
  <c r="L820" i="12"/>
  <c r="N820" i="12" s="1"/>
  <c r="L555" i="12"/>
  <c r="N555" i="12" s="1"/>
  <c r="L437" i="12"/>
  <c r="N437" i="12" s="1"/>
  <c r="W980" i="12"/>
  <c r="L980" i="12"/>
  <c r="N980" i="12" s="1"/>
  <c r="N979" i="12"/>
  <c r="N978" i="12"/>
  <c r="N977" i="12"/>
  <c r="L976" i="12"/>
  <c r="N976" i="12" s="1"/>
  <c r="L975" i="12"/>
  <c r="N975" i="12" s="1"/>
  <c r="L974" i="12"/>
  <c r="N974" i="12" s="1"/>
  <c r="L973" i="12"/>
  <c r="N973" i="12" s="1"/>
  <c r="L972" i="12"/>
  <c r="N972" i="12" s="1"/>
  <c r="L971" i="12"/>
  <c r="N971" i="12" s="1"/>
  <c r="L970" i="12"/>
  <c r="N970" i="12" s="1"/>
  <c r="L969" i="12"/>
  <c r="N969" i="12" s="1"/>
  <c r="L968" i="12"/>
  <c r="N968" i="12" s="1"/>
  <c r="L967" i="12"/>
  <c r="N967" i="12" s="1"/>
  <c r="L966" i="12"/>
  <c r="N966" i="12" s="1"/>
  <c r="L900" i="12"/>
  <c r="N900" i="12" s="1"/>
  <c r="L736" i="12"/>
  <c r="N736" i="12" s="1"/>
  <c r="L436" i="12"/>
  <c r="N436" i="12" s="1"/>
  <c r="L899" i="12"/>
  <c r="N899" i="12" s="1"/>
  <c r="L630" i="12"/>
  <c r="N630" i="12" s="1"/>
  <c r="L845" i="12"/>
  <c r="N845" i="12" s="1"/>
  <c r="L844" i="12"/>
  <c r="N844" i="12" s="1"/>
  <c r="L735" i="12"/>
  <c r="N735" i="12" s="1"/>
  <c r="L898" i="12"/>
  <c r="N898" i="12" s="1"/>
  <c r="L675" i="12"/>
  <c r="N675" i="12" s="1"/>
  <c r="F870" i="12"/>
  <c r="L629" i="12"/>
  <c r="N629" i="12" s="1"/>
  <c r="G629" i="12"/>
  <c r="G628" i="12"/>
  <c r="L628" i="12"/>
  <c r="N628" i="12" s="1"/>
  <c r="L328" i="12"/>
  <c r="N328" i="12" s="1"/>
  <c r="L588" i="12"/>
  <c r="N588" i="12" s="1"/>
  <c r="L674" i="12"/>
  <c r="N674" i="12" s="1"/>
  <c r="L372" i="12"/>
  <c r="N372" i="12" s="1"/>
  <c r="E64" i="5"/>
  <c r="L843" i="12"/>
  <c r="N843" i="12" s="1"/>
  <c r="L819" i="12"/>
  <c r="N819" i="12" s="1"/>
  <c r="L770" i="12"/>
  <c r="N770" i="12" s="1"/>
  <c r="L897" i="12"/>
  <c r="N897" i="12" s="1"/>
  <c r="L455" i="12"/>
  <c r="N455" i="12" s="1"/>
  <c r="L842" i="12"/>
  <c r="N842" i="12" s="1"/>
  <c r="L435" i="12"/>
  <c r="N435" i="12" s="1"/>
  <c r="L896" i="12"/>
  <c r="N896" i="12" s="1"/>
  <c r="W964" i="12"/>
  <c r="F964" i="12" s="1"/>
  <c r="W922" i="12"/>
  <c r="F922" i="12" s="1"/>
  <c r="W882" i="12"/>
  <c r="W750" i="12"/>
  <c r="F750" i="12" s="1"/>
  <c r="L156" i="12"/>
  <c r="N156" i="12" s="1"/>
  <c r="L781" i="12"/>
  <c r="N781" i="12" s="1"/>
  <c r="L707" i="12"/>
  <c r="L702" i="12"/>
  <c r="N702" i="12" s="1"/>
  <c r="L434" i="12"/>
  <c r="N434" i="12" s="1"/>
  <c r="L732" i="12"/>
  <c r="N732" i="12" s="1"/>
  <c r="L627" i="12"/>
  <c r="N627" i="12" s="1"/>
  <c r="L818" i="12"/>
  <c r="N818" i="12" s="1"/>
  <c r="L885" i="12"/>
  <c r="N885" i="12" s="1"/>
  <c r="L545" i="12"/>
  <c r="N545" i="12" s="1"/>
  <c r="L544" i="12"/>
  <c r="N544" i="12" s="1"/>
  <c r="L432" i="12"/>
  <c r="N432" i="12" s="1"/>
  <c r="L964" i="12"/>
  <c r="L944" i="12"/>
  <c r="N944" i="12" s="1"/>
  <c r="L943" i="12"/>
  <c r="N943" i="12" s="1"/>
  <c r="L942" i="12"/>
  <c r="N942" i="12" s="1"/>
  <c r="L941" i="12"/>
  <c r="N941" i="12" s="1"/>
  <c r="L940" i="12"/>
  <c r="N940" i="12" s="1"/>
  <c r="L939" i="12"/>
  <c r="N939" i="12" s="1"/>
  <c r="L938" i="12"/>
  <c r="N938" i="12" s="1"/>
  <c r="L937" i="12"/>
  <c r="N937" i="12" s="1"/>
  <c r="L936" i="12"/>
  <c r="N936" i="12" s="1"/>
  <c r="L935" i="12"/>
  <c r="N935" i="12" s="1"/>
  <c r="L934" i="12"/>
  <c r="L431" i="12"/>
  <c r="N431" i="12" s="1"/>
  <c r="L817" i="12"/>
  <c r="N817" i="12" s="1"/>
  <c r="L895" i="12"/>
  <c r="N895" i="12" s="1"/>
  <c r="L894" i="12"/>
  <c r="N894" i="12" s="1"/>
  <c r="L893" i="12"/>
  <c r="N893" i="12" s="1"/>
  <c r="L587" i="12"/>
  <c r="N587" i="12" s="1"/>
  <c r="L733" i="12"/>
  <c r="N733" i="12" s="1"/>
  <c r="L734" i="12"/>
  <c r="N734" i="12" s="1"/>
  <c r="L750" i="12"/>
  <c r="L731" i="12"/>
  <c r="N731" i="12" s="1"/>
  <c r="L730" i="12"/>
  <c r="N730" i="12" s="1"/>
  <c r="L816" i="12"/>
  <c r="N816" i="12" s="1"/>
  <c r="L815" i="12"/>
  <c r="N815" i="12" s="1"/>
  <c r="L841" i="12"/>
  <c r="N841" i="12" s="1"/>
  <c r="L814" i="12"/>
  <c r="N814" i="12" s="1"/>
  <c r="L729" i="12"/>
  <c r="N729" i="12" s="1"/>
  <c r="L728" i="12"/>
  <c r="N728" i="12" s="1"/>
  <c r="L727" i="12"/>
  <c r="N727" i="12" s="1"/>
  <c r="L394" i="12"/>
  <c r="N394" i="12" s="1"/>
  <c r="L726" i="12"/>
  <c r="N726" i="12" s="1"/>
  <c r="W676" i="12"/>
  <c r="F676" i="12" s="1"/>
  <c r="W707" i="12"/>
  <c r="F707" i="12" s="1"/>
  <c r="L725" i="12"/>
  <c r="N725" i="12" s="1"/>
  <c r="L769" i="12"/>
  <c r="N769" i="12" s="1"/>
  <c r="L813" i="12"/>
  <c r="N813" i="12" s="1"/>
  <c r="A11" i="16"/>
  <c r="A12" i="16"/>
  <c r="A13" i="16"/>
  <c r="L26" i="12"/>
  <c r="N26" i="12" s="1"/>
  <c r="L28" i="12"/>
  <c r="L724" i="12"/>
  <c r="N724" i="12" s="1"/>
  <c r="L840" i="12"/>
  <c r="N840" i="12" s="1"/>
  <c r="L839" i="12"/>
  <c r="N839" i="12" s="1"/>
  <c r="L723" i="12"/>
  <c r="N723" i="12" s="1"/>
  <c r="L812" i="12"/>
  <c r="N812" i="12" s="1"/>
  <c r="L722" i="12"/>
  <c r="N722" i="12" s="1"/>
  <c r="L721" i="12"/>
  <c r="N721" i="12" s="1"/>
  <c r="L811" i="12"/>
  <c r="N811" i="12" s="1"/>
  <c r="L701" i="12"/>
  <c r="N701" i="12" s="1"/>
  <c r="L720" i="12"/>
  <c r="N720" i="12" s="1"/>
  <c r="L719" i="12"/>
  <c r="N719" i="12" s="1"/>
  <c r="L768" i="12"/>
  <c r="N768" i="12" s="1"/>
  <c r="L586" i="12"/>
  <c r="N586" i="12" s="1"/>
  <c r="L430" i="12"/>
  <c r="N430" i="12" s="1"/>
  <c r="L543" i="12"/>
  <c r="N543" i="12" s="1"/>
  <c r="A14" i="16"/>
  <c r="L393" i="12"/>
  <c r="N393" i="12" s="1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L542" i="12"/>
  <c r="N542" i="12" s="1"/>
  <c r="A30" i="16"/>
  <c r="A31" i="16"/>
  <c r="A32" i="16"/>
  <c r="A33" i="16"/>
  <c r="A34" i="16"/>
  <c r="A35" i="16"/>
  <c r="L922" i="12"/>
  <c r="L892" i="12"/>
  <c r="N892" i="12" s="1"/>
  <c r="L891" i="12"/>
  <c r="N891" i="12" s="1"/>
  <c r="L890" i="12"/>
  <c r="N890" i="12" s="1"/>
  <c r="L889" i="12"/>
  <c r="N889" i="12" s="1"/>
  <c r="L888" i="12"/>
  <c r="N888" i="12" s="1"/>
  <c r="L887" i="12"/>
  <c r="N887" i="12" s="1"/>
  <c r="L886" i="12"/>
  <c r="N886" i="12" s="1"/>
  <c r="L884" i="12"/>
  <c r="N884" i="12" s="1"/>
  <c r="L541" i="12"/>
  <c r="N541" i="12" s="1"/>
  <c r="L810" i="12"/>
  <c r="N810" i="12" s="1"/>
  <c r="L809" i="12"/>
  <c r="N809" i="12" s="1"/>
  <c r="L540" i="12"/>
  <c r="N540" i="12" s="1"/>
  <c r="L808" i="12"/>
  <c r="N808" i="12" s="1"/>
  <c r="L838" i="12"/>
  <c r="N838" i="12" s="1"/>
  <c r="L837" i="12"/>
  <c r="N837" i="12" s="1"/>
  <c r="L433" i="12"/>
  <c r="N433" i="12" s="1"/>
  <c r="L673" i="12"/>
  <c r="N673" i="12" s="1"/>
  <c r="L807" i="12"/>
  <c r="N807" i="12" s="1"/>
  <c r="L429" i="12"/>
  <c r="N429" i="12" s="1"/>
  <c r="L882" i="12"/>
  <c r="N882" i="12" s="1"/>
  <c r="L873" i="12"/>
  <c r="N873" i="12" s="1"/>
  <c r="L872" i="12"/>
  <c r="N872" i="12" s="1"/>
  <c r="L871" i="12"/>
  <c r="N871" i="12" s="1"/>
  <c r="L870" i="12"/>
  <c r="N870" i="12" s="1"/>
  <c r="L869" i="12"/>
  <c r="N869" i="12" s="1"/>
  <c r="L868" i="12"/>
  <c r="N868" i="12" s="1"/>
  <c r="L867" i="12"/>
  <c r="N867" i="12" s="1"/>
  <c r="L866" i="12"/>
  <c r="L672" i="12"/>
  <c r="N672" i="12" s="1"/>
  <c r="L806" i="12"/>
  <c r="N806" i="12" s="1"/>
  <c r="L538" i="12"/>
  <c r="N538" i="12" s="1"/>
  <c r="L539" i="12"/>
  <c r="N539" i="12" s="1"/>
  <c r="L537" i="12"/>
  <c r="N537" i="12" s="1"/>
  <c r="D15" i="15"/>
  <c r="L395" i="12"/>
  <c r="N395" i="12" s="1"/>
  <c r="L392" i="12"/>
  <c r="N392" i="12" s="1"/>
  <c r="L391" i="12"/>
  <c r="N391" i="12" s="1"/>
  <c r="L217" i="12"/>
  <c r="N217" i="12" s="1"/>
  <c r="A36" i="16"/>
  <c r="A37" i="16"/>
  <c r="L80" i="12"/>
  <c r="N80" i="12" s="1"/>
  <c r="A38" i="16"/>
  <c r="L700" i="12"/>
  <c r="N700" i="12" s="1"/>
  <c r="L805" i="12"/>
  <c r="N805" i="12" s="1"/>
  <c r="L836" i="12"/>
  <c r="N836" i="12" s="1"/>
  <c r="L536" i="12"/>
  <c r="N536" i="12" s="1"/>
  <c r="L535" i="12"/>
  <c r="N535" i="12" s="1"/>
  <c r="L699" i="12"/>
  <c r="N699" i="12" s="1"/>
  <c r="L698" i="12"/>
  <c r="N698" i="12" s="1"/>
  <c r="L767" i="12"/>
  <c r="N767" i="12" s="1"/>
  <c r="L780" i="12"/>
  <c r="N780" i="12" s="1"/>
  <c r="L585" i="12"/>
  <c r="N585" i="12" s="1"/>
  <c r="A39" i="16"/>
  <c r="A40" i="16"/>
  <c r="A41" i="16"/>
  <c r="A42" i="16"/>
  <c r="A43" i="16"/>
  <c r="L584" i="12"/>
  <c r="N584" i="12" s="1"/>
  <c r="L583" i="12"/>
  <c r="N583" i="12" s="1"/>
  <c r="L531" i="12"/>
  <c r="N531" i="12" s="1"/>
  <c r="L530" i="12"/>
  <c r="N530" i="12" s="1"/>
  <c r="L532" i="12"/>
  <c r="N532" i="12" s="1"/>
  <c r="L533" i="12"/>
  <c r="N533" i="12" s="1"/>
  <c r="L534" i="12"/>
  <c r="N534" i="12" s="1"/>
  <c r="L801" i="12"/>
  <c r="N801" i="12" s="1"/>
  <c r="L802" i="12"/>
  <c r="N802" i="12" s="1"/>
  <c r="L803" i="12"/>
  <c r="N803" i="12" s="1"/>
  <c r="L804" i="12"/>
  <c r="N804" i="12" s="1"/>
  <c r="L582" i="12"/>
  <c r="N582" i="12" s="1"/>
  <c r="A44" i="16"/>
  <c r="A45" i="16"/>
  <c r="L258" i="12"/>
  <c r="M258" i="12" s="1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L428" i="12"/>
  <c r="N428" i="12" s="1"/>
  <c r="D44" i="15"/>
  <c r="D46" i="15"/>
  <c r="L581" i="12"/>
  <c r="N581" i="12" s="1"/>
  <c r="L697" i="12"/>
  <c r="N697" i="12" s="1"/>
  <c r="L529" i="12"/>
  <c r="N529" i="12" s="1"/>
  <c r="L550" i="12"/>
  <c r="W827" i="12"/>
  <c r="F827" i="12" s="1"/>
  <c r="W854" i="12"/>
  <c r="F854" i="12" s="1"/>
  <c r="L783" i="12"/>
  <c r="W783" i="12"/>
  <c r="F783" i="12" s="1"/>
  <c r="W775" i="12"/>
  <c r="F775" i="12" s="1"/>
  <c r="L626" i="12"/>
  <c r="N626" i="12" s="1"/>
  <c r="L145" i="12"/>
  <c r="N145" i="12" s="1"/>
  <c r="L27" i="12"/>
  <c r="N27" i="12" s="1"/>
  <c r="L864" i="12"/>
  <c r="N864" i="12" s="1"/>
  <c r="L863" i="12"/>
  <c r="N863" i="12" s="1"/>
  <c r="L862" i="12"/>
  <c r="N862" i="12" s="1"/>
  <c r="L861" i="12"/>
  <c r="N861" i="12" s="1"/>
  <c r="L860" i="12"/>
  <c r="N860" i="12" s="1"/>
  <c r="L859" i="12"/>
  <c r="N859" i="12" s="1"/>
  <c r="L858" i="12"/>
  <c r="N858" i="12" s="1"/>
  <c r="L857" i="12"/>
  <c r="N857" i="12" s="1"/>
  <c r="L856" i="12"/>
  <c r="N856" i="12" s="1"/>
  <c r="L854" i="12"/>
  <c r="L835" i="12"/>
  <c r="N835" i="12" s="1"/>
  <c r="L834" i="12"/>
  <c r="N834" i="12" s="1"/>
  <c r="L833" i="12"/>
  <c r="N833" i="12" s="1"/>
  <c r="L832" i="12"/>
  <c r="N832" i="12" s="1"/>
  <c r="L831" i="12"/>
  <c r="N831" i="12" s="1"/>
  <c r="L830" i="12"/>
  <c r="N830" i="12" s="1"/>
  <c r="L829" i="12"/>
  <c r="N829" i="12" s="1"/>
  <c r="L695" i="12"/>
  <c r="N695" i="12" s="1"/>
  <c r="L671" i="12"/>
  <c r="N671" i="12" s="1"/>
  <c r="L528" i="12"/>
  <c r="N528" i="12" s="1"/>
  <c r="L527" i="12"/>
  <c r="N527" i="12" s="1"/>
  <c r="L688" i="12"/>
  <c r="N688" i="12" s="1"/>
  <c r="L580" i="12"/>
  <c r="N580" i="12" s="1"/>
  <c r="L426" i="12"/>
  <c r="N426" i="12" s="1"/>
  <c r="D17" i="15"/>
  <c r="L579" i="12"/>
  <c r="N579" i="12" s="1"/>
  <c r="L427" i="12"/>
  <c r="N427" i="12" s="1"/>
  <c r="L670" i="12"/>
  <c r="N670" i="12" s="1"/>
  <c r="L425" i="12"/>
  <c r="N425" i="12" s="1"/>
  <c r="L795" i="12"/>
  <c r="N795" i="12" s="1"/>
  <c r="L796" i="12"/>
  <c r="N796" i="12" s="1"/>
  <c r="L797" i="12"/>
  <c r="N797" i="12" s="1"/>
  <c r="L798" i="12"/>
  <c r="N798" i="12" s="1"/>
  <c r="L799" i="12"/>
  <c r="N799" i="12" s="1"/>
  <c r="L800" i="12"/>
  <c r="N800" i="12" s="1"/>
  <c r="L827" i="12"/>
  <c r="L716" i="12"/>
  <c r="N716" i="12" s="1"/>
  <c r="L717" i="12"/>
  <c r="N717" i="12" s="1"/>
  <c r="L718" i="12"/>
  <c r="N718" i="12" s="1"/>
  <c r="L765" i="12"/>
  <c r="N765" i="12" s="1"/>
  <c r="L766" i="12"/>
  <c r="N766" i="12" s="1"/>
  <c r="L775" i="12"/>
  <c r="L424" i="12"/>
  <c r="N424" i="12" s="1"/>
  <c r="L669" i="12"/>
  <c r="N669" i="12" s="1"/>
  <c r="G669" i="12"/>
  <c r="W550" i="12"/>
  <c r="F550" i="12" s="1"/>
  <c r="L526" i="12"/>
  <c r="N526" i="12" s="1"/>
  <c r="L74" i="12"/>
  <c r="N74" i="12" s="1"/>
  <c r="K676" i="12"/>
  <c r="W689" i="12"/>
  <c r="F689" i="12" s="1"/>
  <c r="L668" i="12"/>
  <c r="N668" i="12" s="1"/>
  <c r="L667" i="12"/>
  <c r="N667" i="12" s="1"/>
  <c r="L625" i="12"/>
  <c r="N625" i="12" s="1"/>
  <c r="L696" i="12"/>
  <c r="N696" i="12" s="1"/>
  <c r="L666" i="12"/>
  <c r="N666" i="12" s="1"/>
  <c r="L794" i="12"/>
  <c r="N794" i="12" s="1"/>
  <c r="L793" i="12"/>
  <c r="G335" i="12"/>
  <c r="L423" i="12"/>
  <c r="N423" i="12" s="1"/>
  <c r="L624" i="12"/>
  <c r="N624" i="12" s="1"/>
  <c r="L371" i="12"/>
  <c r="N371" i="12" s="1"/>
  <c r="L73" i="12"/>
  <c r="N73" i="12" s="1"/>
  <c r="L370" i="12"/>
  <c r="N370" i="12" s="1"/>
  <c r="L623" i="12"/>
  <c r="N623" i="12" s="1"/>
  <c r="L791" i="12"/>
  <c r="L786" i="12"/>
  <c r="N786" i="12" s="1"/>
  <c r="L785" i="12"/>
  <c r="N785" i="12" s="1"/>
  <c r="L622" i="12"/>
  <c r="N622" i="12" s="1"/>
  <c r="W557" i="12"/>
  <c r="F557" i="12" s="1"/>
  <c r="K634" i="12"/>
  <c r="L621" i="12"/>
  <c r="N621" i="12" s="1"/>
  <c r="L694" i="12"/>
  <c r="N694" i="12" s="1"/>
  <c r="L369" i="12"/>
  <c r="N369" i="12" s="1"/>
  <c r="L665" i="12"/>
  <c r="N665" i="12" s="1"/>
  <c r="L483" i="12"/>
  <c r="N483" i="12" s="1"/>
  <c r="L422" i="12"/>
  <c r="N422" i="12" s="1"/>
  <c r="L620" i="12"/>
  <c r="N620" i="12" s="1"/>
  <c r="L421" i="12"/>
  <c r="N421" i="12" s="1"/>
  <c r="L420" i="12"/>
  <c r="N420" i="12" s="1"/>
  <c r="L419" i="12"/>
  <c r="N419" i="12" s="1"/>
  <c r="L619" i="12"/>
  <c r="N619" i="12" s="1"/>
  <c r="L687" i="12"/>
  <c r="N687" i="12" s="1"/>
  <c r="L779" i="12"/>
  <c r="N779" i="12" s="1"/>
  <c r="L778" i="12"/>
  <c r="N778" i="12" s="1"/>
  <c r="L777" i="12"/>
  <c r="N777" i="12" s="1"/>
  <c r="L764" i="12"/>
  <c r="N764" i="12" s="1"/>
  <c r="L763" i="12"/>
  <c r="L618" i="12"/>
  <c r="N618" i="12" s="1"/>
  <c r="L664" i="12"/>
  <c r="N664" i="12" s="1"/>
  <c r="L663" i="12"/>
  <c r="N663" i="12" s="1"/>
  <c r="L686" i="12"/>
  <c r="N686" i="12" s="1"/>
  <c r="L109" i="12"/>
  <c r="M109" i="12" s="1"/>
  <c r="L617" i="12"/>
  <c r="N617" i="12" s="1"/>
  <c r="L616" i="12"/>
  <c r="N616" i="12" s="1"/>
  <c r="L615" i="12"/>
  <c r="N615" i="12" s="1"/>
  <c r="L662" i="12"/>
  <c r="N662" i="12" s="1"/>
  <c r="L614" i="12"/>
  <c r="N614" i="12" s="1"/>
  <c r="L661" i="12"/>
  <c r="N661" i="12" s="1"/>
  <c r="L660" i="12"/>
  <c r="N660" i="12" s="1"/>
  <c r="L659" i="12"/>
  <c r="N659" i="12" s="1"/>
  <c r="L144" i="12"/>
  <c r="N144" i="12" s="1"/>
  <c r="L685" i="12"/>
  <c r="N685" i="12" s="1"/>
  <c r="L368" i="12"/>
  <c r="N368" i="12" s="1"/>
  <c r="L367" i="12"/>
  <c r="N367" i="12" s="1"/>
  <c r="L418" i="12"/>
  <c r="N418" i="12" s="1"/>
  <c r="L578" i="12"/>
  <c r="N578" i="12" s="1"/>
  <c r="L684" i="12"/>
  <c r="N684" i="12" s="1"/>
  <c r="L683" i="12"/>
  <c r="N683" i="12" s="1"/>
  <c r="L658" i="12"/>
  <c r="N658" i="12" s="1"/>
  <c r="L577" i="12"/>
  <c r="N577" i="12" s="1"/>
  <c r="L682" i="12"/>
  <c r="N682" i="12" s="1"/>
  <c r="L417" i="12"/>
  <c r="N417" i="12" s="1"/>
  <c r="L408" i="12"/>
  <c r="N408" i="12" s="1"/>
  <c r="F84" i="14"/>
  <c r="L416" i="12"/>
  <c r="N416" i="12" s="1"/>
  <c r="L657" i="12"/>
  <c r="N657" i="12" s="1"/>
  <c r="L275" i="12"/>
  <c r="L415" i="12"/>
  <c r="N415" i="12" s="1"/>
  <c r="G64" i="5"/>
  <c r="L366" i="12"/>
  <c r="N366" i="12" s="1"/>
  <c r="L365" i="12"/>
  <c r="N365" i="12" s="1"/>
  <c r="L613" i="12"/>
  <c r="N613" i="12" s="1"/>
  <c r="T595" i="12"/>
  <c r="L595" i="12"/>
  <c r="L414" i="12"/>
  <c r="N414" i="12" s="1"/>
  <c r="K337" i="1"/>
  <c r="L337" i="1"/>
  <c r="L612" i="12"/>
  <c r="N612" i="12" s="1"/>
  <c r="L611" i="12"/>
  <c r="N611" i="12" s="1"/>
  <c r="L413" i="12"/>
  <c r="N413" i="12" s="1"/>
  <c r="L610" i="12"/>
  <c r="N610" i="12" s="1"/>
  <c r="L609" i="12"/>
  <c r="N609" i="12" s="1"/>
  <c r="G512" i="12"/>
  <c r="L206" i="12"/>
  <c r="W647" i="12"/>
  <c r="F647" i="12" s="1"/>
  <c r="L689" i="12"/>
  <c r="L482" i="12"/>
  <c r="N482" i="12" s="1"/>
  <c r="L651" i="12"/>
  <c r="N651" i="12" s="1"/>
  <c r="L652" i="12"/>
  <c r="N652" i="12" s="1"/>
  <c r="L653" i="12"/>
  <c r="N653" i="12" s="1"/>
  <c r="L654" i="12"/>
  <c r="N654" i="12" s="1"/>
  <c r="L655" i="12"/>
  <c r="N655" i="12" s="1"/>
  <c r="L656" i="12"/>
  <c r="N656" i="12" s="1"/>
  <c r="L676" i="12"/>
  <c r="L608" i="12"/>
  <c r="N608" i="12" s="1"/>
  <c r="L650" i="12"/>
  <c r="N650" i="12" s="1"/>
  <c r="L387" i="12"/>
  <c r="L715" i="12"/>
  <c r="N715" i="12" s="1"/>
  <c r="L714" i="12"/>
  <c r="N714" i="12" s="1"/>
  <c r="L713" i="12"/>
  <c r="N713" i="12" s="1"/>
  <c r="L681" i="12"/>
  <c r="N681" i="12" s="1"/>
  <c r="L412" i="12"/>
  <c r="N412" i="12" s="1"/>
  <c r="L576" i="12"/>
  <c r="N576" i="12" s="1"/>
  <c r="L364" i="12"/>
  <c r="N364" i="12" s="1"/>
  <c r="L411" i="12"/>
  <c r="N411" i="12" s="1"/>
  <c r="L711" i="12"/>
  <c r="N711" i="12" s="1"/>
  <c r="L710" i="12"/>
  <c r="N710" i="12" s="1"/>
  <c r="L709" i="12"/>
  <c r="L607" i="12"/>
  <c r="N607" i="12" s="1"/>
  <c r="L605" i="12"/>
  <c r="N605" i="12" s="1"/>
  <c r="L693" i="12"/>
  <c r="N693" i="12" s="1"/>
  <c r="L692" i="12"/>
  <c r="N692" i="12" s="1"/>
  <c r="L691" i="12"/>
  <c r="N691" i="12" s="1"/>
  <c r="L363" i="12"/>
  <c r="N363" i="12" s="1"/>
  <c r="L410" i="12"/>
  <c r="N410" i="12" s="1"/>
  <c r="H409" i="12"/>
  <c r="L409" i="12"/>
  <c r="N409" i="12" s="1"/>
  <c r="F409" i="12"/>
  <c r="L606" i="12"/>
  <c r="N606" i="12" s="1"/>
  <c r="L680" i="12"/>
  <c r="N680" i="12" s="1"/>
  <c r="L679" i="12"/>
  <c r="N679" i="12" s="1"/>
  <c r="L678" i="12"/>
  <c r="F572" i="12"/>
  <c r="H575" i="12"/>
  <c r="L575" i="12"/>
  <c r="N575" i="12" s="1"/>
  <c r="L604" i="12"/>
  <c r="N604" i="12" s="1"/>
  <c r="L574" i="12"/>
  <c r="N574" i="12" s="1"/>
  <c r="L573" i="12"/>
  <c r="N573" i="12" s="1"/>
  <c r="L572" i="12"/>
  <c r="N572" i="12" s="1"/>
  <c r="W634" i="12"/>
  <c r="F634" i="12" s="1"/>
  <c r="W593" i="12"/>
  <c r="F593" i="12" s="1"/>
  <c r="L649" i="12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N649" i="12"/>
  <c r="F50" i="14"/>
  <c r="F184" i="14"/>
  <c r="L407" i="12"/>
  <c r="N407" i="12" s="1"/>
  <c r="L481" i="12"/>
  <c r="N481" i="12" s="1"/>
  <c r="L646" i="12"/>
  <c r="N646" i="12" s="1"/>
  <c r="L480" i="12"/>
  <c r="N480" i="12" s="1"/>
  <c r="L519" i="12"/>
  <c r="N519" i="12" s="1"/>
  <c r="L362" i="12"/>
  <c r="N362" i="12" s="1"/>
  <c r="L143" i="12"/>
  <c r="N143" i="12" s="1"/>
  <c r="L479" i="12"/>
  <c r="N479" i="12" s="1"/>
  <c r="L292" i="12"/>
  <c r="N292" i="12" s="1"/>
  <c r="L406" i="12"/>
  <c r="N406" i="12" s="1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J50" i="14"/>
  <c r="L343" i="12"/>
  <c r="M343" i="12" s="1"/>
  <c r="L475" i="12"/>
  <c r="N475" i="12" s="1"/>
  <c r="L476" i="12"/>
  <c r="N476" i="12" s="1"/>
  <c r="L477" i="12"/>
  <c r="N477" i="12" s="1"/>
  <c r="L478" i="12"/>
  <c r="N478" i="12" s="1"/>
  <c r="L645" i="12"/>
  <c r="N645" i="12" s="1"/>
  <c r="L647" i="12"/>
  <c r="L600" i="12"/>
  <c r="N600" i="12" s="1"/>
  <c r="L405" i="12"/>
  <c r="N405" i="12" s="1"/>
  <c r="L360" i="12"/>
  <c r="N360" i="12" s="1"/>
  <c r="L361" i="12"/>
  <c r="N361" i="12" s="1"/>
  <c r="L401" i="12"/>
  <c r="N401" i="12" s="1"/>
  <c r="L402" i="12"/>
  <c r="N402" i="12" s="1"/>
  <c r="L404" i="12"/>
  <c r="N404" i="12" s="1"/>
  <c r="L359" i="12"/>
  <c r="N359" i="12" s="1"/>
  <c r="L358" i="12"/>
  <c r="N358" i="12" s="1"/>
  <c r="L29" i="12"/>
  <c r="N29" i="12" s="1"/>
  <c r="L403" i="12"/>
  <c r="N403" i="12" s="1"/>
  <c r="L637" i="12"/>
  <c r="N637" i="12" s="1"/>
  <c r="L638" i="12"/>
  <c r="N638" i="12" s="1"/>
  <c r="L639" i="12"/>
  <c r="N639" i="12" s="1"/>
  <c r="L640" i="12"/>
  <c r="N640" i="12" s="1"/>
  <c r="L641" i="12"/>
  <c r="N641" i="12" s="1"/>
  <c r="L642" i="12"/>
  <c r="N642" i="12" s="1"/>
  <c r="L643" i="12"/>
  <c r="N643" i="12" s="1"/>
  <c r="L636" i="12"/>
  <c r="N636" i="12" s="1"/>
  <c r="L518" i="12"/>
  <c r="N518" i="12" s="1"/>
  <c r="L357" i="12"/>
  <c r="N357" i="12" s="1"/>
  <c r="L335" i="12"/>
  <c r="M335" i="12" s="1"/>
  <c r="L385" i="12"/>
  <c r="L517" i="12"/>
  <c r="N517" i="12" s="1"/>
  <c r="L13" i="12"/>
  <c r="L516" i="12"/>
  <c r="N516" i="12" s="1"/>
  <c r="L355" i="12"/>
  <c r="N355" i="12" s="1"/>
  <c r="L515" i="12"/>
  <c r="N515" i="12" s="1"/>
  <c r="L514" i="12"/>
  <c r="N514" i="12" s="1"/>
  <c r="L596" i="12"/>
  <c r="L597" i="12"/>
  <c r="N597" i="12" s="1"/>
  <c r="L598" i="12"/>
  <c r="N598" i="12" s="1"/>
  <c r="L599" i="12"/>
  <c r="N599" i="12" s="1"/>
  <c r="L601" i="12"/>
  <c r="N601" i="12" s="1"/>
  <c r="L602" i="12"/>
  <c r="N602" i="12" s="1"/>
  <c r="L603" i="12"/>
  <c r="N603" i="12" s="1"/>
  <c r="L634" i="12"/>
  <c r="W78" i="12"/>
  <c r="H78" i="12" s="1"/>
  <c r="L78" i="12" s="1"/>
  <c r="N78" i="12" s="1"/>
  <c r="W485" i="12"/>
  <c r="H485" i="12" s="1"/>
  <c r="L485" i="12" s="1"/>
  <c r="N485" i="12" s="1"/>
  <c r="W520" i="12"/>
  <c r="H520" i="12" s="1"/>
  <c r="L520" i="12" s="1"/>
  <c r="L512" i="12"/>
  <c r="N512" i="12" s="1"/>
  <c r="L511" i="12"/>
  <c r="N511" i="12" s="1"/>
  <c r="L474" i="12"/>
  <c r="N474" i="12" s="1"/>
  <c r="D571" i="12"/>
  <c r="L104" i="12"/>
  <c r="M104" i="12" s="1"/>
  <c r="M111" i="12" s="1"/>
  <c r="L51" i="12"/>
  <c r="N51" i="12" s="1"/>
  <c r="L52" i="12"/>
  <c r="F52" i="12" s="1"/>
  <c r="N52" i="12" s="1"/>
  <c r="L33" i="12"/>
  <c r="N33" i="12" s="1"/>
  <c r="L34" i="12"/>
  <c r="N34" i="12" s="1"/>
  <c r="L498" i="12"/>
  <c r="N498" i="12" s="1"/>
  <c r="L513" i="12"/>
  <c r="N513" i="12" s="1"/>
  <c r="L510" i="12"/>
  <c r="N510" i="12" s="1"/>
  <c r="L509" i="12"/>
  <c r="N509" i="12" s="1"/>
  <c r="L508" i="12"/>
  <c r="N508" i="12" s="1"/>
  <c r="L383" i="12"/>
  <c r="N383" i="12" s="1"/>
  <c r="L506" i="12"/>
  <c r="N506" i="12" s="1"/>
  <c r="L507" i="12"/>
  <c r="N507" i="12" s="1"/>
  <c r="L356" i="12"/>
  <c r="N356" i="12" s="1"/>
  <c r="L565" i="12"/>
  <c r="N565" i="12" s="1"/>
  <c r="L566" i="12"/>
  <c r="N566" i="12" s="1"/>
  <c r="L567" i="12"/>
  <c r="N567" i="12" s="1"/>
  <c r="L505" i="12"/>
  <c r="N505" i="12" s="1"/>
  <c r="L399" i="12"/>
  <c r="N399" i="12" s="1"/>
  <c r="K402" i="13"/>
  <c r="N402" i="13"/>
  <c r="K403" i="13"/>
  <c r="N403" i="13"/>
  <c r="K404" i="13"/>
  <c r="N404" i="13"/>
  <c r="K405" i="13"/>
  <c r="N405" i="13"/>
  <c r="N406" i="13"/>
  <c r="K397" i="13"/>
  <c r="N397" i="13"/>
  <c r="K398" i="13"/>
  <c r="N398" i="13"/>
  <c r="K399" i="13"/>
  <c r="N399" i="13"/>
  <c r="K400" i="13"/>
  <c r="N400" i="13"/>
  <c r="N401" i="13"/>
  <c r="K373" i="13"/>
  <c r="N373" i="13"/>
  <c r="K374" i="13"/>
  <c r="N374" i="13"/>
  <c r="K375" i="13"/>
  <c r="N375" i="13"/>
  <c r="K376" i="13"/>
  <c r="N376" i="13"/>
  <c r="K377" i="13"/>
  <c r="N377" i="13"/>
  <c r="K378" i="13"/>
  <c r="N378" i="13"/>
  <c r="G379" i="13"/>
  <c r="K379" i="13"/>
  <c r="N379" i="13"/>
  <c r="E380" i="13"/>
  <c r="G380" i="13"/>
  <c r="K380" i="13"/>
  <c r="N380" i="13"/>
  <c r="K381" i="13"/>
  <c r="N381" i="13"/>
  <c r="K382" i="13"/>
  <c r="N382" i="13"/>
  <c r="K383" i="13"/>
  <c r="N383" i="13"/>
  <c r="K384" i="13"/>
  <c r="N384" i="13"/>
  <c r="K385" i="13"/>
  <c r="N385" i="13"/>
  <c r="K386" i="13"/>
  <c r="N386" i="13"/>
  <c r="K387" i="13"/>
  <c r="N387" i="13"/>
  <c r="K388" i="13"/>
  <c r="N388" i="13"/>
  <c r="K389" i="13"/>
  <c r="N389" i="13"/>
  <c r="K390" i="13"/>
  <c r="N390" i="13"/>
  <c r="K391" i="13"/>
  <c r="N391" i="13"/>
  <c r="K392" i="13"/>
  <c r="N392" i="13"/>
  <c r="K393" i="13"/>
  <c r="N393" i="13"/>
  <c r="K394" i="13"/>
  <c r="N394" i="13"/>
  <c r="U395" i="13"/>
  <c r="G395" i="13"/>
  <c r="K395" i="13"/>
  <c r="N395" i="13"/>
  <c r="N396" i="13"/>
  <c r="L421" i="13"/>
  <c r="C421" i="13"/>
  <c r="K420" i="13"/>
  <c r="N420" i="13"/>
  <c r="K419" i="13"/>
  <c r="M419" i="13"/>
  <c r="N419" i="13"/>
  <c r="K418" i="13"/>
  <c r="N418" i="13"/>
  <c r="M418" i="13"/>
  <c r="K417" i="13"/>
  <c r="N417" i="13"/>
  <c r="N421" i="13"/>
  <c r="L416" i="13"/>
  <c r="C416" i="13"/>
  <c r="K415" i="13"/>
  <c r="N415" i="13"/>
  <c r="M415" i="13"/>
  <c r="K414" i="13"/>
  <c r="N414" i="13"/>
  <c r="M414" i="13"/>
  <c r="K413" i="13"/>
  <c r="N413" i="13"/>
  <c r="M413" i="13"/>
  <c r="K412" i="13"/>
  <c r="L411" i="13"/>
  <c r="K410" i="13"/>
  <c r="N410" i="13"/>
  <c r="K409" i="13"/>
  <c r="N409" i="13"/>
  <c r="K408" i="13"/>
  <c r="N408" i="13"/>
  <c r="K407" i="13"/>
  <c r="N407" i="13"/>
  <c r="N411" i="13"/>
  <c r="M407" i="13"/>
  <c r="K411" i="13"/>
  <c r="L406" i="13"/>
  <c r="M405" i="13"/>
  <c r="M404" i="13"/>
  <c r="M403" i="13"/>
  <c r="M402" i="13"/>
  <c r="L401" i="13"/>
  <c r="M400" i="13"/>
  <c r="M399" i="13"/>
  <c r="M398" i="13"/>
  <c r="K401" i="13"/>
  <c r="L396" i="13"/>
  <c r="M395" i="13"/>
  <c r="M381" i="13"/>
  <c r="M378" i="13"/>
  <c r="M377" i="13"/>
  <c r="M376" i="13"/>
  <c r="M375" i="13"/>
  <c r="M373" i="13"/>
  <c r="L372" i="13"/>
  <c r="U371" i="13"/>
  <c r="G371" i="13"/>
  <c r="K371" i="13"/>
  <c r="K370" i="13"/>
  <c r="N370" i="13"/>
  <c r="K369" i="13"/>
  <c r="N369" i="13"/>
  <c r="K368" i="13"/>
  <c r="N368" i="13"/>
  <c r="M368" i="13"/>
  <c r="K367" i="13"/>
  <c r="K366" i="13"/>
  <c r="N366" i="13"/>
  <c r="M366" i="13"/>
  <c r="K365" i="13"/>
  <c r="N365" i="13"/>
  <c r="M365" i="13"/>
  <c r="K364" i="13"/>
  <c r="N364" i="13"/>
  <c r="M364" i="13"/>
  <c r="K363" i="13"/>
  <c r="K362" i="13"/>
  <c r="N362" i="13"/>
  <c r="M362" i="13"/>
  <c r="K361" i="13"/>
  <c r="N361" i="13"/>
  <c r="M361" i="13"/>
  <c r="K360" i="13"/>
  <c r="N360" i="13"/>
  <c r="M360" i="13"/>
  <c r="K359" i="13"/>
  <c r="E359" i="13"/>
  <c r="K358" i="13"/>
  <c r="N358" i="13"/>
  <c r="M358" i="13"/>
  <c r="K357" i="13"/>
  <c r="N357" i="13"/>
  <c r="K356" i="13"/>
  <c r="N356" i="13"/>
  <c r="K355" i="13"/>
  <c r="K354" i="13"/>
  <c r="N354" i="13"/>
  <c r="M354" i="13"/>
  <c r="L353" i="13"/>
  <c r="G352" i="13"/>
  <c r="K352" i="13"/>
  <c r="G351" i="13"/>
  <c r="K351" i="13"/>
  <c r="N351" i="13"/>
  <c r="M351" i="13"/>
  <c r="K350" i="13"/>
  <c r="N350" i="13"/>
  <c r="K349" i="13"/>
  <c r="N349" i="13"/>
  <c r="M349" i="13"/>
  <c r="K348" i="13"/>
  <c r="K347" i="13"/>
  <c r="N347" i="13"/>
  <c r="M347" i="13"/>
  <c r="L346" i="13"/>
  <c r="U345" i="13"/>
  <c r="G345" i="13"/>
  <c r="K345" i="13"/>
  <c r="K344" i="13"/>
  <c r="N344" i="13"/>
  <c r="K343" i="13"/>
  <c r="N343" i="13"/>
  <c r="K342" i="13"/>
  <c r="M342" i="13"/>
  <c r="N342" i="13"/>
  <c r="K341" i="13"/>
  <c r="M341" i="13"/>
  <c r="N341" i="13"/>
  <c r="K340" i="13"/>
  <c r="M340" i="13"/>
  <c r="K339" i="13"/>
  <c r="N339" i="13"/>
  <c r="M339" i="13"/>
  <c r="K338" i="13"/>
  <c r="M338" i="13"/>
  <c r="N338" i="13"/>
  <c r="K337" i="13"/>
  <c r="E337" i="13"/>
  <c r="L336" i="13"/>
  <c r="U335" i="13"/>
  <c r="G335" i="13"/>
  <c r="K335" i="13"/>
  <c r="M335" i="13"/>
  <c r="N335" i="13"/>
  <c r="K334" i="13"/>
  <c r="N334" i="13"/>
  <c r="K333" i="13"/>
  <c r="E333" i="13"/>
  <c r="N333" i="13"/>
  <c r="K332" i="13"/>
  <c r="N332" i="13"/>
  <c r="M332" i="13"/>
  <c r="K331" i="13"/>
  <c r="N331" i="13"/>
  <c r="M331" i="13"/>
  <c r="K330" i="13"/>
  <c r="K329" i="13"/>
  <c r="N329" i="13"/>
  <c r="M329" i="13"/>
  <c r="K328" i="13"/>
  <c r="E328" i="13"/>
  <c r="N328" i="13"/>
  <c r="K327" i="13"/>
  <c r="N327" i="13"/>
  <c r="K326" i="13"/>
  <c r="E326" i="13"/>
  <c r="K325" i="13"/>
  <c r="E325" i="13"/>
  <c r="K324" i="13"/>
  <c r="N324" i="13"/>
  <c r="M324" i="13"/>
  <c r="K323" i="13"/>
  <c r="K322" i="13"/>
  <c r="N322" i="13"/>
  <c r="M322" i="13"/>
  <c r="K321" i="13"/>
  <c r="N321" i="13"/>
  <c r="M321" i="13"/>
  <c r="K320" i="13"/>
  <c r="N320" i="13"/>
  <c r="M320" i="13"/>
  <c r="K319" i="13"/>
  <c r="L318" i="13"/>
  <c r="U317" i="13"/>
  <c r="G317" i="13"/>
  <c r="K317" i="13"/>
  <c r="M317" i="13"/>
  <c r="N317" i="13"/>
  <c r="K316" i="13"/>
  <c r="K315" i="13"/>
  <c r="N315" i="13"/>
  <c r="M315" i="13"/>
  <c r="K314" i="13"/>
  <c r="N314" i="13"/>
  <c r="M314" i="13"/>
  <c r="K313" i="13"/>
  <c r="N313" i="13"/>
  <c r="M313" i="13"/>
  <c r="L312" i="13"/>
  <c r="U311" i="13"/>
  <c r="G311" i="13"/>
  <c r="K311" i="13"/>
  <c r="K310" i="13"/>
  <c r="N310" i="13"/>
  <c r="K309" i="13"/>
  <c r="M309" i="13"/>
  <c r="N309" i="13"/>
  <c r="K308" i="13"/>
  <c r="N308" i="13"/>
  <c r="K307" i="13"/>
  <c r="N307" i="13"/>
  <c r="M307" i="13"/>
  <c r="K306" i="13"/>
  <c r="M306" i="13"/>
  <c r="N306" i="13"/>
  <c r="K305" i="13"/>
  <c r="M305" i="13"/>
  <c r="N305" i="13"/>
  <c r="K304" i="13"/>
  <c r="E304" i="13"/>
  <c r="N304" i="13"/>
  <c r="M304" i="13"/>
  <c r="K303" i="13"/>
  <c r="N303" i="13"/>
  <c r="M303" i="13"/>
  <c r="K302" i="13"/>
  <c r="N302" i="13"/>
  <c r="M302" i="13"/>
  <c r="K301" i="13"/>
  <c r="E301" i="13"/>
  <c r="K300" i="13"/>
  <c r="N300" i="13"/>
  <c r="M300" i="13"/>
  <c r="K299" i="13"/>
  <c r="N299" i="13"/>
  <c r="K298" i="13"/>
  <c r="N298" i="13"/>
  <c r="K297" i="13"/>
  <c r="M297" i="13"/>
  <c r="N297" i="13"/>
  <c r="F296" i="13"/>
  <c r="K296" i="13"/>
  <c r="N296" i="13"/>
  <c r="M296" i="13"/>
  <c r="K295" i="13"/>
  <c r="M295" i="13"/>
  <c r="N295" i="13"/>
  <c r="K294" i="13"/>
  <c r="M294" i="13"/>
  <c r="N294" i="13"/>
  <c r="K293" i="13"/>
  <c r="N293" i="13"/>
  <c r="E292" i="13"/>
  <c r="K292" i="13"/>
  <c r="N292" i="13"/>
  <c r="M292" i="13"/>
  <c r="K291" i="13"/>
  <c r="N291" i="13"/>
  <c r="M291" i="13"/>
  <c r="K290" i="13"/>
  <c r="K289" i="13"/>
  <c r="N289" i="13"/>
  <c r="M289" i="13"/>
  <c r="K288" i="13"/>
  <c r="N288" i="13"/>
  <c r="M288" i="13"/>
  <c r="K287" i="13"/>
  <c r="N287" i="13"/>
  <c r="M287" i="13"/>
  <c r="K286" i="13"/>
  <c r="K285" i="13"/>
  <c r="N285" i="13"/>
  <c r="M285" i="13"/>
  <c r="K284" i="13"/>
  <c r="N284" i="13"/>
  <c r="M284" i="13"/>
  <c r="K283" i="13"/>
  <c r="N283" i="13"/>
  <c r="M283" i="13"/>
  <c r="K282" i="13"/>
  <c r="K281" i="13"/>
  <c r="N281" i="13"/>
  <c r="M281" i="13"/>
  <c r="K280" i="13"/>
  <c r="N280" i="13"/>
  <c r="M280" i="13"/>
  <c r="K279" i="13"/>
  <c r="N279" i="13"/>
  <c r="M279" i="13"/>
  <c r="K278" i="13"/>
  <c r="L277" i="13"/>
  <c r="U276" i="13"/>
  <c r="G276" i="13"/>
  <c r="K276" i="13"/>
  <c r="M276" i="13"/>
  <c r="N276" i="13"/>
  <c r="K275" i="13"/>
  <c r="E275" i="13"/>
  <c r="K274" i="13"/>
  <c r="N274" i="13"/>
  <c r="M274" i="13"/>
  <c r="K273" i="13"/>
  <c r="N273" i="13"/>
  <c r="K272" i="13"/>
  <c r="N272" i="13"/>
  <c r="K271" i="13"/>
  <c r="K270" i="13"/>
  <c r="N270" i="13"/>
  <c r="M270" i="13"/>
  <c r="K269" i="13"/>
  <c r="N269" i="13"/>
  <c r="K268" i="13"/>
  <c r="E268" i="13"/>
  <c r="K267" i="13"/>
  <c r="N267" i="13"/>
  <c r="K266" i="13"/>
  <c r="N266" i="13"/>
  <c r="M266" i="13"/>
  <c r="K265" i="13"/>
  <c r="M265" i="13"/>
  <c r="N265" i="13"/>
  <c r="K264" i="13"/>
  <c r="E264" i="13"/>
  <c r="K263" i="13"/>
  <c r="N263" i="13"/>
  <c r="M263" i="13"/>
  <c r="K262" i="13"/>
  <c r="E262" i="13"/>
  <c r="N262" i="13"/>
  <c r="L261" i="13"/>
  <c r="U260" i="13"/>
  <c r="G260" i="13"/>
  <c r="K260" i="13"/>
  <c r="N260" i="13"/>
  <c r="M260" i="13"/>
  <c r="K259" i="13"/>
  <c r="N259" i="13"/>
  <c r="K258" i="13"/>
  <c r="N258" i="13"/>
  <c r="K257" i="13"/>
  <c r="N257" i="13"/>
  <c r="K256" i="13"/>
  <c r="E256" i="13"/>
  <c r="M256" i="13"/>
  <c r="K255" i="13"/>
  <c r="M255" i="13"/>
  <c r="N255" i="13"/>
  <c r="K254" i="13"/>
  <c r="M254" i="13"/>
  <c r="N254" i="13"/>
  <c r="K253" i="13"/>
  <c r="M253" i="13"/>
  <c r="N253" i="13"/>
  <c r="K252" i="13"/>
  <c r="N252" i="13"/>
  <c r="M252" i="13"/>
  <c r="K251" i="13"/>
  <c r="E251" i="13"/>
  <c r="K250" i="13"/>
  <c r="E250" i="13"/>
  <c r="K249" i="13"/>
  <c r="N249" i="13"/>
  <c r="M249" i="13"/>
  <c r="K248" i="13"/>
  <c r="E248" i="13"/>
  <c r="K247" i="13"/>
  <c r="M247" i="13"/>
  <c r="N247" i="13"/>
  <c r="K246" i="13"/>
  <c r="N246" i="13"/>
  <c r="M246" i="13"/>
  <c r="K245" i="13"/>
  <c r="N245" i="13"/>
  <c r="M245" i="13"/>
  <c r="K244" i="13"/>
  <c r="M244" i="13"/>
  <c r="N244" i="13"/>
  <c r="K243" i="13"/>
  <c r="M243" i="13"/>
  <c r="N243" i="13"/>
  <c r="K242" i="13"/>
  <c r="N242" i="13"/>
  <c r="M242" i="13"/>
  <c r="K241" i="13"/>
  <c r="N241" i="13"/>
  <c r="M241" i="13"/>
  <c r="K240" i="13"/>
  <c r="E240" i="13"/>
  <c r="K239" i="13"/>
  <c r="E239" i="13"/>
  <c r="K238" i="13"/>
  <c r="N238" i="13"/>
  <c r="M238" i="13"/>
  <c r="K237" i="13"/>
  <c r="N237" i="13"/>
  <c r="K236" i="13"/>
  <c r="N236" i="13"/>
  <c r="K235" i="13"/>
  <c r="M235" i="13"/>
  <c r="N235" i="13"/>
  <c r="K234" i="13"/>
  <c r="N234" i="13"/>
  <c r="M234" i="13"/>
  <c r="K233" i="13"/>
  <c r="K232" i="13"/>
  <c r="N232" i="13"/>
  <c r="K231" i="13"/>
  <c r="M231" i="13"/>
  <c r="N231" i="13"/>
  <c r="K230" i="13"/>
  <c r="N230" i="13"/>
  <c r="M230" i="13"/>
  <c r="K229" i="13"/>
  <c r="K228" i="13"/>
  <c r="E228" i="13"/>
  <c r="K227" i="13"/>
  <c r="L226" i="13"/>
  <c r="U225" i="13"/>
  <c r="G225" i="13"/>
  <c r="K225" i="13"/>
  <c r="N224" i="13"/>
  <c r="K223" i="13"/>
  <c r="N223" i="13"/>
  <c r="M223" i="13"/>
  <c r="K222" i="13"/>
  <c r="N222" i="13"/>
  <c r="M222" i="13"/>
  <c r="G221" i="13"/>
  <c r="K221" i="13"/>
  <c r="M221" i="13"/>
  <c r="K220" i="13"/>
  <c r="E220" i="13"/>
  <c r="N220" i="13"/>
  <c r="K219" i="13"/>
  <c r="N219" i="13"/>
  <c r="M219" i="13"/>
  <c r="K218" i="13"/>
  <c r="M218" i="13"/>
  <c r="N218" i="13"/>
  <c r="K217" i="13"/>
  <c r="M217" i="13"/>
  <c r="N217" i="13"/>
  <c r="K216" i="13"/>
  <c r="N216" i="13"/>
  <c r="K215" i="13"/>
  <c r="N215" i="13"/>
  <c r="M215" i="13"/>
  <c r="K214" i="13"/>
  <c r="M214" i="13"/>
  <c r="N214" i="13"/>
  <c r="K213" i="13"/>
  <c r="M213" i="13"/>
  <c r="N213" i="13"/>
  <c r="K212" i="13"/>
  <c r="N212" i="13"/>
  <c r="M212" i="13"/>
  <c r="K211" i="13"/>
  <c r="N211" i="13"/>
  <c r="M211" i="13"/>
  <c r="K210" i="13"/>
  <c r="M210" i="13"/>
  <c r="N210" i="13"/>
  <c r="K209" i="13"/>
  <c r="M209" i="13"/>
  <c r="N209" i="13"/>
  <c r="K208" i="13"/>
  <c r="N208" i="13"/>
  <c r="M208" i="13"/>
  <c r="K207" i="13"/>
  <c r="N207" i="13"/>
  <c r="M207" i="13"/>
  <c r="K206" i="13"/>
  <c r="M206" i="13"/>
  <c r="N206" i="13"/>
  <c r="K205" i="13"/>
  <c r="M205" i="13"/>
  <c r="N205" i="13"/>
  <c r="K204" i="13"/>
  <c r="M204" i="13"/>
  <c r="N204" i="13"/>
  <c r="K203" i="13"/>
  <c r="N203" i="13"/>
  <c r="M203" i="13"/>
  <c r="K202" i="13"/>
  <c r="E202" i="13"/>
  <c r="N202" i="13"/>
  <c r="K201" i="13"/>
  <c r="E201" i="13"/>
  <c r="K200" i="13"/>
  <c r="N200" i="13"/>
  <c r="M200" i="13"/>
  <c r="K199" i="13"/>
  <c r="K198" i="13"/>
  <c r="K197" i="13"/>
  <c r="M197" i="13"/>
  <c r="N197" i="13"/>
  <c r="K196" i="13"/>
  <c r="N196" i="13"/>
  <c r="M196" i="13"/>
  <c r="K195" i="13"/>
  <c r="L194" i="13"/>
  <c r="U193" i="13"/>
  <c r="G193" i="13"/>
  <c r="K193" i="13"/>
  <c r="N193" i="13"/>
  <c r="K192" i="13"/>
  <c r="K191" i="13"/>
  <c r="K190" i="13"/>
  <c r="N190" i="13"/>
  <c r="K189" i="13"/>
  <c r="N189" i="13"/>
  <c r="M189" i="13"/>
  <c r="K188" i="13"/>
  <c r="K187" i="13"/>
  <c r="K186" i="13"/>
  <c r="K185" i="13"/>
  <c r="N185" i="13"/>
  <c r="M185" i="13"/>
  <c r="K184" i="13"/>
  <c r="K183" i="13"/>
  <c r="K182" i="13"/>
  <c r="N182" i="13"/>
  <c r="K181" i="13"/>
  <c r="N181" i="13"/>
  <c r="M181" i="13"/>
  <c r="K180" i="13"/>
  <c r="K179" i="13"/>
  <c r="K178" i="13"/>
  <c r="L177" i="13"/>
  <c r="U176" i="13"/>
  <c r="G176" i="13"/>
  <c r="K176" i="13"/>
  <c r="M176" i="13"/>
  <c r="K175" i="13"/>
  <c r="N175" i="13"/>
  <c r="K174" i="13"/>
  <c r="N174" i="13"/>
  <c r="M174" i="13"/>
  <c r="K173" i="13"/>
  <c r="K172" i="13"/>
  <c r="E172" i="13"/>
  <c r="K171" i="13"/>
  <c r="N171" i="13"/>
  <c r="K170" i="13"/>
  <c r="N170" i="13"/>
  <c r="M170" i="13"/>
  <c r="K169" i="13"/>
  <c r="M169" i="13"/>
  <c r="N169" i="13"/>
  <c r="K168" i="13"/>
  <c r="M168" i="13"/>
  <c r="N168" i="13"/>
  <c r="K167" i="13"/>
  <c r="N167" i="13"/>
  <c r="M167" i="13"/>
  <c r="K166" i="13"/>
  <c r="N166" i="13"/>
  <c r="M166" i="13"/>
  <c r="K165" i="13"/>
  <c r="M165" i="13"/>
  <c r="N165" i="13"/>
  <c r="K164" i="13"/>
  <c r="M164" i="13"/>
  <c r="N164" i="13"/>
  <c r="K163" i="13"/>
  <c r="N163" i="13"/>
  <c r="M163" i="13"/>
  <c r="K162" i="13"/>
  <c r="N162" i="13"/>
  <c r="M162" i="13"/>
  <c r="K161" i="13"/>
  <c r="M161" i="13"/>
  <c r="N161" i="13"/>
  <c r="K160" i="13"/>
  <c r="M160" i="13"/>
  <c r="N160" i="13"/>
  <c r="K159" i="13"/>
  <c r="N159" i="13"/>
  <c r="M159" i="13"/>
  <c r="K158" i="13"/>
  <c r="N158" i="13"/>
  <c r="M158" i="13"/>
  <c r="K157" i="13"/>
  <c r="M157" i="13"/>
  <c r="N157" i="13"/>
  <c r="K156" i="13"/>
  <c r="M156" i="13"/>
  <c r="N156" i="13"/>
  <c r="K155" i="13"/>
  <c r="N155" i="13"/>
  <c r="K154" i="13"/>
  <c r="N154" i="13"/>
  <c r="M154" i="13"/>
  <c r="K153" i="13"/>
  <c r="M153" i="13"/>
  <c r="N153" i="13"/>
  <c r="K152" i="13"/>
  <c r="M152" i="13"/>
  <c r="N152" i="13"/>
  <c r="K151" i="13"/>
  <c r="K150" i="13"/>
  <c r="N150" i="13"/>
  <c r="M150" i="13"/>
  <c r="K149" i="13"/>
  <c r="M149" i="13"/>
  <c r="N149" i="13"/>
  <c r="K148" i="13"/>
  <c r="M148" i="13"/>
  <c r="N148" i="13"/>
  <c r="K147" i="13"/>
  <c r="N147" i="13"/>
  <c r="K146" i="13"/>
  <c r="N146" i="13"/>
  <c r="M146" i="13"/>
  <c r="K145" i="13"/>
  <c r="E145" i="13"/>
  <c r="M145" i="13"/>
  <c r="N145" i="13"/>
  <c r="G144" i="13"/>
  <c r="K144" i="13"/>
  <c r="K143" i="13"/>
  <c r="N143" i="13"/>
  <c r="M143" i="13"/>
  <c r="K142" i="13"/>
  <c r="K141" i="13"/>
  <c r="L140" i="13"/>
  <c r="U139" i="13"/>
  <c r="G139" i="13"/>
  <c r="K139" i="13"/>
  <c r="K138" i="13"/>
  <c r="K137" i="13"/>
  <c r="M137" i="13"/>
  <c r="N137" i="13"/>
  <c r="K136" i="13"/>
  <c r="N136" i="13"/>
  <c r="M136" i="13"/>
  <c r="L135" i="13"/>
  <c r="U134" i="13"/>
  <c r="G134" i="13"/>
  <c r="K134" i="13"/>
  <c r="K133" i="13"/>
  <c r="N133" i="13"/>
  <c r="M133" i="13"/>
  <c r="K132" i="13"/>
  <c r="K131" i="13"/>
  <c r="K130" i="13"/>
  <c r="N130" i="13"/>
  <c r="K129" i="13"/>
  <c r="N129" i="13"/>
  <c r="M129" i="13"/>
  <c r="K128" i="13"/>
  <c r="K127" i="13"/>
  <c r="K126" i="13"/>
  <c r="E126" i="13"/>
  <c r="K125" i="13"/>
  <c r="E125" i="13"/>
  <c r="N125" i="13"/>
  <c r="M125" i="13"/>
  <c r="K124" i="13"/>
  <c r="N124" i="13"/>
  <c r="M124" i="13"/>
  <c r="K123" i="13"/>
  <c r="N123" i="13"/>
  <c r="M123" i="13"/>
  <c r="K122" i="13"/>
  <c r="N122" i="13"/>
  <c r="M122" i="13"/>
  <c r="K121" i="13"/>
  <c r="N121" i="13"/>
  <c r="M121" i="13"/>
  <c r="K120" i="13"/>
  <c r="N120" i="13"/>
  <c r="M120" i="13"/>
  <c r="K119" i="13"/>
  <c r="M119" i="13"/>
  <c r="N119" i="13"/>
  <c r="K118" i="13"/>
  <c r="M118" i="13"/>
  <c r="N118" i="13"/>
  <c r="K117" i="13"/>
  <c r="N117" i="13"/>
  <c r="M117" i="13"/>
  <c r="K116" i="13"/>
  <c r="N116" i="13"/>
  <c r="M116" i="13"/>
  <c r="K115" i="13"/>
  <c r="N115" i="13"/>
  <c r="K114" i="13"/>
  <c r="N114" i="13"/>
  <c r="K113" i="13"/>
  <c r="E113" i="13"/>
  <c r="N113" i="13"/>
  <c r="K112" i="13"/>
  <c r="N112" i="13"/>
  <c r="M112" i="13"/>
  <c r="K111" i="13"/>
  <c r="N111" i="13"/>
  <c r="K110" i="13"/>
  <c r="N110" i="13"/>
  <c r="M110" i="13"/>
  <c r="K109" i="13"/>
  <c r="N109" i="13"/>
  <c r="M109" i="13"/>
  <c r="K108" i="13"/>
  <c r="N108" i="13"/>
  <c r="M108" i="13"/>
  <c r="K107" i="13"/>
  <c r="N107" i="13"/>
  <c r="K106" i="13"/>
  <c r="M106" i="13"/>
  <c r="N106" i="13"/>
  <c r="K105" i="13"/>
  <c r="N105" i="13"/>
  <c r="M105" i="13"/>
  <c r="K104" i="13"/>
  <c r="N104" i="13"/>
  <c r="M104" i="13"/>
  <c r="K103" i="13"/>
  <c r="L102" i="13"/>
  <c r="U101" i="13"/>
  <c r="G101" i="13"/>
  <c r="K101" i="13"/>
  <c r="M101" i="13"/>
  <c r="N101" i="13"/>
  <c r="K100" i="13"/>
  <c r="N100" i="13"/>
  <c r="M100" i="13"/>
  <c r="G99" i="13"/>
  <c r="K99" i="13"/>
  <c r="E99" i="13"/>
  <c r="N99" i="13"/>
  <c r="K98" i="13"/>
  <c r="M98" i="13"/>
  <c r="N98" i="13"/>
  <c r="K97" i="13"/>
  <c r="M97" i="13"/>
  <c r="N97" i="13"/>
  <c r="K96" i="13"/>
  <c r="N96" i="13"/>
  <c r="N102" i="13"/>
  <c r="L95" i="13"/>
  <c r="K94" i="13"/>
  <c r="N94" i="13"/>
  <c r="M94" i="13"/>
  <c r="U93" i="13"/>
  <c r="G93" i="13"/>
  <c r="K93" i="13"/>
  <c r="K92" i="13"/>
  <c r="N92" i="13"/>
  <c r="M92" i="13"/>
  <c r="K91" i="13"/>
  <c r="M91" i="13"/>
  <c r="N91" i="13"/>
  <c r="K90" i="13"/>
  <c r="M90" i="13"/>
  <c r="N90" i="13"/>
  <c r="K89" i="13"/>
  <c r="M89" i="13"/>
  <c r="N89" i="13"/>
  <c r="K88" i="13"/>
  <c r="N88" i="13"/>
  <c r="M88" i="13"/>
  <c r="K87" i="13"/>
  <c r="K86" i="13"/>
  <c r="N86" i="13"/>
  <c r="M86" i="13"/>
  <c r="K85" i="13"/>
  <c r="N85" i="13"/>
  <c r="M85" i="13"/>
  <c r="K84" i="13"/>
  <c r="N84" i="13"/>
  <c r="M84" i="13"/>
  <c r="K83" i="13"/>
  <c r="N83" i="13"/>
  <c r="K82" i="13"/>
  <c r="N82" i="13"/>
  <c r="K81" i="13"/>
  <c r="N81" i="13"/>
  <c r="K80" i="13"/>
  <c r="N80" i="13"/>
  <c r="M80" i="13"/>
  <c r="K79" i="13"/>
  <c r="N79" i="13"/>
  <c r="K78" i="13"/>
  <c r="M78" i="13"/>
  <c r="N78" i="13"/>
  <c r="K77" i="13"/>
  <c r="N77" i="13"/>
  <c r="K76" i="13"/>
  <c r="N76" i="13"/>
  <c r="M76" i="13"/>
  <c r="K75" i="13"/>
  <c r="M75" i="13"/>
  <c r="N75" i="13"/>
  <c r="K74" i="13"/>
  <c r="K73" i="13"/>
  <c r="M73" i="13"/>
  <c r="N73" i="13"/>
  <c r="K72" i="13"/>
  <c r="N72" i="13"/>
  <c r="M72" i="13"/>
  <c r="K71" i="13"/>
  <c r="M71" i="13"/>
  <c r="U68" i="13"/>
  <c r="G68" i="13"/>
  <c r="K68" i="13"/>
  <c r="K67" i="13"/>
  <c r="N67" i="13"/>
  <c r="K66" i="13"/>
  <c r="N66" i="13"/>
  <c r="K65" i="13"/>
  <c r="N65" i="13"/>
  <c r="M65" i="13"/>
  <c r="K64" i="13"/>
  <c r="M64" i="13"/>
  <c r="N64" i="13"/>
  <c r="K63" i="13"/>
  <c r="N63" i="13"/>
  <c r="M63" i="13"/>
  <c r="K62" i="13"/>
  <c r="N62" i="13"/>
  <c r="K61" i="13"/>
  <c r="N61" i="13"/>
  <c r="M61" i="13"/>
  <c r="K60" i="13"/>
  <c r="N60" i="13"/>
  <c r="E59" i="13"/>
  <c r="K59" i="13"/>
  <c r="N59" i="13"/>
  <c r="M59" i="13"/>
  <c r="K58" i="13"/>
  <c r="N58" i="13"/>
  <c r="K57" i="13"/>
  <c r="N57" i="13"/>
  <c r="M57" i="13"/>
  <c r="K56" i="13"/>
  <c r="N56" i="13"/>
  <c r="K55" i="13"/>
  <c r="K54" i="13"/>
  <c r="N54" i="13"/>
  <c r="M54" i="13"/>
  <c r="K53" i="13"/>
  <c r="N53" i="13"/>
  <c r="M53" i="13"/>
  <c r="K52" i="13"/>
  <c r="N52" i="13"/>
  <c r="K51" i="13"/>
  <c r="K50" i="13"/>
  <c r="N50" i="13"/>
  <c r="M50" i="13"/>
  <c r="K49" i="13"/>
  <c r="N49" i="13"/>
  <c r="E48" i="13"/>
  <c r="K48" i="13"/>
  <c r="N48" i="13"/>
  <c r="M48" i="13"/>
  <c r="K47" i="13"/>
  <c r="E47" i="13"/>
  <c r="K46" i="13"/>
  <c r="N46" i="13"/>
  <c r="M46" i="13"/>
  <c r="K45" i="13"/>
  <c r="N45" i="13"/>
  <c r="K44" i="13"/>
  <c r="N44" i="13"/>
  <c r="M44" i="13"/>
  <c r="K43" i="13"/>
  <c r="E43" i="13"/>
  <c r="K42" i="13"/>
  <c r="N42" i="13"/>
  <c r="M42" i="13"/>
  <c r="K41" i="13"/>
  <c r="E41" i="13"/>
  <c r="N41" i="13"/>
  <c r="K40" i="13"/>
  <c r="E40" i="13"/>
  <c r="N40" i="13"/>
  <c r="K39" i="13"/>
  <c r="N39" i="13"/>
  <c r="K38" i="13"/>
  <c r="M38" i="13"/>
  <c r="N38" i="13"/>
  <c r="K37" i="13"/>
  <c r="N37" i="13"/>
  <c r="M37" i="13"/>
  <c r="K36" i="13"/>
  <c r="N36" i="13"/>
  <c r="K35" i="13"/>
  <c r="L35" i="13"/>
  <c r="M35" i="13"/>
  <c r="L70" i="13"/>
  <c r="N35" i="13"/>
  <c r="K34" i="13"/>
  <c r="N34" i="13"/>
  <c r="K33" i="13"/>
  <c r="K32" i="13"/>
  <c r="N32" i="13"/>
  <c r="M32" i="13"/>
  <c r="K31" i="13"/>
  <c r="N31" i="13"/>
  <c r="K30" i="13"/>
  <c r="M30" i="13"/>
  <c r="N30" i="13"/>
  <c r="K29" i="13"/>
  <c r="K28" i="13"/>
  <c r="K70" i="13"/>
  <c r="L27" i="13"/>
  <c r="K26" i="13"/>
  <c r="N26" i="13"/>
  <c r="U25" i="13"/>
  <c r="G25" i="13"/>
  <c r="K25" i="13"/>
  <c r="G24" i="13"/>
  <c r="K24" i="13"/>
  <c r="K23" i="13"/>
  <c r="M23" i="13"/>
  <c r="K22" i="13"/>
  <c r="N22" i="13"/>
  <c r="K21" i="13"/>
  <c r="M21" i="13"/>
  <c r="K20" i="13"/>
  <c r="N20" i="13"/>
  <c r="K19" i="13"/>
  <c r="M19" i="13"/>
  <c r="K18" i="13"/>
  <c r="N18" i="13"/>
  <c r="K17" i="13"/>
  <c r="K16" i="13"/>
  <c r="M16" i="13"/>
  <c r="L15" i="13"/>
  <c r="K14" i="13"/>
  <c r="N14" i="13"/>
  <c r="U13" i="13"/>
  <c r="G13" i="13"/>
  <c r="K13" i="13"/>
  <c r="K12" i="13"/>
  <c r="N12" i="13"/>
  <c r="M12" i="13"/>
  <c r="K11" i="13"/>
  <c r="N11" i="13"/>
  <c r="K10" i="13"/>
  <c r="M10" i="13"/>
  <c r="N10" i="13"/>
  <c r="K9" i="13"/>
  <c r="N9" i="13"/>
  <c r="M9" i="13"/>
  <c r="K8" i="13"/>
  <c r="E8" i="13"/>
  <c r="N8" i="13"/>
  <c r="K7" i="13"/>
  <c r="N7" i="13"/>
  <c r="M7" i="13"/>
  <c r="K6" i="13"/>
  <c r="N6" i="13"/>
  <c r="M6" i="13"/>
  <c r="N23" i="13"/>
  <c r="M14" i="13"/>
  <c r="K27" i="13"/>
  <c r="M18" i="13"/>
  <c r="N19" i="13"/>
  <c r="M26" i="13"/>
  <c r="N21" i="13"/>
  <c r="L446" i="13"/>
  <c r="N16" i="13"/>
  <c r="M343" i="13"/>
  <c r="N126" i="13"/>
  <c r="M126" i="13"/>
  <c r="M134" i="13"/>
  <c r="N134" i="13"/>
  <c r="N93" i="13"/>
  <c r="M93" i="13"/>
  <c r="N47" i="13"/>
  <c r="M47" i="13"/>
  <c r="N68" i="13"/>
  <c r="M68" i="13"/>
  <c r="N25" i="13"/>
  <c r="M25" i="13"/>
  <c r="N13" i="13"/>
  <c r="M13" i="13"/>
  <c r="N43" i="13"/>
  <c r="M43" i="13"/>
  <c r="M144" i="13"/>
  <c r="N144" i="13"/>
  <c r="N33" i="13"/>
  <c r="M33" i="13"/>
  <c r="M56" i="13"/>
  <c r="N132" i="13"/>
  <c r="M132" i="13"/>
  <c r="N192" i="13"/>
  <c r="M192" i="13"/>
  <c r="N199" i="13"/>
  <c r="M199" i="13"/>
  <c r="N24" i="13"/>
  <c r="M24" i="13"/>
  <c r="M28" i="13"/>
  <c r="M34" i="13"/>
  <c r="N51" i="13"/>
  <c r="M51" i="13"/>
  <c r="M62" i="13"/>
  <c r="N138" i="13"/>
  <c r="M138" i="13"/>
  <c r="M155" i="13"/>
  <c r="M193" i="13"/>
  <c r="N301" i="13"/>
  <c r="M301" i="13"/>
  <c r="K346" i="13"/>
  <c r="N340" i="13"/>
  <c r="N28" i="13"/>
  <c r="N74" i="13"/>
  <c r="M74" i="13"/>
  <c r="N139" i="13"/>
  <c r="N140" i="13"/>
  <c r="M139" i="13"/>
  <c r="M140" i="13"/>
  <c r="K194" i="13"/>
  <c r="N178" i="13"/>
  <c r="N345" i="13"/>
  <c r="M345" i="13"/>
  <c r="K15" i="13"/>
  <c r="N29" i="13"/>
  <c r="M29" i="13"/>
  <c r="M39" i="13"/>
  <c r="M58" i="13"/>
  <c r="N172" i="13"/>
  <c r="M172" i="13"/>
  <c r="M178" i="13"/>
  <c r="N186" i="13"/>
  <c r="M186" i="13"/>
  <c r="M201" i="13"/>
  <c r="N201" i="13"/>
  <c r="N286" i="13"/>
  <c r="M286" i="13"/>
  <c r="K135" i="13"/>
  <c r="N103" i="13"/>
  <c r="M103" i="13"/>
  <c r="M107" i="13"/>
  <c r="M111" i="13"/>
  <c r="M114" i="13"/>
  <c r="M115" i="13"/>
  <c r="M127" i="13"/>
  <c r="M128" i="13"/>
  <c r="M130" i="13"/>
  <c r="M131" i="13"/>
  <c r="M135" i="13"/>
  <c r="N127" i="13"/>
  <c r="K140" i="13"/>
  <c r="N151" i="13"/>
  <c r="M151" i="13"/>
  <c r="N173" i="13"/>
  <c r="M173" i="13"/>
  <c r="N179" i="13"/>
  <c r="M179" i="13"/>
  <c r="N187" i="13"/>
  <c r="M187" i="13"/>
  <c r="N15" i="13"/>
  <c r="N128" i="13"/>
  <c r="N188" i="13"/>
  <c r="M188" i="13"/>
  <c r="N250" i="13"/>
  <c r="M250" i="13"/>
  <c r="M11" i="13"/>
  <c r="K95" i="13"/>
  <c r="N71" i="13"/>
  <c r="N87" i="13"/>
  <c r="N95" i="13"/>
  <c r="M81" i="13"/>
  <c r="M99" i="13"/>
  <c r="N271" i="13"/>
  <c r="M271" i="13"/>
  <c r="M325" i="13"/>
  <c r="N325" i="13"/>
  <c r="N367" i="13"/>
  <c r="M367" i="13"/>
  <c r="M77" i="13"/>
  <c r="M79" i="13"/>
  <c r="M82" i="13"/>
  <c r="M83" i="13"/>
  <c r="M87" i="13"/>
  <c r="M95" i="13"/>
  <c r="K312" i="13"/>
  <c r="N326" i="13"/>
  <c r="M326" i="13"/>
  <c r="M31" i="13"/>
  <c r="M41" i="13"/>
  <c r="M45" i="13"/>
  <c r="M49" i="13"/>
  <c r="N371" i="13"/>
  <c r="M371" i="13"/>
  <c r="M17" i="13"/>
  <c r="M22" i="13"/>
  <c r="M20" i="13"/>
  <c r="M27" i="13"/>
  <c r="N55" i="13"/>
  <c r="M55" i="13"/>
  <c r="M60" i="13"/>
  <c r="M175" i="13"/>
  <c r="N17" i="13"/>
  <c r="N191" i="13"/>
  <c r="M191" i="13"/>
  <c r="N198" i="13"/>
  <c r="M198" i="13"/>
  <c r="N229" i="13"/>
  <c r="M229" i="13"/>
  <c r="N290" i="13"/>
  <c r="M290" i="13"/>
  <c r="N248" i="13"/>
  <c r="M248" i="13"/>
  <c r="M311" i="13"/>
  <c r="N311" i="13"/>
  <c r="N316" i="13"/>
  <c r="N318" i="13"/>
  <c r="M316" i="13"/>
  <c r="M318" i="13"/>
  <c r="N180" i="13"/>
  <c r="M180" i="13"/>
  <c r="N282" i="13"/>
  <c r="M282" i="13"/>
  <c r="K353" i="13"/>
  <c r="N363" i="13"/>
  <c r="M363" i="13"/>
  <c r="N412" i="13"/>
  <c r="N416" i="13"/>
  <c r="K416" i="13"/>
  <c r="M412" i="13"/>
  <c r="M416" i="13"/>
  <c r="L445" i="13"/>
  <c r="N352" i="13"/>
  <c r="M352" i="13"/>
  <c r="N359" i="13"/>
  <c r="M359" i="13"/>
  <c r="N225" i="13"/>
  <c r="M225" i="13"/>
  <c r="N239" i="13"/>
  <c r="M239" i="13"/>
  <c r="N278" i="13"/>
  <c r="M278" i="13"/>
  <c r="M293" i="13"/>
  <c r="M298" i="13"/>
  <c r="M299" i="13"/>
  <c r="M308" i="13"/>
  <c r="M312" i="13"/>
  <c r="K318" i="13"/>
  <c r="N337" i="13"/>
  <c r="N346" i="13"/>
  <c r="M337" i="13"/>
  <c r="M346" i="13"/>
  <c r="N195" i="13"/>
  <c r="K226" i="13"/>
  <c r="M195" i="13"/>
  <c r="N233" i="13"/>
  <c r="M233" i="13"/>
  <c r="M267" i="13"/>
  <c r="M333" i="13"/>
  <c r="N348" i="13"/>
  <c r="N353" i="13"/>
  <c r="M348" i="13"/>
  <c r="M353" i="13"/>
  <c r="M374" i="13"/>
  <c r="N176" i="13"/>
  <c r="M397" i="13"/>
  <c r="M401" i="13"/>
  <c r="M406" i="13"/>
  <c r="K261" i="13"/>
  <c r="K177" i="13"/>
  <c r="N141" i="13"/>
  <c r="M141" i="13"/>
  <c r="M220" i="13"/>
  <c r="K277" i="13"/>
  <c r="M182" i="13"/>
  <c r="M52" i="13"/>
  <c r="N183" i="13"/>
  <c r="M183" i="13"/>
  <c r="N240" i="13"/>
  <c r="M240" i="13"/>
  <c r="N142" i="13"/>
  <c r="M142" i="13"/>
  <c r="M216" i="13"/>
  <c r="M227" i="13"/>
  <c r="N251" i="13"/>
  <c r="M251" i="13"/>
  <c r="N256" i="13"/>
  <c r="N268" i="13"/>
  <c r="M268" i="13"/>
  <c r="N275" i="13"/>
  <c r="M275" i="13"/>
  <c r="N323" i="13"/>
  <c r="M323" i="13"/>
  <c r="M8" i="13"/>
  <c r="M15" i="13"/>
  <c r="M36" i="13"/>
  <c r="K102" i="13"/>
  <c r="M147" i="13"/>
  <c r="M171" i="13"/>
  <c r="M202" i="13"/>
  <c r="N221" i="13"/>
  <c r="N227" i="13"/>
  <c r="N228" i="13"/>
  <c r="N261" i="13"/>
  <c r="K372" i="13"/>
  <c r="N355" i="13"/>
  <c r="N372" i="13"/>
  <c r="M408" i="13"/>
  <c r="M40" i="13"/>
  <c r="M96" i="13"/>
  <c r="M102" i="13"/>
  <c r="N131" i="13"/>
  <c r="N184" i="13"/>
  <c r="M184" i="13"/>
  <c r="M190" i="13"/>
  <c r="M228" i="13"/>
  <c r="M257" i="13"/>
  <c r="N264" i="13"/>
  <c r="N277" i="13"/>
  <c r="M264" i="13"/>
  <c r="K336" i="13"/>
  <c r="N319" i="13"/>
  <c r="M319" i="13"/>
  <c r="N330" i="13"/>
  <c r="M330" i="13"/>
  <c r="M355" i="13"/>
  <c r="M356" i="13"/>
  <c r="M357" i="13"/>
  <c r="M372" i="13"/>
  <c r="M232" i="13"/>
  <c r="M236" i="13"/>
  <c r="M258" i="13"/>
  <c r="M272" i="13"/>
  <c r="M327" i="13"/>
  <c r="M379" i="13"/>
  <c r="M409" i="13"/>
  <c r="M420" i="13"/>
  <c r="K406" i="13"/>
  <c r="M237" i="13"/>
  <c r="M259" i="13"/>
  <c r="M269" i="13"/>
  <c r="M273" i="13"/>
  <c r="M410" i="13"/>
  <c r="M417" i="13"/>
  <c r="K421" i="13"/>
  <c r="M262" i="13"/>
  <c r="M277" i="13"/>
  <c r="M328" i="13"/>
  <c r="L504" i="12"/>
  <c r="N504" i="12" s="1"/>
  <c r="K446" i="13"/>
  <c r="N27" i="13"/>
  <c r="N70" i="13"/>
  <c r="N135" i="13"/>
  <c r="N177" i="13"/>
  <c r="N194" i="13"/>
  <c r="N226" i="13"/>
  <c r="N312" i="13"/>
  <c r="N336" i="13"/>
  <c r="N446" i="13"/>
  <c r="M70" i="13"/>
  <c r="M177" i="13"/>
  <c r="M194" i="13"/>
  <c r="M226" i="13"/>
  <c r="M261" i="13"/>
  <c r="M336" i="13"/>
  <c r="M446" i="13"/>
  <c r="M421" i="13"/>
  <c r="K445" i="13"/>
  <c r="M411" i="13"/>
  <c r="K396" i="13"/>
  <c r="M380" i="13"/>
  <c r="M396" i="13"/>
  <c r="M445" i="13"/>
  <c r="L503" i="12"/>
  <c r="N503" i="12" s="1"/>
  <c r="K447" i="13"/>
  <c r="N445" i="13"/>
  <c r="N447" i="13"/>
  <c r="M447" i="13"/>
  <c r="L501" i="12"/>
  <c r="N501" i="12" s="1"/>
  <c r="L502" i="12"/>
  <c r="N502" i="12" s="1"/>
  <c r="L473" i="12"/>
  <c r="N473" i="12" s="1"/>
  <c r="L500" i="12"/>
  <c r="N500" i="12" s="1"/>
  <c r="L72" i="12"/>
  <c r="N72" i="12" s="1"/>
  <c r="L398" i="12"/>
  <c r="N398" i="12" s="1"/>
  <c r="L71" i="12"/>
  <c r="N71" i="12" s="1"/>
  <c r="L472" i="12"/>
  <c r="N472" i="12" s="1"/>
  <c r="L497" i="12"/>
  <c r="N497" i="12" s="1"/>
  <c r="L499" i="12"/>
  <c r="N499" i="12" s="1"/>
  <c r="L496" i="12"/>
  <c r="N496" i="12" s="1"/>
  <c r="W329" i="12"/>
  <c r="H329" i="12" s="1"/>
  <c r="L329" i="12" s="1"/>
  <c r="W375" i="12"/>
  <c r="F375" i="12" s="1"/>
  <c r="L354" i="12"/>
  <c r="N354" i="12" s="1"/>
  <c r="L272" i="12"/>
  <c r="M272" i="12" s="1"/>
  <c r="L273" i="12"/>
  <c r="N273" i="12" s="1"/>
  <c r="L274" i="12"/>
  <c r="M274" i="12" s="1"/>
  <c r="L101" i="12"/>
  <c r="M101" i="12" s="1"/>
  <c r="L12" i="12"/>
  <c r="M12" i="12" s="1"/>
  <c r="H400" i="12"/>
  <c r="L400" i="12" s="1"/>
  <c r="M400" i="12" s="1"/>
  <c r="L593" i="12"/>
  <c r="L570" i="12"/>
  <c r="N570" i="12" s="1"/>
  <c r="L569" i="12"/>
  <c r="M569" i="12" s="1"/>
  <c r="M594" i="12" s="1"/>
  <c r="D568" i="12"/>
  <c r="L564" i="12"/>
  <c r="M564" i="12" s="1"/>
  <c r="M568" i="12" s="1"/>
  <c r="L562" i="12"/>
  <c r="N562" i="12" s="1"/>
  <c r="L561" i="12"/>
  <c r="N561" i="12" s="1"/>
  <c r="L560" i="12"/>
  <c r="N560" i="12" s="1"/>
  <c r="L559" i="12"/>
  <c r="N559" i="12" s="1"/>
  <c r="L557" i="12"/>
  <c r="L554" i="12"/>
  <c r="M554" i="12" s="1"/>
  <c r="L553" i="12"/>
  <c r="N553" i="12" s="1"/>
  <c r="L552" i="12"/>
  <c r="N552" i="12" s="1"/>
  <c r="L525" i="12"/>
  <c r="N525" i="12" s="1"/>
  <c r="L524" i="12"/>
  <c r="L523" i="12"/>
  <c r="M523" i="12" s="1"/>
  <c r="L522" i="12"/>
  <c r="N522" i="12" s="1"/>
  <c r="L495" i="12"/>
  <c r="M495" i="12" s="1"/>
  <c r="F494" i="12"/>
  <c r="H493" i="12"/>
  <c r="L493" i="12" s="1"/>
  <c r="N493" i="12" s="1"/>
  <c r="L492" i="12"/>
  <c r="M492" i="12" s="1"/>
  <c r="L491" i="12"/>
  <c r="L490" i="12"/>
  <c r="N490" i="12" s="1"/>
  <c r="L489" i="12"/>
  <c r="N489" i="12" s="1"/>
  <c r="L488" i="12"/>
  <c r="M488" i="12" s="1"/>
  <c r="L487" i="12"/>
  <c r="N487" i="12" s="1"/>
  <c r="L471" i="12"/>
  <c r="M471" i="12" s="1"/>
  <c r="L470" i="12"/>
  <c r="N470" i="12" s="1"/>
  <c r="L469" i="12"/>
  <c r="N469" i="12" s="1"/>
  <c r="L468" i="12"/>
  <c r="N468" i="12" s="1"/>
  <c r="L467" i="12"/>
  <c r="L466" i="12"/>
  <c r="N466" i="12" s="1"/>
  <c r="L465" i="12"/>
  <c r="N465" i="12" s="1"/>
  <c r="L464" i="12"/>
  <c r="N464" i="12" s="1"/>
  <c r="L463" i="12"/>
  <c r="F463" i="12"/>
  <c r="L460" i="12"/>
  <c r="M460" i="12" s="1"/>
  <c r="L459" i="12"/>
  <c r="N459" i="12" s="1"/>
  <c r="L458" i="12"/>
  <c r="L457" i="12"/>
  <c r="N457" i="12" s="1"/>
  <c r="L397" i="12"/>
  <c r="N397" i="12" s="1"/>
  <c r="L396" i="12"/>
  <c r="M396" i="12" s="1"/>
  <c r="W384" i="12"/>
  <c r="H384" i="12" s="1"/>
  <c r="L384" i="12" s="1"/>
  <c r="L382" i="12"/>
  <c r="M382" i="12" s="1"/>
  <c r="L381" i="12"/>
  <c r="M381" i="12" s="1"/>
  <c r="L380" i="12"/>
  <c r="N380" i="12" s="1"/>
  <c r="L379" i="12"/>
  <c r="L378" i="12"/>
  <c r="M378" i="12" s="1"/>
  <c r="L377" i="12"/>
  <c r="M377" i="12" s="1"/>
  <c r="M386" i="12" s="1"/>
  <c r="F377" i="12"/>
  <c r="L353" i="12"/>
  <c r="F353" i="12" s="1"/>
  <c r="M353" i="12" s="1"/>
  <c r="L352" i="12"/>
  <c r="N352" i="12" s="1"/>
  <c r="L351" i="12"/>
  <c r="M351" i="12" s="1"/>
  <c r="L350" i="12"/>
  <c r="N350" i="12" s="1"/>
  <c r="L349" i="12"/>
  <c r="N349" i="12" s="1"/>
  <c r="L348" i="12"/>
  <c r="F348" i="12" s="1"/>
  <c r="L347" i="12"/>
  <c r="N347" i="12" s="1"/>
  <c r="L346" i="12"/>
  <c r="F346" i="12" s="1"/>
  <c r="L345" i="12"/>
  <c r="F345" i="12" s="1"/>
  <c r="N345" i="12" s="1"/>
  <c r="L344" i="12"/>
  <c r="M344" i="12" s="1"/>
  <c r="L342" i="12"/>
  <c r="M342" i="12" s="1"/>
  <c r="L341" i="12"/>
  <c r="M341" i="12" s="1"/>
  <c r="L340" i="12"/>
  <c r="M340" i="12" s="1"/>
  <c r="L339" i="12"/>
  <c r="M339" i="12" s="1"/>
  <c r="L338" i="12"/>
  <c r="N338" i="12" s="1"/>
  <c r="W336" i="12"/>
  <c r="H336" i="12" s="1"/>
  <c r="L336" i="12" s="1"/>
  <c r="L334" i="12"/>
  <c r="M334" i="12" s="1"/>
  <c r="L333" i="12"/>
  <c r="N333" i="12" s="1"/>
  <c r="L332" i="12"/>
  <c r="N332" i="12" s="1"/>
  <c r="L331" i="12"/>
  <c r="M331" i="12" s="1"/>
  <c r="M337" i="12" s="1"/>
  <c r="L327" i="12"/>
  <c r="N327" i="12" s="1"/>
  <c r="L326" i="12"/>
  <c r="N326" i="12" s="1"/>
  <c r="L325" i="12"/>
  <c r="M325" i="12" s="1"/>
  <c r="L324" i="12"/>
  <c r="M324" i="12" s="1"/>
  <c r="L323" i="12"/>
  <c r="N323" i="12" s="1"/>
  <c r="L322" i="12"/>
  <c r="M322" i="12" s="1"/>
  <c r="L321" i="12"/>
  <c r="F321" i="12" s="1"/>
  <c r="L320" i="12"/>
  <c r="M320" i="12" s="1"/>
  <c r="L319" i="12"/>
  <c r="N319" i="12" s="1"/>
  <c r="L318" i="12"/>
  <c r="N318" i="12" s="1"/>
  <c r="L317" i="12"/>
  <c r="N317" i="12" s="1"/>
  <c r="L316" i="12"/>
  <c r="N316" i="12" s="1"/>
  <c r="L315" i="12"/>
  <c r="N315" i="12" s="1"/>
  <c r="L314" i="12"/>
  <c r="N314" i="12" s="1"/>
  <c r="L313" i="12"/>
  <c r="M313" i="12" s="1"/>
  <c r="G313" i="12"/>
  <c r="L312" i="12"/>
  <c r="M312" i="12" s="1"/>
  <c r="L311" i="12"/>
  <c r="M311" i="12" s="1"/>
  <c r="L310" i="12"/>
  <c r="N310" i="12" s="1"/>
  <c r="L309" i="12"/>
  <c r="F309" i="12"/>
  <c r="L308" i="12"/>
  <c r="M308" i="12" s="1"/>
  <c r="L307" i="12"/>
  <c r="M307" i="12" s="1"/>
  <c r="L306" i="12"/>
  <c r="N306" i="12" s="1"/>
  <c r="L305" i="12"/>
  <c r="M305" i="12" s="1"/>
  <c r="L304" i="12"/>
  <c r="L303" i="12"/>
  <c r="M303" i="12" s="1"/>
  <c r="L302" i="12"/>
  <c r="M302" i="12" s="1"/>
  <c r="L301" i="12"/>
  <c r="M301" i="12" s="1"/>
  <c r="L300" i="12"/>
  <c r="N300" i="12" s="1"/>
  <c r="L299" i="12"/>
  <c r="N299" i="12" s="1"/>
  <c r="L298" i="12"/>
  <c r="N298" i="12" s="1"/>
  <c r="L297" i="12"/>
  <c r="M297" i="12" s="1"/>
  <c r="L296" i="12"/>
  <c r="N296" i="12" s="1"/>
  <c r="L295" i="12"/>
  <c r="N295" i="12" s="1"/>
  <c r="W293" i="12"/>
  <c r="H293" i="12" s="1"/>
  <c r="L293" i="12" s="1"/>
  <c r="L291" i="12"/>
  <c r="F291" i="12" s="1"/>
  <c r="L290" i="12"/>
  <c r="N290" i="12" s="1"/>
  <c r="L289" i="12"/>
  <c r="M289" i="12" s="1"/>
  <c r="L288" i="12"/>
  <c r="M288" i="12" s="1"/>
  <c r="L287" i="12"/>
  <c r="M287" i="12" s="1"/>
  <c r="L286" i="12"/>
  <c r="M286" i="12" s="1"/>
  <c r="L285" i="12"/>
  <c r="N285" i="12" s="1"/>
  <c r="L284" i="12"/>
  <c r="F284" i="12" s="1"/>
  <c r="L283" i="12"/>
  <c r="N283" i="12" s="1"/>
  <c r="L282" i="12"/>
  <c r="M282" i="12" s="1"/>
  <c r="L281" i="12"/>
  <c r="M281" i="12" s="1"/>
  <c r="L280" i="12"/>
  <c r="F280" i="12" s="1"/>
  <c r="L279" i="12"/>
  <c r="M279" i="12" s="1"/>
  <c r="L278" i="12"/>
  <c r="F278" i="12" s="1"/>
  <c r="W276" i="12"/>
  <c r="H276" i="12" s="1"/>
  <c r="L276" i="12" s="1"/>
  <c r="L271" i="12"/>
  <c r="N271" i="12" s="1"/>
  <c r="L270" i="12"/>
  <c r="N270" i="12" s="1"/>
  <c r="L269" i="12"/>
  <c r="M269" i="12" s="1"/>
  <c r="L268" i="12"/>
  <c r="M268" i="12" s="1"/>
  <c r="L267" i="12"/>
  <c r="M267" i="12" s="1"/>
  <c r="L266" i="12"/>
  <c r="N266" i="12" s="1"/>
  <c r="L265" i="12"/>
  <c r="N265" i="12" s="1"/>
  <c r="L264" i="12"/>
  <c r="F264" i="12" s="1"/>
  <c r="M264" i="12" s="1"/>
  <c r="L263" i="12"/>
  <c r="M263" i="12" s="1"/>
  <c r="L262" i="12"/>
  <c r="M262" i="12" s="1"/>
  <c r="L261" i="12"/>
  <c r="M261" i="12" s="1"/>
  <c r="L260" i="12"/>
  <c r="M260" i="12" s="1"/>
  <c r="L259" i="12"/>
  <c r="L257" i="12"/>
  <c r="M257" i="12" s="1"/>
  <c r="L256" i="12"/>
  <c r="N256" i="12" s="1"/>
  <c r="L255" i="12"/>
  <c r="F255" i="12" s="1"/>
  <c r="L254" i="12"/>
  <c r="F254" i="12" s="1"/>
  <c r="L253" i="12"/>
  <c r="N253" i="12" s="1"/>
  <c r="L252" i="12"/>
  <c r="M252" i="12" s="1"/>
  <c r="L251" i="12"/>
  <c r="L250" i="12"/>
  <c r="L249" i="12"/>
  <c r="M249" i="12" s="1"/>
  <c r="L248" i="12"/>
  <c r="M248" i="12" s="1"/>
  <c r="L247" i="12"/>
  <c r="N247" i="12" s="1"/>
  <c r="L246" i="12"/>
  <c r="L245" i="12"/>
  <c r="N245" i="12" s="1"/>
  <c r="L244" i="12"/>
  <c r="N244" i="12" s="1"/>
  <c r="L243" i="12"/>
  <c r="F243" i="12" s="1"/>
  <c r="L242" i="12"/>
  <c r="N242" i="12" s="1"/>
  <c r="W240" i="12"/>
  <c r="H240" i="12" s="1"/>
  <c r="L240" i="12" s="1"/>
  <c r="L238" i="12"/>
  <c r="M238" i="12" s="1"/>
  <c r="L237" i="12"/>
  <c r="M237" i="12" s="1"/>
  <c r="H236" i="12"/>
  <c r="L236" i="12"/>
  <c r="N236" i="12" s="1"/>
  <c r="L235" i="12"/>
  <c r="F235" i="12" s="1"/>
  <c r="L234" i="12"/>
  <c r="M234" i="12" s="1"/>
  <c r="L233" i="12"/>
  <c r="M233" i="12" s="1"/>
  <c r="L232" i="12"/>
  <c r="M232" i="12" s="1"/>
  <c r="L231" i="12"/>
  <c r="L230" i="12"/>
  <c r="N230" i="12" s="1"/>
  <c r="L229" i="12"/>
  <c r="M229" i="12" s="1"/>
  <c r="L228" i="12"/>
  <c r="M228" i="12" s="1"/>
  <c r="L227" i="12"/>
  <c r="N227" i="12" s="1"/>
  <c r="L226" i="12"/>
  <c r="M226" i="12" s="1"/>
  <c r="L225" i="12"/>
  <c r="L224" i="12"/>
  <c r="N224" i="12" s="1"/>
  <c r="L223" i="12"/>
  <c r="M223" i="12" s="1"/>
  <c r="L222" i="12"/>
  <c r="M222" i="12" s="1"/>
  <c r="L221" i="12"/>
  <c r="M221" i="12" s="1"/>
  <c r="L220" i="12"/>
  <c r="N220" i="12" s="1"/>
  <c r="L219" i="12"/>
  <c r="M219" i="12" s="1"/>
  <c r="L218" i="12"/>
  <c r="M218" i="12" s="1"/>
  <c r="L216" i="12"/>
  <c r="F216" i="12" s="1"/>
  <c r="L215" i="12"/>
  <c r="F215" i="12" s="1"/>
  <c r="M215" i="12" s="1"/>
  <c r="L214" i="12"/>
  <c r="M214" i="12" s="1"/>
  <c r="L213" i="12"/>
  <c r="N213" i="12" s="1"/>
  <c r="L212" i="12"/>
  <c r="N212" i="12" s="1"/>
  <c r="L211" i="12"/>
  <c r="L210" i="12"/>
  <c r="N210" i="12" s="1"/>
  <c r="L209" i="12"/>
  <c r="N209" i="12" s="1"/>
  <c r="W207" i="12"/>
  <c r="H207" i="12" s="1"/>
  <c r="L207" i="12" s="1"/>
  <c r="N207" i="12" s="1"/>
  <c r="L205" i="12"/>
  <c r="M205" i="12" s="1"/>
  <c r="L204" i="12"/>
  <c r="M204" i="12" s="1"/>
  <c r="L203" i="12"/>
  <c r="N203" i="12" s="1"/>
  <c r="L202" i="12"/>
  <c r="L201" i="12"/>
  <c r="N201" i="12" s="1"/>
  <c r="L200" i="12"/>
  <c r="M200" i="12" s="1"/>
  <c r="L199" i="12"/>
  <c r="M199" i="12" s="1"/>
  <c r="L198" i="12"/>
  <c r="M198" i="12" s="1"/>
  <c r="L197" i="12"/>
  <c r="M197" i="12" s="1"/>
  <c r="L196" i="12"/>
  <c r="N196" i="12" s="1"/>
  <c r="L195" i="12"/>
  <c r="L194" i="12"/>
  <c r="M194" i="12" s="1"/>
  <c r="L193" i="12"/>
  <c r="N193" i="12" s="1"/>
  <c r="L192" i="12"/>
  <c r="M192" i="12" s="1"/>
  <c r="L191" i="12"/>
  <c r="N191" i="12" s="1"/>
  <c r="W189" i="12"/>
  <c r="H189" i="12" s="1"/>
  <c r="L189" i="12" s="1"/>
  <c r="N189" i="12" s="1"/>
  <c r="L188" i="12"/>
  <c r="M188" i="12" s="1"/>
  <c r="L187" i="12"/>
  <c r="M187" i="12" s="1"/>
  <c r="L186" i="12"/>
  <c r="M186" i="12" s="1"/>
  <c r="L185" i="12"/>
  <c r="N185" i="12" s="1"/>
  <c r="L184" i="12"/>
  <c r="M184" i="12" s="1"/>
  <c r="L183" i="12"/>
  <c r="M183" i="12" s="1"/>
  <c r="L182" i="12"/>
  <c r="L181" i="12"/>
  <c r="M181" i="12" s="1"/>
  <c r="L180" i="12"/>
  <c r="M180" i="12" s="1"/>
  <c r="L179" i="12"/>
  <c r="M179" i="12" s="1"/>
  <c r="L178" i="12"/>
  <c r="M178" i="12" s="1"/>
  <c r="L177" i="12"/>
  <c r="N177" i="12" s="1"/>
  <c r="L176" i="12"/>
  <c r="N176" i="12" s="1"/>
  <c r="L175" i="12"/>
  <c r="N175" i="12" s="1"/>
  <c r="L174" i="12"/>
  <c r="M174" i="12" s="1"/>
  <c r="L173" i="12"/>
  <c r="N173" i="12" s="1"/>
  <c r="L172" i="12"/>
  <c r="M172" i="12" s="1"/>
  <c r="L171" i="12"/>
  <c r="N171" i="12" s="1"/>
  <c r="L170" i="12"/>
  <c r="M170" i="12" s="1"/>
  <c r="L169" i="12"/>
  <c r="M169" i="12" s="1"/>
  <c r="L168" i="12"/>
  <c r="N168" i="12" s="1"/>
  <c r="L167" i="12"/>
  <c r="N167" i="12" s="1"/>
  <c r="L166" i="12"/>
  <c r="M166" i="12" s="1"/>
  <c r="L165" i="12"/>
  <c r="M165" i="12" s="1"/>
  <c r="L164" i="12"/>
  <c r="M164" i="12" s="1"/>
  <c r="L163" i="12"/>
  <c r="M163" i="12" s="1"/>
  <c r="L162" i="12"/>
  <c r="M162" i="12" s="1"/>
  <c r="L161" i="12"/>
  <c r="N161" i="12" s="1"/>
  <c r="L160" i="12"/>
  <c r="M160" i="12" s="1"/>
  <c r="L159" i="12"/>
  <c r="M159" i="12" s="1"/>
  <c r="L158" i="12"/>
  <c r="F158" i="12" s="1"/>
  <c r="N158" i="12" s="1"/>
  <c r="H157" i="12"/>
  <c r="L157" i="12" s="1"/>
  <c r="M157" i="12" s="1"/>
  <c r="L155" i="12"/>
  <c r="N155" i="12" s="1"/>
  <c r="L154" i="12"/>
  <c r="M154" i="12" s="1"/>
  <c r="L153" i="12"/>
  <c r="M153" i="12" s="1"/>
  <c r="M190" i="12" s="1"/>
  <c r="W151" i="12"/>
  <c r="H151" i="12" s="1"/>
  <c r="L151" i="12" s="1"/>
  <c r="L150" i="12"/>
  <c r="N150" i="12" s="1"/>
  <c r="L149" i="12"/>
  <c r="N149" i="12" s="1"/>
  <c r="L148" i="12"/>
  <c r="N148" i="12" s="1"/>
  <c r="W146" i="12"/>
  <c r="H146" i="12" s="1"/>
  <c r="L146" i="12" s="1"/>
  <c r="N146" i="12" s="1"/>
  <c r="L142" i="12"/>
  <c r="M142" i="12" s="1"/>
  <c r="L141" i="12"/>
  <c r="L140" i="12"/>
  <c r="M140" i="12" s="1"/>
  <c r="L139" i="12"/>
  <c r="N139" i="12" s="1"/>
  <c r="L138" i="12"/>
  <c r="M138" i="12" s="1"/>
  <c r="L137" i="12"/>
  <c r="M137" i="12" s="1"/>
  <c r="L136" i="12"/>
  <c r="M136" i="12" s="1"/>
  <c r="L135" i="12"/>
  <c r="F135" i="12" s="1"/>
  <c r="N135" i="12" s="1"/>
  <c r="L134" i="12"/>
  <c r="F134" i="12" s="1"/>
  <c r="M134" i="12" s="1"/>
  <c r="L133" i="12"/>
  <c r="M133" i="12" s="1"/>
  <c r="L132" i="12"/>
  <c r="N132" i="12" s="1"/>
  <c r="L131" i="12"/>
  <c r="M131" i="12" s="1"/>
  <c r="L130" i="12"/>
  <c r="N130" i="12" s="1"/>
  <c r="L129" i="12"/>
  <c r="M129" i="12" s="1"/>
  <c r="L128" i="12"/>
  <c r="M128" i="12" s="1"/>
  <c r="L127" i="12"/>
  <c r="M127" i="12" s="1"/>
  <c r="L126" i="12"/>
  <c r="L125" i="12"/>
  <c r="M125" i="12" s="1"/>
  <c r="L124" i="12"/>
  <c r="M124" i="12" s="1"/>
  <c r="L123" i="12"/>
  <c r="M123" i="12" s="1"/>
  <c r="L122" i="12"/>
  <c r="F122" i="12" s="1"/>
  <c r="N122" i="12" s="1"/>
  <c r="L121" i="12"/>
  <c r="N121" i="12" s="1"/>
  <c r="L120" i="12"/>
  <c r="M120" i="12" s="1"/>
  <c r="L119" i="12"/>
  <c r="N119" i="12" s="1"/>
  <c r="L118" i="12"/>
  <c r="N118" i="12" s="1"/>
  <c r="L117" i="12"/>
  <c r="N117" i="12" s="1"/>
  <c r="L116" i="12"/>
  <c r="M116" i="12" s="1"/>
  <c r="L115" i="12"/>
  <c r="M115" i="12" s="1"/>
  <c r="L114" i="12"/>
  <c r="L113" i="12"/>
  <c r="M113" i="12" s="1"/>
  <c r="L112" i="12"/>
  <c r="W110" i="12"/>
  <c r="H110" i="12" s="1"/>
  <c r="L110" i="12" s="1"/>
  <c r="M110" i="12" s="1"/>
  <c r="L108" i="12"/>
  <c r="N108" i="12" s="1"/>
  <c r="H107" i="12"/>
  <c r="L107" i="12"/>
  <c r="M107" i="12" s="1"/>
  <c r="F107" i="12"/>
  <c r="L106" i="12"/>
  <c r="N106" i="12" s="1"/>
  <c r="L105" i="12"/>
  <c r="N105" i="12" s="1"/>
  <c r="W102" i="12"/>
  <c r="H102" i="12" s="1"/>
  <c r="L102" i="12" s="1"/>
  <c r="N102" i="12" s="1"/>
  <c r="L100" i="12"/>
  <c r="M100" i="12" s="1"/>
  <c r="L99" i="12"/>
  <c r="M99" i="12" s="1"/>
  <c r="L98" i="12"/>
  <c r="M98" i="12" s="1"/>
  <c r="L97" i="12"/>
  <c r="M97" i="12" s="1"/>
  <c r="L96" i="12"/>
  <c r="M96" i="12" s="1"/>
  <c r="L95" i="12"/>
  <c r="L94" i="12"/>
  <c r="M94" i="12" s="1"/>
  <c r="L93" i="12"/>
  <c r="M93" i="12" s="1"/>
  <c r="L92" i="12"/>
  <c r="M92" i="12" s="1"/>
  <c r="L91" i="12"/>
  <c r="L90" i="12"/>
  <c r="M90" i="12" s="1"/>
  <c r="L89" i="12"/>
  <c r="M89" i="12" s="1"/>
  <c r="L88" i="12"/>
  <c r="M88" i="12" s="1"/>
  <c r="L87" i="12"/>
  <c r="M87" i="12" s="1"/>
  <c r="L86" i="12"/>
  <c r="N86" i="12" s="1"/>
  <c r="L85" i="12"/>
  <c r="N85" i="12" s="1"/>
  <c r="L84" i="12"/>
  <c r="N84" i="12" s="1"/>
  <c r="L83" i="12"/>
  <c r="L82" i="12"/>
  <c r="M82" i="12" s="1"/>
  <c r="L81" i="12"/>
  <c r="L70" i="12"/>
  <c r="N70" i="12" s="1"/>
  <c r="L69" i="12"/>
  <c r="M69" i="12" s="1"/>
  <c r="L68" i="12"/>
  <c r="M68" i="12" s="1"/>
  <c r="L67" i="12"/>
  <c r="M67" i="12" s="1"/>
  <c r="L66" i="12"/>
  <c r="L65" i="12"/>
  <c r="N65" i="12" s="1"/>
  <c r="L64" i="12"/>
  <c r="F64" i="12"/>
  <c r="L63" i="12"/>
  <c r="N63" i="12" s="1"/>
  <c r="L62" i="12"/>
  <c r="N62" i="12" s="1"/>
  <c r="L61" i="12"/>
  <c r="M61" i="12" s="1"/>
  <c r="L60" i="12"/>
  <c r="L59" i="12"/>
  <c r="N59" i="12" s="1"/>
  <c r="L58" i="12"/>
  <c r="N58" i="12" s="1"/>
  <c r="L57" i="12"/>
  <c r="N57" i="12" s="1"/>
  <c r="L56" i="12"/>
  <c r="M56" i="12" s="1"/>
  <c r="L55" i="12"/>
  <c r="N55" i="12" s="1"/>
  <c r="L54" i="12"/>
  <c r="N54" i="12" s="1"/>
  <c r="L53" i="12"/>
  <c r="N53" i="12" s="1"/>
  <c r="F53" i="12"/>
  <c r="L50" i="12"/>
  <c r="N50" i="12" s="1"/>
  <c r="L49" i="12"/>
  <c r="N49" i="12" s="1"/>
  <c r="L48" i="12"/>
  <c r="M48" i="12" s="1"/>
  <c r="L47" i="12"/>
  <c r="F47" i="12" s="1"/>
  <c r="L46" i="12"/>
  <c r="M46" i="12" s="1"/>
  <c r="L45" i="12"/>
  <c r="F45" i="12" s="1"/>
  <c r="M45" i="12" s="1"/>
  <c r="L44" i="12"/>
  <c r="F44" i="12" s="1"/>
  <c r="L43" i="12"/>
  <c r="L42" i="12"/>
  <c r="N42" i="12" s="1"/>
  <c r="L41" i="12"/>
  <c r="L40" i="12"/>
  <c r="N40" i="12" s="1"/>
  <c r="L39" i="12"/>
  <c r="L38" i="12"/>
  <c r="N38" i="12" s="1"/>
  <c r="L37" i="12"/>
  <c r="M37" i="12" s="1"/>
  <c r="L36" i="12"/>
  <c r="N36" i="12" s="1"/>
  <c r="L35" i="12"/>
  <c r="M35" i="12" s="1"/>
  <c r="L32" i="12"/>
  <c r="N32" i="12" s="1"/>
  <c r="L31" i="12"/>
  <c r="N31" i="12" s="1"/>
  <c r="W29" i="12"/>
  <c r="F28" i="12" s="1"/>
  <c r="H25" i="12"/>
  <c r="L25" i="12"/>
  <c r="M25" i="12" s="1"/>
  <c r="L24" i="12"/>
  <c r="N24" i="12" s="1"/>
  <c r="L23" i="12"/>
  <c r="M23" i="12" s="1"/>
  <c r="L22" i="12"/>
  <c r="N22" i="12" s="1"/>
  <c r="L21" i="12"/>
  <c r="N21" i="12" s="1"/>
  <c r="L20" i="12"/>
  <c r="N20" i="12" s="1"/>
  <c r="L19" i="12"/>
  <c r="M19" i="12" s="1"/>
  <c r="L18" i="12"/>
  <c r="N18" i="12" s="1"/>
  <c r="L17" i="12"/>
  <c r="M17" i="12" s="1"/>
  <c r="M30" i="12" s="1"/>
  <c r="L15" i="12"/>
  <c r="M15" i="12" s="1"/>
  <c r="W14" i="12"/>
  <c r="H14" i="12" s="1"/>
  <c r="L14" i="12" s="1"/>
  <c r="M14" i="12" s="1"/>
  <c r="L11" i="12"/>
  <c r="N11" i="12" s="1"/>
  <c r="L10" i="12"/>
  <c r="N10" i="12" s="1"/>
  <c r="L9" i="12"/>
  <c r="L8" i="12"/>
  <c r="L7" i="12"/>
  <c r="N7" i="12" s="1"/>
  <c r="H494" i="12"/>
  <c r="L494" i="12" s="1"/>
  <c r="M494" i="12" s="1"/>
  <c r="N104" i="12"/>
  <c r="M105" i="12"/>
  <c r="M52" i="12"/>
  <c r="J342" i="9"/>
  <c r="L342" i="9"/>
  <c r="M342" i="9"/>
  <c r="K395" i="9"/>
  <c r="B395" i="9"/>
  <c r="J394" i="9"/>
  <c r="L394" i="9"/>
  <c r="M394" i="9"/>
  <c r="J393" i="9"/>
  <c r="L393" i="9"/>
  <c r="M393" i="9"/>
  <c r="J392" i="9"/>
  <c r="L392" i="9"/>
  <c r="M392" i="9"/>
  <c r="J391" i="9"/>
  <c r="J395" i="9"/>
  <c r="L391" i="9"/>
  <c r="J129" i="9"/>
  <c r="L129" i="9"/>
  <c r="M129" i="9"/>
  <c r="J130" i="9"/>
  <c r="L130" i="9"/>
  <c r="M130" i="9"/>
  <c r="L395" i="9"/>
  <c r="M391" i="9"/>
  <c r="M395" i="9"/>
  <c r="B390" i="9"/>
  <c r="K390" i="9"/>
  <c r="J389" i="9"/>
  <c r="L389" i="9"/>
  <c r="M389" i="9"/>
  <c r="J388" i="9"/>
  <c r="L388" i="9"/>
  <c r="M388" i="9"/>
  <c r="J387" i="9"/>
  <c r="L387" i="9"/>
  <c r="M387" i="9"/>
  <c r="J386" i="9"/>
  <c r="L386" i="9"/>
  <c r="J89" i="9"/>
  <c r="L89" i="9"/>
  <c r="M89" i="9"/>
  <c r="K385" i="9"/>
  <c r="J384" i="9"/>
  <c r="L384" i="9"/>
  <c r="M384" i="9"/>
  <c r="J383" i="9"/>
  <c r="L383" i="9"/>
  <c r="M383" i="9"/>
  <c r="J382" i="9"/>
  <c r="L382" i="9"/>
  <c r="M382" i="9"/>
  <c r="J381" i="9"/>
  <c r="L381" i="9"/>
  <c r="M381" i="9"/>
  <c r="M385" i="9"/>
  <c r="J385" i="9"/>
  <c r="L390" i="9"/>
  <c r="M386" i="9"/>
  <c r="M390" i="9"/>
  <c r="J390" i="9"/>
  <c r="J368" i="9"/>
  <c r="L368" i="9"/>
  <c r="M368" i="9"/>
  <c r="J369" i="9"/>
  <c r="L369" i="9"/>
  <c r="M369" i="9"/>
  <c r="J370" i="9"/>
  <c r="L370" i="9"/>
  <c r="M370" i="9"/>
  <c r="K380" i="9"/>
  <c r="J379" i="9"/>
  <c r="L379" i="9"/>
  <c r="M379" i="9"/>
  <c r="J378" i="9"/>
  <c r="L378" i="9"/>
  <c r="M378" i="9"/>
  <c r="J377" i="9"/>
  <c r="L377" i="9"/>
  <c r="M377" i="9"/>
  <c r="J376" i="9"/>
  <c r="L376" i="9"/>
  <c r="L385" i="9"/>
  <c r="L380" i="9"/>
  <c r="M376" i="9"/>
  <c r="M380" i="9"/>
  <c r="J380" i="9"/>
  <c r="J356" i="9"/>
  <c r="L356" i="9"/>
  <c r="M356" i="9"/>
  <c r="J357" i="9"/>
  <c r="L357" i="9"/>
  <c r="M357" i="9"/>
  <c r="J358" i="9"/>
  <c r="J365" i="9"/>
  <c r="L365" i="9"/>
  <c r="M365" i="9"/>
  <c r="F366" i="9"/>
  <c r="J366" i="9"/>
  <c r="L366" i="9"/>
  <c r="M366" i="9"/>
  <c r="D367" i="9"/>
  <c r="F367" i="9"/>
  <c r="J367" i="9"/>
  <c r="L367" i="9"/>
  <c r="M367" i="9"/>
  <c r="J363" i="9"/>
  <c r="L363" i="9"/>
  <c r="M363" i="9"/>
  <c r="J364" i="9"/>
  <c r="L364" i="9"/>
  <c r="M364" i="9"/>
  <c r="D351" i="9"/>
  <c r="J172" i="9"/>
  <c r="L172" i="9"/>
  <c r="M172" i="9"/>
  <c r="J355" i="9"/>
  <c r="J353" i="9"/>
  <c r="L353" i="9"/>
  <c r="M353" i="9"/>
  <c r="J352" i="9"/>
  <c r="L352" i="9"/>
  <c r="M352" i="9"/>
  <c r="L355" i="9"/>
  <c r="M355" i="9"/>
  <c r="J341" i="9"/>
  <c r="L341" i="9"/>
  <c r="M341" i="9"/>
  <c r="J65" i="9"/>
  <c r="L65" i="9"/>
  <c r="M65" i="9"/>
  <c r="J350" i="9"/>
  <c r="L350" i="9"/>
  <c r="M350" i="9"/>
  <c r="J97" i="9"/>
  <c r="L97" i="9"/>
  <c r="M97" i="9"/>
  <c r="F96" i="9"/>
  <c r="D96" i="9"/>
  <c r="J95" i="9"/>
  <c r="L95" i="9"/>
  <c r="M95" i="9"/>
  <c r="J96" i="9"/>
  <c r="L96" i="9"/>
  <c r="M96" i="9"/>
  <c r="K99" i="1"/>
  <c r="J128" i="9"/>
  <c r="L128" i="9"/>
  <c r="M128" i="9"/>
  <c r="J354" i="9"/>
  <c r="L354" i="9"/>
  <c r="M354" i="9"/>
  <c r="J64" i="9"/>
  <c r="L64" i="9"/>
  <c r="M64" i="9"/>
  <c r="J88" i="9"/>
  <c r="L88" i="9"/>
  <c r="M88" i="9"/>
  <c r="E135" i="1"/>
  <c r="J351" i="9"/>
  <c r="L351" i="9"/>
  <c r="M351" i="9"/>
  <c r="L358" i="9"/>
  <c r="M358" i="9"/>
  <c r="J349" i="9"/>
  <c r="L349" i="9"/>
  <c r="M349" i="9"/>
  <c r="J127" i="9"/>
  <c r="L127" i="9"/>
  <c r="M127" i="9"/>
  <c r="F344" i="9"/>
  <c r="K375" i="9"/>
  <c r="J374" i="9"/>
  <c r="L374" i="9"/>
  <c r="M374" i="9"/>
  <c r="J373" i="9"/>
  <c r="L373" i="9"/>
  <c r="M373" i="9"/>
  <c r="J372" i="9"/>
  <c r="L372" i="9"/>
  <c r="K371" i="9"/>
  <c r="J362" i="9"/>
  <c r="J361" i="9"/>
  <c r="L361" i="9"/>
  <c r="M361" i="9"/>
  <c r="J360" i="9"/>
  <c r="L360" i="9"/>
  <c r="M360" i="9"/>
  <c r="J371" i="9"/>
  <c r="L362" i="9"/>
  <c r="M362" i="9"/>
  <c r="L375" i="9"/>
  <c r="M372" i="9"/>
  <c r="M375" i="9"/>
  <c r="J375" i="9"/>
  <c r="M371" i="9"/>
  <c r="L371" i="9"/>
  <c r="K345" i="9"/>
  <c r="J344" i="9"/>
  <c r="J340" i="9"/>
  <c r="L340" i="9"/>
  <c r="L344" i="9"/>
  <c r="M344" i="9"/>
  <c r="K359" i="9"/>
  <c r="M340" i="9"/>
  <c r="J348" i="9"/>
  <c r="L348" i="9"/>
  <c r="M348" i="9"/>
  <c r="J347" i="9"/>
  <c r="L347" i="9"/>
  <c r="M347" i="9"/>
  <c r="J346" i="9"/>
  <c r="J359" i="9"/>
  <c r="L346" i="9"/>
  <c r="J62" i="9"/>
  <c r="L62" i="9"/>
  <c r="M62" i="9"/>
  <c r="M346" i="9"/>
  <c r="M359" i="9"/>
  <c r="L359" i="9"/>
  <c r="J126" i="9"/>
  <c r="L126" i="9"/>
  <c r="M126" i="9"/>
  <c r="J86" i="9"/>
  <c r="L86" i="9"/>
  <c r="M86" i="9"/>
  <c r="J87" i="9"/>
  <c r="L87" i="9"/>
  <c r="M87" i="9"/>
  <c r="K145" i="1"/>
  <c r="L145" i="1"/>
  <c r="J11" i="9"/>
  <c r="L11" i="9"/>
  <c r="M11" i="9"/>
  <c r="D59" i="9"/>
  <c r="J305" i="9"/>
  <c r="J303" i="9"/>
  <c r="J304" i="9"/>
  <c r="L304" i="9"/>
  <c r="M304" i="9"/>
  <c r="J188" i="9"/>
  <c r="L188" i="9"/>
  <c r="M188" i="9"/>
  <c r="J189" i="9"/>
  <c r="L189" i="9"/>
  <c r="M189" i="9"/>
  <c r="J56" i="9"/>
  <c r="J57" i="9"/>
  <c r="J58" i="9"/>
  <c r="J59" i="9"/>
  <c r="J60" i="9"/>
  <c r="L60" i="9"/>
  <c r="M60" i="9"/>
  <c r="J61" i="9"/>
  <c r="L61" i="9"/>
  <c r="M61" i="9"/>
  <c r="J63" i="9"/>
  <c r="L59" i="9"/>
  <c r="M59" i="9"/>
  <c r="L63" i="9"/>
  <c r="M63" i="9"/>
  <c r="D332" i="9"/>
  <c r="K59" i="1"/>
  <c r="D287" i="9"/>
  <c r="L303" i="9"/>
  <c r="M303" i="9"/>
  <c r="D48" i="9"/>
  <c r="J171" i="9"/>
  <c r="L171" i="9"/>
  <c r="M171" i="9"/>
  <c r="J10" i="9"/>
  <c r="L10" i="9"/>
  <c r="M10" i="9"/>
  <c r="E291" i="9"/>
  <c r="K289" i="1"/>
  <c r="L289" i="1"/>
  <c r="K35" i="9"/>
  <c r="J217" i="9"/>
  <c r="J219" i="9"/>
  <c r="L219" i="9"/>
  <c r="M219" i="9"/>
  <c r="J220" i="9"/>
  <c r="L220" i="9"/>
  <c r="M220" i="9"/>
  <c r="K311" i="1"/>
  <c r="L311" i="1"/>
  <c r="J125" i="9"/>
  <c r="L125" i="9"/>
  <c r="M125" i="9"/>
  <c r="J85" i="9"/>
  <c r="L85" i="9"/>
  <c r="M85" i="9"/>
  <c r="K137" i="9"/>
  <c r="F343" i="9"/>
  <c r="J343" i="9"/>
  <c r="Q447" i="1"/>
  <c r="G447" i="1"/>
  <c r="K447" i="1"/>
  <c r="L448" i="1"/>
  <c r="L343" i="9"/>
  <c r="J345" i="9"/>
  <c r="J124" i="9"/>
  <c r="L124" i="9"/>
  <c r="M124" i="9"/>
  <c r="T338" i="9"/>
  <c r="F338" i="9"/>
  <c r="J338" i="9"/>
  <c r="T330" i="9"/>
  <c r="F330" i="9"/>
  <c r="J330" i="9"/>
  <c r="T312" i="9"/>
  <c r="F312" i="9"/>
  <c r="J312" i="9"/>
  <c r="T306" i="9"/>
  <c r="F306" i="9"/>
  <c r="J306" i="9"/>
  <c r="T271" i="9"/>
  <c r="F271" i="9"/>
  <c r="J271" i="9"/>
  <c r="T255" i="9"/>
  <c r="F255" i="9"/>
  <c r="J255" i="9"/>
  <c r="T222" i="9"/>
  <c r="F222" i="9"/>
  <c r="J222" i="9"/>
  <c r="T190" i="9"/>
  <c r="F190" i="9"/>
  <c r="J190" i="9"/>
  <c r="T173" i="9"/>
  <c r="F173" i="9"/>
  <c r="J173" i="9"/>
  <c r="T136" i="9"/>
  <c r="F136" i="9"/>
  <c r="J136" i="9"/>
  <c r="T131" i="9"/>
  <c r="T98" i="9"/>
  <c r="F98" i="9"/>
  <c r="J98" i="9"/>
  <c r="T90" i="9"/>
  <c r="F90" i="9"/>
  <c r="J90" i="9"/>
  <c r="T66" i="9"/>
  <c r="F66" i="9"/>
  <c r="J66" i="9"/>
  <c r="T25" i="9"/>
  <c r="F25" i="9"/>
  <c r="J25" i="9"/>
  <c r="T13" i="9"/>
  <c r="F13" i="9"/>
  <c r="J13" i="9"/>
  <c r="K339" i="9"/>
  <c r="F218" i="9"/>
  <c r="J218" i="9"/>
  <c r="L218" i="9"/>
  <c r="M218" i="9"/>
  <c r="F24" i="9"/>
  <c r="M343" i="9"/>
  <c r="L345" i="9"/>
  <c r="M345" i="9"/>
  <c r="F131" i="9"/>
  <c r="J131" i="9"/>
  <c r="L131" i="9"/>
  <c r="M131" i="9"/>
  <c r="J38" i="9"/>
  <c r="L38" i="9"/>
  <c r="M38" i="9"/>
  <c r="J39" i="9"/>
  <c r="J40" i="9"/>
  <c r="J41" i="9"/>
  <c r="J42" i="9"/>
  <c r="L42" i="9"/>
  <c r="M42" i="9"/>
  <c r="J43" i="9"/>
  <c r="J337" i="9"/>
  <c r="L337" i="9"/>
  <c r="M337" i="9"/>
  <c r="J336" i="9"/>
  <c r="L336" i="9"/>
  <c r="M336" i="9"/>
  <c r="J335" i="9"/>
  <c r="L335" i="9"/>
  <c r="M335" i="9"/>
  <c r="J334" i="9"/>
  <c r="L334" i="9"/>
  <c r="M334" i="9"/>
  <c r="J333" i="9"/>
  <c r="L333" i="9"/>
  <c r="M333" i="9"/>
  <c r="J332" i="9"/>
  <c r="L332" i="9"/>
  <c r="M332" i="9"/>
  <c r="J83" i="9"/>
  <c r="L83" i="9"/>
  <c r="M83" i="9"/>
  <c r="J84" i="9"/>
  <c r="L84" i="9"/>
  <c r="M84" i="9"/>
  <c r="L90" i="9"/>
  <c r="M90" i="9"/>
  <c r="J91" i="9"/>
  <c r="J55" i="9"/>
  <c r="L55" i="9"/>
  <c r="M55" i="9"/>
  <c r="L56" i="9"/>
  <c r="M56" i="9"/>
  <c r="L57" i="9"/>
  <c r="M57" i="9"/>
  <c r="L66" i="9"/>
  <c r="M66" i="9"/>
  <c r="J67" i="9"/>
  <c r="L67" i="9"/>
  <c r="M67" i="9"/>
  <c r="J8" i="9"/>
  <c r="J9" i="9"/>
  <c r="J14" i="9"/>
  <c r="L14" i="9"/>
  <c r="M14" i="9"/>
  <c r="J22" i="9"/>
  <c r="L22" i="9"/>
  <c r="M22" i="9"/>
  <c r="J23" i="9"/>
  <c r="L23" i="9"/>
  <c r="M23" i="9"/>
  <c r="J24" i="9"/>
  <c r="L24" i="9"/>
  <c r="M24" i="9"/>
  <c r="L25" i="9"/>
  <c r="M25" i="9"/>
  <c r="L91" i="9"/>
  <c r="L39" i="9"/>
  <c r="M39" i="9"/>
  <c r="L9" i="9"/>
  <c r="M9" i="9"/>
  <c r="L58" i="9"/>
  <c r="M58" i="9"/>
  <c r="L338" i="9"/>
  <c r="J339" i="9"/>
  <c r="L13" i="9"/>
  <c r="D43" i="9"/>
  <c r="L43" i="9"/>
  <c r="M43" i="9"/>
  <c r="D41" i="9"/>
  <c r="L41" i="9"/>
  <c r="M41" i="9"/>
  <c r="D40" i="9"/>
  <c r="L40" i="9"/>
  <c r="M40" i="9"/>
  <c r="D8" i="9"/>
  <c r="L8" i="9"/>
  <c r="M8" i="9"/>
  <c r="K331" i="9"/>
  <c r="K313" i="9"/>
  <c r="K307" i="9"/>
  <c r="K272" i="9"/>
  <c r="J260" i="9"/>
  <c r="L260" i="9"/>
  <c r="M260" i="9"/>
  <c r="J261" i="9"/>
  <c r="L261" i="9"/>
  <c r="M261" i="9"/>
  <c r="J262" i="9"/>
  <c r="L262" i="9"/>
  <c r="M262" i="9"/>
  <c r="J263" i="9"/>
  <c r="K256" i="9"/>
  <c r="K223" i="9"/>
  <c r="K191" i="9"/>
  <c r="K174" i="9"/>
  <c r="K132" i="9"/>
  <c r="K99" i="9"/>
  <c r="K92" i="9"/>
  <c r="J54" i="9"/>
  <c r="L54" i="9"/>
  <c r="M54" i="9"/>
  <c r="K68" i="9"/>
  <c r="K27" i="9"/>
  <c r="K15" i="9"/>
  <c r="K418" i="9"/>
  <c r="K417" i="9"/>
  <c r="M91" i="9"/>
  <c r="M338" i="9"/>
  <c r="L339" i="9"/>
  <c r="M13" i="9"/>
  <c r="D263" i="9"/>
  <c r="L263" i="9"/>
  <c r="M263" i="9"/>
  <c r="M271" i="9"/>
  <c r="L271" i="9"/>
  <c r="M222" i="9"/>
  <c r="L222" i="9"/>
  <c r="M173" i="9"/>
  <c r="L173" i="9"/>
  <c r="M136" i="9"/>
  <c r="L136" i="9"/>
  <c r="M98" i="9"/>
  <c r="L98" i="9"/>
  <c r="M339" i="9"/>
  <c r="J93" i="9"/>
  <c r="L93" i="9"/>
  <c r="M93" i="9"/>
  <c r="J317" i="9"/>
  <c r="L317" i="9"/>
  <c r="M317" i="9"/>
  <c r="J318" i="9"/>
  <c r="L318" i="9"/>
  <c r="M318" i="9"/>
  <c r="J319" i="9"/>
  <c r="L319" i="9"/>
  <c r="M319" i="9"/>
  <c r="J320" i="9"/>
  <c r="J321" i="9"/>
  <c r="J322" i="9"/>
  <c r="L322" i="9"/>
  <c r="M322" i="9"/>
  <c r="J323" i="9"/>
  <c r="J324" i="9"/>
  <c r="L324" i="9"/>
  <c r="M324" i="9"/>
  <c r="J325" i="9"/>
  <c r="L325" i="9"/>
  <c r="M325" i="9"/>
  <c r="J326" i="9"/>
  <c r="L326" i="9"/>
  <c r="M326" i="9"/>
  <c r="J327" i="9"/>
  <c r="L327" i="9"/>
  <c r="M327" i="9"/>
  <c r="J328" i="9"/>
  <c r="L330" i="9"/>
  <c r="M330" i="9"/>
  <c r="J316" i="9"/>
  <c r="L316" i="9"/>
  <c r="M316" i="9"/>
  <c r="J315" i="9"/>
  <c r="L315" i="9"/>
  <c r="M315" i="9"/>
  <c r="J314" i="9"/>
  <c r="L314" i="9"/>
  <c r="M314" i="9"/>
  <c r="J311" i="9"/>
  <c r="L311" i="9"/>
  <c r="M311" i="9"/>
  <c r="J310" i="9"/>
  <c r="L310" i="9"/>
  <c r="M310" i="9"/>
  <c r="J309" i="9"/>
  <c r="L309" i="9"/>
  <c r="M309" i="9"/>
  <c r="J308" i="9"/>
  <c r="L308" i="9"/>
  <c r="M308" i="9"/>
  <c r="J276" i="9"/>
  <c r="L276" i="9"/>
  <c r="M276" i="9"/>
  <c r="J277" i="9"/>
  <c r="L277" i="9"/>
  <c r="M277" i="9"/>
  <c r="J278" i="9"/>
  <c r="L278" i="9"/>
  <c r="M278" i="9"/>
  <c r="J279" i="9"/>
  <c r="L279" i="9"/>
  <c r="M279" i="9"/>
  <c r="J280" i="9"/>
  <c r="L280" i="9"/>
  <c r="M280" i="9"/>
  <c r="J281" i="9"/>
  <c r="J282" i="9"/>
  <c r="L282" i="9"/>
  <c r="M282" i="9"/>
  <c r="J283" i="9"/>
  <c r="L283" i="9"/>
  <c r="M283" i="9"/>
  <c r="J284" i="9"/>
  <c r="L284" i="9"/>
  <c r="M284" i="9"/>
  <c r="J285" i="9"/>
  <c r="L285" i="9"/>
  <c r="M285" i="9"/>
  <c r="J286" i="9"/>
  <c r="L286" i="9"/>
  <c r="M286" i="9"/>
  <c r="J287" i="9"/>
  <c r="L287" i="9"/>
  <c r="M287" i="9"/>
  <c r="J288" i="9"/>
  <c r="L288" i="9"/>
  <c r="M288" i="9"/>
  <c r="J289" i="9"/>
  <c r="L289" i="9"/>
  <c r="M289" i="9"/>
  <c r="J290" i="9"/>
  <c r="L290" i="9"/>
  <c r="M290" i="9"/>
  <c r="J291" i="9"/>
  <c r="L291" i="9"/>
  <c r="M291" i="9"/>
  <c r="J292" i="9"/>
  <c r="L292" i="9"/>
  <c r="M292" i="9"/>
  <c r="J293" i="9"/>
  <c r="L293" i="9"/>
  <c r="M293" i="9"/>
  <c r="J294" i="9"/>
  <c r="L294" i="9"/>
  <c r="M294" i="9"/>
  <c r="J295" i="9"/>
  <c r="L295" i="9"/>
  <c r="M295" i="9"/>
  <c r="J296" i="9"/>
  <c r="J297" i="9"/>
  <c r="L297" i="9"/>
  <c r="M297" i="9"/>
  <c r="J298" i="9"/>
  <c r="L298" i="9"/>
  <c r="M298" i="9"/>
  <c r="J299" i="9"/>
  <c r="J300" i="9"/>
  <c r="L300" i="9"/>
  <c r="M300" i="9"/>
  <c r="J301" i="9"/>
  <c r="L301" i="9"/>
  <c r="M301" i="9"/>
  <c r="J302" i="9"/>
  <c r="L302" i="9"/>
  <c r="M302" i="9"/>
  <c r="L306" i="9"/>
  <c r="M306" i="9"/>
  <c r="J275" i="9"/>
  <c r="L275" i="9"/>
  <c r="M275" i="9"/>
  <c r="J274" i="9"/>
  <c r="L274" i="9"/>
  <c r="M274" i="9"/>
  <c r="J273" i="9"/>
  <c r="L273" i="9"/>
  <c r="M273" i="9"/>
  <c r="J264" i="9"/>
  <c r="L264" i="9"/>
  <c r="M264" i="9"/>
  <c r="J265" i="9"/>
  <c r="L265" i="9"/>
  <c r="M265" i="9"/>
  <c r="J266" i="9"/>
  <c r="L266" i="9"/>
  <c r="M266" i="9"/>
  <c r="J267" i="9"/>
  <c r="L267" i="9"/>
  <c r="M267" i="9"/>
  <c r="J268" i="9"/>
  <c r="L268" i="9"/>
  <c r="M268" i="9"/>
  <c r="J269" i="9"/>
  <c r="L269" i="9"/>
  <c r="M269" i="9"/>
  <c r="J270" i="9"/>
  <c r="J259" i="9"/>
  <c r="J258" i="9"/>
  <c r="L258" i="9"/>
  <c r="M258" i="9"/>
  <c r="J257" i="9"/>
  <c r="J226" i="9"/>
  <c r="L226" i="9"/>
  <c r="M226" i="9"/>
  <c r="J227" i="9"/>
  <c r="L227" i="9"/>
  <c r="M227" i="9"/>
  <c r="J228" i="9"/>
  <c r="L228" i="9"/>
  <c r="M228" i="9"/>
  <c r="J229" i="9"/>
  <c r="L229" i="9"/>
  <c r="M229" i="9"/>
  <c r="J230" i="9"/>
  <c r="L230" i="9"/>
  <c r="M230" i="9"/>
  <c r="J231" i="9"/>
  <c r="L231" i="9"/>
  <c r="M231" i="9"/>
  <c r="J232" i="9"/>
  <c r="L232" i="9"/>
  <c r="M232" i="9"/>
  <c r="J233" i="9"/>
  <c r="L233" i="9"/>
  <c r="M233" i="9"/>
  <c r="J234" i="9"/>
  <c r="L234" i="9"/>
  <c r="M234" i="9"/>
  <c r="J235" i="9"/>
  <c r="L235" i="9"/>
  <c r="M235" i="9"/>
  <c r="J236" i="9"/>
  <c r="J237" i="9"/>
  <c r="J238" i="9"/>
  <c r="L238" i="9"/>
  <c r="M238" i="9"/>
  <c r="J239" i="9"/>
  <c r="L239" i="9"/>
  <c r="M239" i="9"/>
  <c r="J240" i="9"/>
  <c r="L240" i="9"/>
  <c r="M240" i="9"/>
  <c r="J241" i="9"/>
  <c r="L241" i="9"/>
  <c r="M241" i="9"/>
  <c r="J242" i="9"/>
  <c r="L242" i="9"/>
  <c r="M242" i="9"/>
  <c r="J243" i="9"/>
  <c r="L243" i="9"/>
  <c r="M243" i="9"/>
  <c r="J244" i="9"/>
  <c r="L244" i="9"/>
  <c r="M244" i="9"/>
  <c r="J245" i="9"/>
  <c r="J246" i="9"/>
  <c r="L246" i="9"/>
  <c r="M246" i="9"/>
  <c r="J247" i="9"/>
  <c r="J248" i="9"/>
  <c r="J249" i="9"/>
  <c r="L249" i="9"/>
  <c r="M249" i="9"/>
  <c r="J250" i="9"/>
  <c r="L250" i="9"/>
  <c r="M250" i="9"/>
  <c r="J251" i="9"/>
  <c r="L251" i="9"/>
  <c r="M251" i="9"/>
  <c r="J252" i="9"/>
  <c r="L252" i="9"/>
  <c r="M252" i="9"/>
  <c r="J253" i="9"/>
  <c r="L255" i="9"/>
  <c r="M255" i="9"/>
  <c r="J225" i="9"/>
  <c r="J224" i="9"/>
  <c r="L224" i="9"/>
  <c r="M224" i="9"/>
  <c r="J206" i="9"/>
  <c r="L206" i="9"/>
  <c r="M206" i="9"/>
  <c r="J207" i="9"/>
  <c r="L207" i="9"/>
  <c r="M207" i="9"/>
  <c r="J208" i="9"/>
  <c r="L208" i="9"/>
  <c r="M208" i="9"/>
  <c r="J209" i="9"/>
  <c r="L209" i="9"/>
  <c r="M209" i="9"/>
  <c r="J210" i="9"/>
  <c r="L210" i="9"/>
  <c r="M210" i="9"/>
  <c r="J211" i="9"/>
  <c r="L211" i="9"/>
  <c r="M211" i="9"/>
  <c r="J212" i="9"/>
  <c r="L212" i="9"/>
  <c r="M212" i="9"/>
  <c r="J213" i="9"/>
  <c r="L213" i="9"/>
  <c r="M213" i="9"/>
  <c r="J214" i="9"/>
  <c r="L214" i="9"/>
  <c r="M214" i="9"/>
  <c r="J215" i="9"/>
  <c r="L215" i="9"/>
  <c r="M215" i="9"/>
  <c r="J216" i="9"/>
  <c r="L216" i="9"/>
  <c r="M216" i="9"/>
  <c r="J205" i="9"/>
  <c r="L205" i="9"/>
  <c r="M205" i="9"/>
  <c r="J204" i="9"/>
  <c r="L204" i="9"/>
  <c r="M204" i="9"/>
  <c r="J203" i="9"/>
  <c r="L203" i="9"/>
  <c r="M203" i="9"/>
  <c r="J202" i="9"/>
  <c r="L202" i="9"/>
  <c r="M202" i="9"/>
  <c r="J201" i="9"/>
  <c r="L201" i="9"/>
  <c r="M201" i="9"/>
  <c r="J200" i="9"/>
  <c r="L200" i="9"/>
  <c r="M200" i="9"/>
  <c r="J199" i="9"/>
  <c r="J198" i="9"/>
  <c r="J197" i="9"/>
  <c r="L197" i="9"/>
  <c r="M197" i="9"/>
  <c r="J196" i="9"/>
  <c r="L196" i="9"/>
  <c r="M196" i="9"/>
  <c r="J195" i="9"/>
  <c r="L195" i="9"/>
  <c r="M195" i="9"/>
  <c r="J194" i="9"/>
  <c r="L194" i="9"/>
  <c r="M194" i="9"/>
  <c r="J193" i="9"/>
  <c r="L193" i="9"/>
  <c r="M193" i="9"/>
  <c r="J192" i="9"/>
  <c r="L192" i="9"/>
  <c r="M192" i="9"/>
  <c r="J178" i="9"/>
  <c r="L178" i="9"/>
  <c r="M178" i="9"/>
  <c r="J179" i="9"/>
  <c r="L179" i="9"/>
  <c r="M179" i="9"/>
  <c r="J180" i="9"/>
  <c r="L180" i="9"/>
  <c r="M180" i="9"/>
  <c r="J181" i="9"/>
  <c r="L181" i="9"/>
  <c r="M181" i="9"/>
  <c r="J182" i="9"/>
  <c r="L182" i="9"/>
  <c r="M182" i="9"/>
  <c r="J183" i="9"/>
  <c r="L183" i="9"/>
  <c r="M183" i="9"/>
  <c r="J184" i="9"/>
  <c r="L184" i="9"/>
  <c r="M184" i="9"/>
  <c r="J185" i="9"/>
  <c r="L185" i="9"/>
  <c r="M185" i="9"/>
  <c r="J186" i="9"/>
  <c r="L186" i="9"/>
  <c r="M186" i="9"/>
  <c r="J187" i="9"/>
  <c r="L187" i="9"/>
  <c r="M187" i="9"/>
  <c r="J177" i="9"/>
  <c r="L177" i="9"/>
  <c r="M177" i="9"/>
  <c r="J176" i="9"/>
  <c r="L176" i="9"/>
  <c r="M176" i="9"/>
  <c r="J175" i="9"/>
  <c r="L175" i="9"/>
  <c r="M175" i="9"/>
  <c r="J142" i="9"/>
  <c r="J143" i="9"/>
  <c r="L143" i="9"/>
  <c r="M143" i="9"/>
  <c r="J144" i="9"/>
  <c r="L144" i="9"/>
  <c r="M144" i="9"/>
  <c r="J145" i="9"/>
  <c r="L145" i="9"/>
  <c r="M145" i="9"/>
  <c r="J146" i="9"/>
  <c r="L146" i="9"/>
  <c r="M146" i="9"/>
  <c r="J147" i="9"/>
  <c r="L147" i="9"/>
  <c r="M147" i="9"/>
  <c r="J148" i="9"/>
  <c r="L148" i="9"/>
  <c r="M148" i="9"/>
  <c r="J149" i="9"/>
  <c r="L149" i="9"/>
  <c r="M149" i="9"/>
  <c r="J150" i="9"/>
  <c r="L150" i="9"/>
  <c r="M150" i="9"/>
  <c r="J151" i="9"/>
  <c r="L151" i="9"/>
  <c r="M151" i="9"/>
  <c r="J152" i="9"/>
  <c r="L152" i="9"/>
  <c r="M152" i="9"/>
  <c r="J153" i="9"/>
  <c r="L153" i="9"/>
  <c r="M153" i="9"/>
  <c r="J154" i="9"/>
  <c r="L154" i="9"/>
  <c r="M154" i="9"/>
  <c r="J155" i="9"/>
  <c r="L155" i="9"/>
  <c r="M155" i="9"/>
  <c r="J156" i="9"/>
  <c r="L156" i="9"/>
  <c r="M156" i="9"/>
  <c r="J157" i="9"/>
  <c r="L157" i="9"/>
  <c r="M157" i="9"/>
  <c r="J158" i="9"/>
  <c r="L158" i="9"/>
  <c r="M158" i="9"/>
  <c r="J159" i="9"/>
  <c r="L159" i="9"/>
  <c r="M159" i="9"/>
  <c r="J160" i="9"/>
  <c r="L160" i="9"/>
  <c r="M160" i="9"/>
  <c r="J161" i="9"/>
  <c r="L161" i="9"/>
  <c r="M161" i="9"/>
  <c r="J162" i="9"/>
  <c r="L162" i="9"/>
  <c r="M162" i="9"/>
  <c r="J163" i="9"/>
  <c r="L163" i="9"/>
  <c r="M163" i="9"/>
  <c r="J164" i="9"/>
  <c r="L164" i="9"/>
  <c r="M164" i="9"/>
  <c r="J165" i="9"/>
  <c r="L165" i="9"/>
  <c r="M165" i="9"/>
  <c r="J166" i="9"/>
  <c r="L166" i="9"/>
  <c r="M166" i="9"/>
  <c r="J167" i="9"/>
  <c r="L167" i="9"/>
  <c r="M167" i="9"/>
  <c r="J168" i="9"/>
  <c r="L168" i="9"/>
  <c r="M168" i="9"/>
  <c r="J169" i="9"/>
  <c r="J170" i="9"/>
  <c r="L170" i="9"/>
  <c r="M170" i="9"/>
  <c r="J140" i="9"/>
  <c r="L140" i="9"/>
  <c r="J139" i="9"/>
  <c r="L139" i="9"/>
  <c r="M139" i="9"/>
  <c r="J138" i="9"/>
  <c r="L138" i="9"/>
  <c r="M138" i="9"/>
  <c r="F141" i="9"/>
  <c r="J141" i="9"/>
  <c r="L141" i="9"/>
  <c r="M141" i="9"/>
  <c r="J135" i="9"/>
  <c r="L135" i="9"/>
  <c r="M135" i="9"/>
  <c r="J134" i="9"/>
  <c r="L134" i="9"/>
  <c r="M134" i="9"/>
  <c r="J133" i="9"/>
  <c r="L133" i="9"/>
  <c r="J102" i="9"/>
  <c r="L102" i="9"/>
  <c r="M102" i="9"/>
  <c r="J103" i="9"/>
  <c r="L103" i="9"/>
  <c r="M103" i="9"/>
  <c r="J104" i="9"/>
  <c r="L104" i="9"/>
  <c r="M104" i="9"/>
  <c r="J105" i="9"/>
  <c r="L105" i="9"/>
  <c r="M105" i="9"/>
  <c r="J106" i="9"/>
  <c r="L106" i="9"/>
  <c r="M106" i="9"/>
  <c r="J107" i="9"/>
  <c r="L107" i="9"/>
  <c r="M107" i="9"/>
  <c r="J108" i="9"/>
  <c r="L108" i="9"/>
  <c r="M108" i="9"/>
  <c r="J109" i="9"/>
  <c r="L109" i="9"/>
  <c r="M109" i="9"/>
  <c r="J110" i="9"/>
  <c r="D110" i="9"/>
  <c r="J111" i="9"/>
  <c r="J112" i="9"/>
  <c r="L112" i="9"/>
  <c r="M112" i="9"/>
  <c r="J113" i="9"/>
  <c r="L113" i="9"/>
  <c r="M113" i="9"/>
  <c r="J114" i="9"/>
  <c r="L114" i="9"/>
  <c r="M114" i="9"/>
  <c r="J115" i="9"/>
  <c r="L115" i="9"/>
  <c r="M115" i="9"/>
  <c r="J116" i="9"/>
  <c r="J117" i="9"/>
  <c r="L117" i="9"/>
  <c r="M117" i="9"/>
  <c r="J118" i="9"/>
  <c r="L118" i="9"/>
  <c r="M118" i="9"/>
  <c r="J119" i="9"/>
  <c r="L119" i="9"/>
  <c r="M119" i="9"/>
  <c r="J120" i="9"/>
  <c r="L120" i="9"/>
  <c r="M120" i="9"/>
  <c r="J121" i="9"/>
  <c r="L121" i="9"/>
  <c r="M121" i="9"/>
  <c r="J122" i="9"/>
  <c r="J123" i="9"/>
  <c r="J101" i="9"/>
  <c r="L101" i="9"/>
  <c r="M101" i="9"/>
  <c r="J100" i="9"/>
  <c r="L100" i="9"/>
  <c r="M100" i="9"/>
  <c r="J94" i="9"/>
  <c r="L94" i="9"/>
  <c r="M94" i="9"/>
  <c r="J82" i="9"/>
  <c r="L82" i="9"/>
  <c r="M82" i="9"/>
  <c r="J81" i="9"/>
  <c r="L81" i="9"/>
  <c r="M81" i="9"/>
  <c r="J80" i="9"/>
  <c r="L80" i="9"/>
  <c r="M80" i="9"/>
  <c r="J79" i="9"/>
  <c r="L79" i="9"/>
  <c r="M79" i="9"/>
  <c r="J78" i="9"/>
  <c r="L78" i="9"/>
  <c r="M78" i="9"/>
  <c r="J77" i="9"/>
  <c r="L77" i="9"/>
  <c r="M77" i="9"/>
  <c r="J76" i="9"/>
  <c r="L76" i="9"/>
  <c r="M76" i="9"/>
  <c r="J75" i="9"/>
  <c r="L75" i="9"/>
  <c r="M75" i="9"/>
  <c r="J74" i="9"/>
  <c r="L74" i="9"/>
  <c r="M74" i="9"/>
  <c r="J73" i="9"/>
  <c r="L73" i="9"/>
  <c r="M73" i="9"/>
  <c r="J72" i="9"/>
  <c r="L72" i="9"/>
  <c r="M72" i="9"/>
  <c r="J71" i="9"/>
  <c r="L71" i="9"/>
  <c r="M71" i="9"/>
  <c r="J70" i="9"/>
  <c r="L70" i="9"/>
  <c r="M70" i="9"/>
  <c r="J69" i="9"/>
  <c r="L69" i="9"/>
  <c r="M69" i="9"/>
  <c r="J33" i="9"/>
  <c r="L33" i="9"/>
  <c r="M33" i="9"/>
  <c r="J34" i="9"/>
  <c r="L34" i="9"/>
  <c r="M34" i="9"/>
  <c r="J35" i="9"/>
  <c r="J36" i="9"/>
  <c r="L36" i="9"/>
  <c r="M36" i="9"/>
  <c r="J37" i="9"/>
  <c r="J44" i="9"/>
  <c r="L44" i="9"/>
  <c r="M44" i="9"/>
  <c r="J45" i="9"/>
  <c r="L45" i="9"/>
  <c r="M45" i="9"/>
  <c r="J46" i="9"/>
  <c r="L46" i="9"/>
  <c r="M46" i="9"/>
  <c r="J47" i="9"/>
  <c r="J48" i="9"/>
  <c r="L48" i="9"/>
  <c r="M48" i="9"/>
  <c r="J49" i="9"/>
  <c r="L49" i="9"/>
  <c r="M49" i="9"/>
  <c r="J50" i="9"/>
  <c r="L50" i="9"/>
  <c r="M50" i="9"/>
  <c r="J51" i="9"/>
  <c r="L51" i="9"/>
  <c r="M51" i="9"/>
  <c r="J52" i="9"/>
  <c r="J53" i="9"/>
  <c r="L53" i="9"/>
  <c r="M53" i="9"/>
  <c r="J29" i="9"/>
  <c r="L29" i="9"/>
  <c r="M29" i="9"/>
  <c r="J30" i="9"/>
  <c r="L30" i="9"/>
  <c r="M30" i="9"/>
  <c r="J31" i="9"/>
  <c r="L31" i="9"/>
  <c r="M31" i="9"/>
  <c r="J32" i="9"/>
  <c r="J28" i="9"/>
  <c r="J17" i="9"/>
  <c r="J18" i="9"/>
  <c r="L18" i="9"/>
  <c r="M18" i="9"/>
  <c r="J19" i="9"/>
  <c r="L19" i="9"/>
  <c r="M19" i="9"/>
  <c r="J20" i="9"/>
  <c r="L20" i="9"/>
  <c r="M20" i="9"/>
  <c r="J21" i="9"/>
  <c r="L21" i="9"/>
  <c r="M21" i="9"/>
  <c r="J26" i="9"/>
  <c r="J16" i="9"/>
  <c r="L16" i="9"/>
  <c r="M16" i="9"/>
  <c r="M133" i="9"/>
  <c r="L137" i="9"/>
  <c r="L111" i="9"/>
  <c r="M111" i="9"/>
  <c r="L28" i="9"/>
  <c r="M28" i="9"/>
  <c r="L37" i="9"/>
  <c r="M37" i="9"/>
  <c r="L35" i="9"/>
  <c r="M35" i="9"/>
  <c r="L32" i="9"/>
  <c r="M32" i="9"/>
  <c r="L116" i="9"/>
  <c r="M116" i="9"/>
  <c r="L281" i="9"/>
  <c r="M281" i="9"/>
  <c r="L52" i="9"/>
  <c r="M52" i="9"/>
  <c r="L17" i="9"/>
  <c r="M17" i="9"/>
  <c r="M140" i="9"/>
  <c r="D123" i="9"/>
  <c r="L123" i="9"/>
  <c r="M123" i="9"/>
  <c r="D270" i="9"/>
  <c r="L270" i="9"/>
  <c r="M270" i="9"/>
  <c r="D225" i="9"/>
  <c r="L225" i="9"/>
  <c r="M225" i="9"/>
  <c r="D323" i="9"/>
  <c r="L323" i="9"/>
  <c r="M323" i="9"/>
  <c r="D217" i="9"/>
  <c r="L217" i="9"/>
  <c r="M217" i="9"/>
  <c r="D253" i="9"/>
  <c r="L253" i="9"/>
  <c r="M253" i="9"/>
  <c r="D296" i="9"/>
  <c r="L296" i="9"/>
  <c r="M296" i="9"/>
  <c r="D169" i="9"/>
  <c r="L169" i="9"/>
  <c r="M169" i="9"/>
  <c r="D198" i="9"/>
  <c r="L198" i="9"/>
  <c r="M198" i="9"/>
  <c r="D321" i="9"/>
  <c r="L321" i="9"/>
  <c r="M321" i="9"/>
  <c r="D245" i="9"/>
  <c r="L245" i="9"/>
  <c r="M245" i="9"/>
  <c r="D299" i="9"/>
  <c r="L299" i="9"/>
  <c r="M299" i="9"/>
  <c r="D199" i="9"/>
  <c r="L199" i="9"/>
  <c r="M199" i="9"/>
  <c r="D320" i="9"/>
  <c r="L320" i="9"/>
  <c r="M320" i="9"/>
  <c r="D142" i="9"/>
  <c r="L142" i="9"/>
  <c r="M142" i="9"/>
  <c r="D237" i="9"/>
  <c r="L237" i="9"/>
  <c r="M237" i="9"/>
  <c r="D257" i="9"/>
  <c r="L257" i="9"/>
  <c r="D47" i="9"/>
  <c r="L47" i="9"/>
  <c r="M47" i="9"/>
  <c r="D248" i="9"/>
  <c r="L248" i="9"/>
  <c r="M248" i="9"/>
  <c r="D236" i="9"/>
  <c r="L236" i="9"/>
  <c r="M236" i="9"/>
  <c r="D122" i="9"/>
  <c r="L122" i="9"/>
  <c r="D247" i="9"/>
  <c r="L247" i="9"/>
  <c r="M247" i="9"/>
  <c r="D259" i="9"/>
  <c r="L259" i="9"/>
  <c r="M259" i="9"/>
  <c r="D328" i="9"/>
  <c r="L328" i="9"/>
  <c r="M328" i="9"/>
  <c r="J313" i="9"/>
  <c r="J307" i="9"/>
  <c r="J223" i="9"/>
  <c r="J272" i="9"/>
  <c r="J191" i="9"/>
  <c r="J256" i="9"/>
  <c r="J331" i="9"/>
  <c r="M99" i="9"/>
  <c r="L99" i="9"/>
  <c r="M26" i="9"/>
  <c r="L26" i="9"/>
  <c r="L92" i="9"/>
  <c r="M312" i="9"/>
  <c r="L312" i="9"/>
  <c r="M190" i="9"/>
  <c r="L190" i="9"/>
  <c r="J99" i="9"/>
  <c r="J137" i="9"/>
  <c r="J132" i="9"/>
  <c r="J174" i="9"/>
  <c r="J92" i="9"/>
  <c r="J68" i="9"/>
  <c r="J7" i="9"/>
  <c r="J6" i="9"/>
  <c r="J27" i="9"/>
  <c r="L27" i="9"/>
  <c r="L7" i="9"/>
  <c r="M7" i="9"/>
  <c r="M174" i="9"/>
  <c r="L174" i="9"/>
  <c r="M257" i="9"/>
  <c r="M272" i="9"/>
  <c r="L272" i="9"/>
  <c r="M122" i="9"/>
  <c r="M132" i="9"/>
  <c r="L132" i="9"/>
  <c r="L68" i="9"/>
  <c r="M331" i="9"/>
  <c r="L331" i="9"/>
  <c r="M223" i="9"/>
  <c r="L223" i="9"/>
  <c r="M313" i="9"/>
  <c r="L313" i="9"/>
  <c r="M92" i="9"/>
  <c r="M191" i="9"/>
  <c r="L191" i="9"/>
  <c r="M256" i="9"/>
  <c r="L256" i="9"/>
  <c r="M307" i="9"/>
  <c r="L307" i="9"/>
  <c r="M27" i="9"/>
  <c r="L6" i="9"/>
  <c r="M137" i="9"/>
  <c r="J15" i="9"/>
  <c r="J417" i="9"/>
  <c r="J418" i="9"/>
  <c r="J419" i="9"/>
  <c r="M6" i="9"/>
  <c r="M15" i="9"/>
  <c r="L15" i="9"/>
  <c r="L418" i="9"/>
  <c r="M68" i="9"/>
  <c r="M417" i="9"/>
  <c r="K51" i="6"/>
  <c r="L51" i="6"/>
  <c r="K52" i="6"/>
  <c r="L52" i="6"/>
  <c r="K212" i="6"/>
  <c r="K213" i="6"/>
  <c r="K97" i="6"/>
  <c r="L97" i="6"/>
  <c r="K96" i="6"/>
  <c r="L96" i="6"/>
  <c r="M418" i="9"/>
  <c r="L417" i="9"/>
  <c r="L419" i="9"/>
  <c r="K69" i="6"/>
  <c r="L69" i="6"/>
  <c r="K20" i="6"/>
  <c r="L20" i="6"/>
  <c r="K19" i="6"/>
  <c r="L19" i="6"/>
  <c r="M419" i="9"/>
  <c r="K50" i="6"/>
  <c r="L50" i="6"/>
  <c r="K49" i="6"/>
  <c r="L49" i="6"/>
  <c r="K18" i="6"/>
  <c r="L18" i="6"/>
  <c r="K68" i="6"/>
  <c r="L68" i="6"/>
  <c r="K67" i="6"/>
  <c r="L67" i="6"/>
  <c r="K48" i="6"/>
  <c r="L48" i="6"/>
  <c r="K9" i="6"/>
  <c r="L9" i="6"/>
  <c r="K8" i="6"/>
  <c r="K7" i="6"/>
  <c r="L7" i="6"/>
  <c r="K47" i="6"/>
  <c r="L47" i="6"/>
  <c r="K46" i="6"/>
  <c r="L46" i="6"/>
  <c r="K45" i="6"/>
  <c r="L45" i="6"/>
  <c r="K66" i="6"/>
  <c r="L66" i="6"/>
  <c r="K17" i="6"/>
  <c r="L17" i="6"/>
  <c r="K44" i="6"/>
  <c r="L44" i="6"/>
  <c r="K6" i="6"/>
  <c r="K11" i="6"/>
  <c r="L6" i="6"/>
  <c r="F82" i="6"/>
  <c r="L11" i="6"/>
  <c r="K207" i="6"/>
  <c r="K43" i="6"/>
  <c r="L43" i="6"/>
  <c r="K206" i="6"/>
  <c r="L206" i="6"/>
  <c r="K205" i="6"/>
  <c r="L205" i="6"/>
  <c r="K42" i="6"/>
  <c r="L42" i="6"/>
  <c r="K65" i="6"/>
  <c r="L65" i="6"/>
  <c r="K41" i="6"/>
  <c r="K40" i="6"/>
  <c r="K39" i="6"/>
  <c r="E39" i="6"/>
  <c r="E63" i="6"/>
  <c r="K63" i="6"/>
  <c r="L39" i="6"/>
  <c r="L63" i="6"/>
  <c r="K107" i="6"/>
  <c r="F89" i="6"/>
  <c r="K62" i="6"/>
  <c r="L62" i="6"/>
  <c r="K38" i="6"/>
  <c r="L38" i="6"/>
  <c r="K253" i="6"/>
  <c r="K95" i="6"/>
  <c r="L95" i="6"/>
  <c r="K149" i="6"/>
  <c r="L149" i="6"/>
  <c r="K35" i="6"/>
  <c r="K37" i="6"/>
  <c r="K94" i="6"/>
  <c r="L94" i="6"/>
  <c r="K93" i="6"/>
  <c r="L93" i="6"/>
  <c r="L253" i="6"/>
  <c r="K36" i="6"/>
  <c r="L36" i="6"/>
  <c r="K64" i="6"/>
  <c r="L64" i="6"/>
  <c r="K58" i="1"/>
  <c r="K92" i="6"/>
  <c r="L92" i="6"/>
  <c r="K13" i="6"/>
  <c r="K14" i="6"/>
  <c r="L14" i="6"/>
  <c r="K15" i="6"/>
  <c r="L15" i="6"/>
  <c r="K16" i="6"/>
  <c r="L16" i="6"/>
  <c r="K12" i="6"/>
  <c r="K34" i="6"/>
  <c r="K21" i="6"/>
  <c r="L12" i="6"/>
  <c r="L13" i="6"/>
  <c r="L21" i="6"/>
  <c r="K72" i="6"/>
  <c r="L72" i="6"/>
  <c r="F180" i="6"/>
  <c r="K33" i="6"/>
  <c r="L33" i="6"/>
  <c r="K91" i="6"/>
  <c r="L91" i="6"/>
  <c r="K32" i="6"/>
  <c r="L32" i="6"/>
  <c r="K61" i="6"/>
  <c r="L61" i="6"/>
  <c r="K31" i="6"/>
  <c r="L31" i="6"/>
  <c r="K30" i="6"/>
  <c r="L30" i="6"/>
  <c r="K29" i="6"/>
  <c r="L29" i="6"/>
  <c r="K258" i="6"/>
  <c r="L258" i="6"/>
  <c r="K231" i="6"/>
  <c r="L231" i="6"/>
  <c r="K28" i="6"/>
  <c r="L28" i="6"/>
  <c r="K27" i="6"/>
  <c r="L27" i="6"/>
  <c r="K26" i="6"/>
  <c r="L26" i="6"/>
  <c r="K60" i="6"/>
  <c r="L60" i="6"/>
  <c r="K25" i="6"/>
  <c r="L25" i="6"/>
  <c r="K24" i="6"/>
  <c r="K59" i="6"/>
  <c r="L59" i="6"/>
  <c r="L24" i="6"/>
  <c r="K58" i="6"/>
  <c r="L58" i="6"/>
  <c r="H423" i="1"/>
  <c r="K57" i="6"/>
  <c r="L57" i="6"/>
  <c r="K56" i="6"/>
  <c r="K55" i="6"/>
  <c r="L55" i="6"/>
  <c r="K23" i="6"/>
  <c r="K272" i="6"/>
  <c r="L272" i="6"/>
  <c r="K252" i="6"/>
  <c r="L252" i="6"/>
  <c r="L23" i="6"/>
  <c r="L56" i="6"/>
  <c r="L70" i="6"/>
  <c r="K22" i="6"/>
  <c r="K53" i="6"/>
  <c r="L22" i="6"/>
  <c r="L53" i="6"/>
  <c r="K212" i="1"/>
  <c r="K251" i="6"/>
  <c r="L251" i="6"/>
  <c r="K147" i="6"/>
  <c r="L147" i="6"/>
  <c r="K54" i="6"/>
  <c r="K70" i="6"/>
  <c r="J11" i="1"/>
  <c r="K90" i="6"/>
  <c r="L90" i="6"/>
  <c r="K312" i="1"/>
  <c r="L312" i="1"/>
  <c r="K204" i="6"/>
  <c r="K135" i="6"/>
  <c r="L135" i="6"/>
  <c r="K89" i="6"/>
  <c r="L89" i="6"/>
  <c r="K88" i="6"/>
  <c r="L88" i="6"/>
  <c r="K135" i="1"/>
  <c r="K203" i="6"/>
  <c r="K98" i="1"/>
  <c r="K222" i="6"/>
  <c r="E56" i="1"/>
  <c r="J62" i="1"/>
  <c r="K132" i="6"/>
  <c r="L132" i="6"/>
  <c r="K200" i="6"/>
  <c r="K101" i="6"/>
  <c r="L101" i="6"/>
  <c r="K87" i="6"/>
  <c r="L87" i="6"/>
  <c r="K133" i="6"/>
  <c r="L133" i="6"/>
  <c r="K199" i="6"/>
  <c r="K131" i="6"/>
  <c r="K247" i="6"/>
  <c r="K274" i="6"/>
  <c r="K134" i="6"/>
  <c r="K86" i="6"/>
  <c r="L86" i="6"/>
  <c r="L131" i="6"/>
  <c r="K52" i="1"/>
  <c r="L52" i="1"/>
  <c r="K85" i="6"/>
  <c r="L85" i="6"/>
  <c r="K139" i="1"/>
  <c r="K84" i="6"/>
  <c r="K245" i="6"/>
  <c r="K83" i="6"/>
  <c r="L83" i="6"/>
  <c r="K175" i="6"/>
  <c r="L175" i="6"/>
  <c r="K250" i="6"/>
  <c r="K82" i="6"/>
  <c r="L82" i="6"/>
  <c r="K130" i="6"/>
  <c r="L130" i="6"/>
  <c r="K81" i="6"/>
  <c r="L81" i="6"/>
  <c r="K80" i="6"/>
  <c r="L80" i="6"/>
  <c r="K79" i="6"/>
  <c r="L79" i="6"/>
  <c r="K78" i="6"/>
  <c r="L78" i="6"/>
  <c r="K310" i="1"/>
  <c r="L310" i="1"/>
  <c r="K198" i="6"/>
  <c r="K174" i="6"/>
  <c r="L174" i="6"/>
  <c r="K202" i="6"/>
  <c r="K201" i="6"/>
  <c r="K176" i="6"/>
  <c r="G309" i="1"/>
  <c r="K309" i="1"/>
  <c r="L198" i="6"/>
  <c r="Q73" i="1"/>
  <c r="G100" i="1"/>
  <c r="K100" i="1"/>
  <c r="K77" i="6"/>
  <c r="L77" i="6"/>
  <c r="K76" i="6"/>
  <c r="K75" i="6"/>
  <c r="L75" i="6"/>
  <c r="K74" i="6"/>
  <c r="K98" i="6"/>
  <c r="L76" i="6"/>
  <c r="L74" i="6"/>
  <c r="L98" i="6"/>
  <c r="K146" i="6"/>
  <c r="L146" i="6"/>
  <c r="K97" i="1"/>
  <c r="L97" i="1"/>
  <c r="K173" i="6"/>
  <c r="L173" i="6"/>
  <c r="K129" i="6"/>
  <c r="L129" i="6"/>
  <c r="K197" i="6"/>
  <c r="K51" i="1"/>
  <c r="K211" i="1"/>
  <c r="L197" i="6"/>
  <c r="K96" i="1"/>
  <c r="L96" i="1"/>
  <c r="K196" i="6"/>
  <c r="L196" i="6"/>
  <c r="K128" i="6"/>
  <c r="L128" i="6"/>
  <c r="K145" i="6"/>
  <c r="L145" i="6"/>
  <c r="K172" i="6"/>
  <c r="K244" i="6"/>
  <c r="L244" i="6"/>
  <c r="K171" i="6"/>
  <c r="L171" i="6"/>
  <c r="K170" i="6"/>
  <c r="L170" i="6"/>
  <c r="L172" i="6"/>
  <c r="K127" i="6"/>
  <c r="L127" i="6"/>
  <c r="K126" i="6"/>
  <c r="L126" i="6"/>
  <c r="K195" i="6"/>
  <c r="K144" i="6"/>
  <c r="L195" i="6"/>
  <c r="K125" i="6"/>
  <c r="L125" i="6"/>
  <c r="K169" i="6"/>
  <c r="L169" i="6"/>
  <c r="K100" i="6"/>
  <c r="L100" i="6"/>
  <c r="K99" i="6"/>
  <c r="K102" i="6"/>
  <c r="L99" i="6"/>
  <c r="L102" i="6"/>
  <c r="K143" i="6"/>
  <c r="L143" i="6"/>
  <c r="K194" i="6"/>
  <c r="K124" i="6"/>
  <c r="L124" i="6"/>
  <c r="L194" i="6"/>
  <c r="K193" i="6"/>
  <c r="L193" i="6"/>
  <c r="K123" i="6"/>
  <c r="L123" i="6"/>
  <c r="K122" i="6"/>
  <c r="L122" i="6"/>
  <c r="K121" i="6"/>
  <c r="L121" i="6"/>
  <c r="K95" i="1"/>
  <c r="K120" i="6"/>
  <c r="L120" i="6"/>
  <c r="K186" i="6"/>
  <c r="K119" i="6"/>
  <c r="L119" i="6"/>
  <c r="L186" i="6"/>
  <c r="E118" i="6"/>
  <c r="K118" i="6"/>
  <c r="K142" i="6"/>
  <c r="L142" i="6"/>
  <c r="K168" i="6"/>
  <c r="L168" i="6"/>
  <c r="K117" i="6"/>
  <c r="L117" i="6"/>
  <c r="F28" i="1"/>
  <c r="K192" i="6"/>
  <c r="L192" i="6"/>
  <c r="L118" i="6"/>
  <c r="K116" i="6"/>
  <c r="L116" i="6"/>
  <c r="K115" i="6"/>
  <c r="L115" i="6"/>
  <c r="K114" i="6"/>
  <c r="L114" i="6"/>
  <c r="K185" i="6"/>
  <c r="K342" i="1"/>
  <c r="L342" i="1"/>
  <c r="L185" i="6"/>
  <c r="K166" i="6"/>
  <c r="L166" i="6"/>
  <c r="K112" i="6"/>
  <c r="L112" i="6"/>
  <c r="K111" i="6"/>
  <c r="L111" i="6"/>
  <c r="G106" i="6"/>
  <c r="K184" i="6"/>
  <c r="L184" i="6"/>
  <c r="K183" i="6"/>
  <c r="L183" i="6"/>
  <c r="K191" i="6"/>
  <c r="K165" i="6"/>
  <c r="L165" i="6"/>
  <c r="K164" i="6"/>
  <c r="K190" i="6"/>
  <c r="K50" i="1"/>
  <c r="K243" i="6"/>
  <c r="L243" i="6"/>
  <c r="K382" i="1"/>
  <c r="L382" i="1"/>
  <c r="K110" i="6"/>
  <c r="L110" i="6"/>
  <c r="K109" i="6"/>
  <c r="L109" i="6"/>
  <c r="K271" i="6"/>
  <c r="L271" i="6"/>
  <c r="K108" i="6"/>
  <c r="L108" i="6"/>
  <c r="K182" i="6"/>
  <c r="L182" i="6"/>
  <c r="K94" i="1"/>
  <c r="K189" i="6"/>
  <c r="K167" i="6"/>
  <c r="L164" i="6"/>
  <c r="K188" i="6"/>
  <c r="K152" i="6"/>
  <c r="L152" i="6"/>
  <c r="I63" i="1"/>
  <c r="L188" i="6"/>
  <c r="K221" i="6"/>
  <c r="L221" i="6"/>
  <c r="K220" i="6"/>
  <c r="L220" i="6"/>
  <c r="K381" i="1"/>
  <c r="L381" i="1"/>
  <c r="K163" i="6"/>
  <c r="L163" i="6"/>
  <c r="I238" i="1"/>
  <c r="K242" i="6"/>
  <c r="L242" i="6"/>
  <c r="K162" i="6"/>
  <c r="K241" i="6"/>
  <c r="L241" i="6"/>
  <c r="L162" i="6"/>
  <c r="K270" i="6"/>
  <c r="L270" i="6"/>
  <c r="K269" i="6"/>
  <c r="K265" i="6"/>
  <c r="L265" i="6"/>
  <c r="K161" i="6"/>
  <c r="L161" i="6"/>
  <c r="K160" i="6"/>
  <c r="K240" i="6"/>
  <c r="L240" i="6"/>
  <c r="K239" i="6"/>
  <c r="L239" i="6"/>
  <c r="L160" i="6"/>
  <c r="K159" i="6"/>
  <c r="L159" i="6"/>
  <c r="K106" i="6"/>
  <c r="K105" i="6"/>
  <c r="K104" i="6"/>
  <c r="K103" i="6"/>
  <c r="L106" i="6"/>
  <c r="L104" i="6"/>
  <c r="L103" i="6"/>
  <c r="K49" i="1"/>
  <c r="L49" i="1"/>
  <c r="K54" i="1"/>
  <c r="K238" i="6"/>
  <c r="L238" i="6"/>
  <c r="K380" i="1"/>
  <c r="L380" i="1"/>
  <c r="K158" i="6"/>
  <c r="K141" i="6"/>
  <c r="K148" i="6"/>
  <c r="L148" i="6"/>
  <c r="K140" i="6"/>
  <c r="L140" i="6"/>
  <c r="K139" i="6"/>
  <c r="L139" i="6"/>
  <c r="K138" i="6"/>
  <c r="K137" i="6"/>
  <c r="L141" i="6"/>
  <c r="K150" i="6"/>
  <c r="L138" i="6"/>
  <c r="L137" i="6"/>
  <c r="K93" i="1"/>
  <c r="L93" i="1"/>
  <c r="L150" i="6"/>
  <c r="K237" i="6"/>
  <c r="L237" i="6"/>
  <c r="K236" i="6"/>
  <c r="L236" i="6"/>
  <c r="K274" i="1"/>
  <c r="L274" i="1"/>
  <c r="K48" i="1"/>
  <c r="L48" i="1"/>
  <c r="K92" i="1"/>
  <c r="L92" i="1"/>
  <c r="K235" i="6"/>
  <c r="K341" i="1"/>
  <c r="L235" i="6"/>
  <c r="K47" i="1"/>
  <c r="L47" i="1"/>
  <c r="K219" i="6"/>
  <c r="L219" i="6"/>
  <c r="K218" i="6"/>
  <c r="L218" i="6"/>
  <c r="K46" i="1"/>
  <c r="L46" i="1"/>
  <c r="K45" i="1"/>
  <c r="L45" i="1"/>
  <c r="K91" i="1"/>
  <c r="L91" i="1"/>
  <c r="K234" i="6"/>
  <c r="L234" i="6"/>
  <c r="K44" i="1"/>
  <c r="L44" i="1"/>
  <c r="K233" i="6"/>
  <c r="L233" i="6"/>
  <c r="K217" i="6"/>
  <c r="L217" i="6"/>
  <c r="K151" i="6"/>
  <c r="K157" i="6"/>
  <c r="K156" i="6"/>
  <c r="K155" i="6"/>
  <c r="K154" i="6"/>
  <c r="K153" i="6"/>
  <c r="L156" i="6"/>
  <c r="K177" i="6"/>
  <c r="L154" i="6"/>
  <c r="L155" i="6"/>
  <c r="L153" i="6"/>
  <c r="L151" i="6"/>
  <c r="K232" i="6"/>
  <c r="K90" i="1"/>
  <c r="L90" i="1"/>
  <c r="L177" i="6"/>
  <c r="L232" i="6"/>
  <c r="K89" i="1"/>
  <c r="L89" i="1"/>
  <c r="K216" i="6"/>
  <c r="K87" i="1"/>
  <c r="L87" i="1"/>
  <c r="L216" i="6"/>
  <c r="K273" i="6"/>
  <c r="L273" i="6"/>
  <c r="K257" i="6"/>
  <c r="L257" i="6"/>
  <c r="K249" i="6"/>
  <c r="K248" i="6"/>
  <c r="L248" i="6"/>
  <c r="L249" i="6"/>
  <c r="K84" i="1"/>
  <c r="L84" i="1"/>
  <c r="K86" i="1"/>
  <c r="L86" i="1"/>
  <c r="K230" i="6"/>
  <c r="L230" i="6"/>
  <c r="K264" i="6"/>
  <c r="L264" i="6"/>
  <c r="K43" i="1"/>
  <c r="K268" i="6"/>
  <c r="L268" i="6"/>
  <c r="L43" i="1"/>
  <c r="K88" i="1"/>
  <c r="L88" i="1"/>
  <c r="K85" i="1"/>
  <c r="K198" i="1"/>
  <c r="K10" i="1"/>
  <c r="K263" i="6"/>
  <c r="L263" i="6"/>
  <c r="I8" i="1"/>
  <c r="K8" i="1"/>
  <c r="K215" i="6"/>
  <c r="K187" i="6"/>
  <c r="K181" i="6"/>
  <c r="K178" i="6"/>
  <c r="K179" i="6"/>
  <c r="K180" i="6"/>
  <c r="K208" i="6"/>
  <c r="L180" i="6"/>
  <c r="L187" i="6"/>
  <c r="L178" i="6"/>
  <c r="L181" i="6"/>
  <c r="K214" i="6"/>
  <c r="L214" i="6"/>
  <c r="L208" i="6"/>
  <c r="L213" i="6"/>
  <c r="K267" i="6"/>
  <c r="K266" i="6"/>
  <c r="K340" i="1"/>
  <c r="K379" i="1"/>
  <c r="L379" i="1"/>
  <c r="K83" i="1"/>
  <c r="L83" i="1"/>
  <c r="K42" i="1"/>
  <c r="L42" i="1"/>
  <c r="K82" i="1"/>
  <c r="L82" i="1"/>
  <c r="E262" i="6"/>
  <c r="L212" i="6"/>
  <c r="K81" i="1"/>
  <c r="L81" i="1"/>
  <c r="K395" i="1"/>
  <c r="L395" i="1"/>
  <c r="K339" i="1"/>
  <c r="K211" i="6"/>
  <c r="K210" i="6"/>
  <c r="L210" i="6"/>
  <c r="L223" i="6"/>
  <c r="K209" i="6"/>
  <c r="K223" i="6"/>
  <c r="L339" i="1"/>
  <c r="K80" i="1"/>
  <c r="L80" i="1"/>
  <c r="K79" i="1"/>
  <c r="K229" i="6"/>
  <c r="L229" i="6"/>
  <c r="L79" i="1"/>
  <c r="K41" i="1"/>
  <c r="L41" i="1"/>
  <c r="K246" i="6"/>
  <c r="K9" i="1"/>
  <c r="K40" i="1"/>
  <c r="L40" i="1"/>
  <c r="K39" i="1"/>
  <c r="L39" i="1"/>
  <c r="K394" i="1"/>
  <c r="L394" i="1"/>
  <c r="K77" i="1"/>
  <c r="K147" i="1"/>
  <c r="L147" i="1"/>
  <c r="K38" i="1"/>
  <c r="L38" i="1"/>
  <c r="K37" i="1"/>
  <c r="L37" i="1"/>
  <c r="K256" i="6"/>
  <c r="L256" i="6"/>
  <c r="K255" i="6"/>
  <c r="K262" i="6"/>
  <c r="K261" i="6"/>
  <c r="K260" i="6"/>
  <c r="K228" i="6"/>
  <c r="K227" i="6"/>
  <c r="L227" i="6"/>
  <c r="K226" i="6"/>
  <c r="L226" i="6"/>
  <c r="K225" i="6"/>
  <c r="L225" i="6"/>
  <c r="K224" i="6"/>
  <c r="K254" i="6"/>
  <c r="K259" i="6"/>
  <c r="K275" i="6"/>
  <c r="L228" i="6"/>
  <c r="L260" i="6"/>
  <c r="L261" i="6"/>
  <c r="L224" i="6"/>
  <c r="L254" i="6"/>
  <c r="L262" i="6"/>
  <c r="L255" i="6"/>
  <c r="L259" i="6"/>
  <c r="K78" i="1"/>
  <c r="L78" i="1"/>
  <c r="L275" i="6"/>
  <c r="K36" i="1"/>
  <c r="L36" i="1"/>
  <c r="K76" i="1"/>
  <c r="E76" i="1"/>
  <c r="L76" i="1"/>
  <c r="K35" i="1"/>
  <c r="L35" i="1"/>
  <c r="K34" i="1"/>
  <c r="L34" i="1"/>
  <c r="Q20" i="1"/>
  <c r="Q29" i="1"/>
  <c r="G60" i="1"/>
  <c r="K60" i="1"/>
  <c r="K33" i="1"/>
  <c r="L33" i="1"/>
  <c r="K32" i="1"/>
  <c r="L32" i="1"/>
  <c r="K31" i="1"/>
  <c r="L31" i="1"/>
  <c r="K74" i="1"/>
  <c r="L74" i="1"/>
  <c r="K144" i="1"/>
  <c r="L144" i="1"/>
  <c r="K30" i="1"/>
  <c r="E30" i="1"/>
  <c r="K75" i="1"/>
  <c r="L75" i="1"/>
  <c r="L30" i="1"/>
  <c r="K378" i="1"/>
  <c r="L378" i="1"/>
  <c r="K308" i="1"/>
  <c r="L308" i="1"/>
  <c r="H200" i="1"/>
  <c r="G24" i="1"/>
  <c r="K73" i="1"/>
  <c r="K134" i="1"/>
  <c r="L134" i="1"/>
  <c r="E14" i="1"/>
  <c r="F103" i="1"/>
  <c r="K29" i="1"/>
  <c r="K28" i="1"/>
  <c r="L28" i="1"/>
  <c r="K27" i="1"/>
  <c r="E27" i="1"/>
  <c r="K354" i="1"/>
  <c r="K307" i="1"/>
  <c r="L307" i="1"/>
  <c r="K418" i="1"/>
  <c r="L418" i="1"/>
  <c r="L27" i="1"/>
  <c r="L29" i="1"/>
  <c r="L354" i="1"/>
  <c r="F106" i="1"/>
  <c r="F107" i="1"/>
  <c r="F263" i="1"/>
  <c r="K26" i="1"/>
  <c r="L26" i="1"/>
  <c r="K306" i="1"/>
  <c r="F124" i="1"/>
  <c r="K197" i="1"/>
  <c r="L197" i="1"/>
  <c r="L306" i="1"/>
  <c r="K363" i="1"/>
  <c r="L363" i="1"/>
  <c r="K362" i="1"/>
  <c r="L362" i="1"/>
  <c r="K72" i="1"/>
  <c r="L72" i="1"/>
  <c r="K226" i="1"/>
  <c r="F226" i="1"/>
  <c r="G133" i="1"/>
  <c r="K133" i="1"/>
  <c r="K235" i="1"/>
  <c r="L235" i="1"/>
  <c r="K338" i="1"/>
  <c r="K25" i="1"/>
  <c r="K24" i="1"/>
  <c r="F335" i="1"/>
  <c r="L25" i="1"/>
  <c r="L226" i="1"/>
  <c r="L24" i="1"/>
  <c r="G335" i="1"/>
  <c r="K335" i="1"/>
  <c r="L335" i="1"/>
  <c r="L338" i="1"/>
  <c r="K334" i="1"/>
  <c r="F334" i="1"/>
  <c r="F109" i="1"/>
  <c r="L334" i="1"/>
  <c r="K377" i="1"/>
  <c r="L377" i="1"/>
  <c r="K71" i="1"/>
  <c r="L71" i="1"/>
  <c r="F104" i="1"/>
  <c r="F108" i="1"/>
  <c r="K70" i="1"/>
  <c r="K393" i="1"/>
  <c r="L393" i="1"/>
  <c r="L70" i="1"/>
  <c r="K376" i="1"/>
  <c r="L376" i="1"/>
  <c r="K305" i="1"/>
  <c r="K210" i="1"/>
  <c r="L210" i="1"/>
  <c r="L305" i="1"/>
  <c r="K225" i="1"/>
  <c r="L225" i="1"/>
  <c r="K23" i="1"/>
  <c r="L23" i="1"/>
  <c r="K69" i="1"/>
  <c r="L69" i="1"/>
  <c r="K68" i="1"/>
  <c r="K132" i="1"/>
  <c r="L132" i="1"/>
  <c r="K22" i="1"/>
  <c r="L22" i="1"/>
  <c r="L68" i="1"/>
  <c r="K67" i="1"/>
  <c r="L67" i="1"/>
  <c r="K66" i="1"/>
  <c r="E66" i="1"/>
  <c r="K65" i="1"/>
  <c r="K64" i="1"/>
  <c r="L64" i="1"/>
  <c r="K63" i="1"/>
  <c r="L63" i="1"/>
  <c r="K62" i="1"/>
  <c r="K452" i="1"/>
  <c r="K451" i="1"/>
  <c r="L451" i="1"/>
  <c r="K450" i="1"/>
  <c r="L450" i="1"/>
  <c r="G449" i="1"/>
  <c r="K449" i="1"/>
  <c r="K487" i="1"/>
  <c r="K486" i="1"/>
  <c r="L486" i="1"/>
  <c r="L488" i="1"/>
  <c r="K485" i="1"/>
  <c r="K283" i="1"/>
  <c r="L283" i="1"/>
  <c r="K282" i="1"/>
  <c r="L282" i="1"/>
  <c r="K281" i="1"/>
  <c r="L281" i="1"/>
  <c r="K280" i="1"/>
  <c r="L280" i="1"/>
  <c r="G279" i="1"/>
  <c r="K279" i="1"/>
  <c r="K435" i="1"/>
  <c r="K434" i="1"/>
  <c r="L434" i="1"/>
  <c r="K433" i="1"/>
  <c r="L433" i="1"/>
  <c r="K287" i="1"/>
  <c r="K460" i="1"/>
  <c r="K459" i="1"/>
  <c r="K458" i="1"/>
  <c r="K457" i="1"/>
  <c r="L457" i="1"/>
  <c r="L461" i="1"/>
  <c r="K465" i="1"/>
  <c r="K464" i="1"/>
  <c r="K463" i="1"/>
  <c r="K462" i="1"/>
  <c r="L462" i="1"/>
  <c r="L466" i="1"/>
  <c r="K493" i="1"/>
  <c r="K492" i="1"/>
  <c r="K491" i="1"/>
  <c r="K489" i="1"/>
  <c r="L489" i="1"/>
  <c r="L494" i="1"/>
  <c r="L469" i="1"/>
  <c r="L468" i="1"/>
  <c r="K467" i="1"/>
  <c r="K469" i="1"/>
  <c r="K392" i="1"/>
  <c r="L392" i="1"/>
  <c r="K391" i="1"/>
  <c r="L391" i="1"/>
  <c r="K390" i="1"/>
  <c r="L390" i="1"/>
  <c r="K389" i="1"/>
  <c r="K388" i="1"/>
  <c r="L388" i="1"/>
  <c r="K387" i="1"/>
  <c r="L387" i="1"/>
  <c r="K386" i="1"/>
  <c r="K385" i="1"/>
  <c r="L385" i="1"/>
  <c r="K384" i="1"/>
  <c r="K483" i="1"/>
  <c r="K482" i="1"/>
  <c r="K481" i="1"/>
  <c r="K480" i="1"/>
  <c r="K479" i="1"/>
  <c r="K478" i="1"/>
  <c r="K477" i="1"/>
  <c r="K476" i="1"/>
  <c r="K475" i="1"/>
  <c r="K474" i="1"/>
  <c r="K473" i="1"/>
  <c r="L473" i="1"/>
  <c r="L484" i="1"/>
  <c r="K472" i="1"/>
  <c r="K471" i="1"/>
  <c r="K470" i="1"/>
  <c r="K502" i="1"/>
  <c r="L502" i="1"/>
  <c r="K501" i="1"/>
  <c r="L501" i="1"/>
  <c r="K500" i="1"/>
  <c r="L500" i="1"/>
  <c r="K499" i="1"/>
  <c r="L499" i="1"/>
  <c r="K498" i="1"/>
  <c r="L498" i="1"/>
  <c r="K497" i="1"/>
  <c r="L497" i="1"/>
  <c r="K496" i="1"/>
  <c r="K57" i="1"/>
  <c r="K56" i="1"/>
  <c r="K55" i="1"/>
  <c r="L55" i="1"/>
  <c r="K53" i="1"/>
  <c r="K21" i="1"/>
  <c r="L21" i="1"/>
  <c r="K20" i="1"/>
  <c r="L20" i="1"/>
  <c r="K19" i="1"/>
  <c r="E19" i="1"/>
  <c r="K18" i="1"/>
  <c r="K17" i="1"/>
  <c r="K16" i="1"/>
  <c r="L16" i="1"/>
  <c r="K15" i="1"/>
  <c r="K14" i="1"/>
  <c r="K13" i="1"/>
  <c r="L13" i="1"/>
  <c r="K12" i="1"/>
  <c r="L12" i="1"/>
  <c r="K11" i="1"/>
  <c r="K7" i="1"/>
  <c r="K446" i="1"/>
  <c r="K445" i="1"/>
  <c r="K448" i="1"/>
  <c r="K455" i="1"/>
  <c r="K454" i="1"/>
  <c r="K416" i="1"/>
  <c r="K415" i="1"/>
  <c r="L415" i="1"/>
  <c r="K414" i="1"/>
  <c r="L414" i="1"/>
  <c r="K413" i="1"/>
  <c r="K412" i="1"/>
  <c r="L412" i="1"/>
  <c r="K411" i="1"/>
  <c r="K375" i="1"/>
  <c r="K374" i="1"/>
  <c r="K373" i="1"/>
  <c r="L373" i="1"/>
  <c r="K372" i="1"/>
  <c r="L372" i="1"/>
  <c r="K371" i="1"/>
  <c r="L371" i="1"/>
  <c r="K370" i="1"/>
  <c r="L370" i="1"/>
  <c r="K369" i="1"/>
  <c r="L369" i="1"/>
  <c r="K368" i="1"/>
  <c r="K367" i="1"/>
  <c r="F367" i="1"/>
  <c r="K366" i="1"/>
  <c r="K365" i="1"/>
  <c r="K286" i="1"/>
  <c r="L286" i="1"/>
  <c r="K285" i="1"/>
  <c r="K361" i="1"/>
  <c r="L361" i="1"/>
  <c r="K360" i="1"/>
  <c r="L360" i="1"/>
  <c r="K359" i="1"/>
  <c r="L359" i="1"/>
  <c r="K358" i="1"/>
  <c r="L358" i="1"/>
  <c r="K357" i="1"/>
  <c r="L357" i="1"/>
  <c r="K356" i="1"/>
  <c r="G276" i="1"/>
  <c r="K276" i="1"/>
  <c r="L276" i="1"/>
  <c r="K275" i="1"/>
  <c r="L275" i="1"/>
  <c r="K273" i="1"/>
  <c r="L273" i="1"/>
  <c r="K272" i="1"/>
  <c r="L272" i="1"/>
  <c r="K271" i="1"/>
  <c r="L271" i="1"/>
  <c r="K270" i="1"/>
  <c r="L270" i="1"/>
  <c r="K269" i="1"/>
  <c r="K268" i="1"/>
  <c r="L268" i="1"/>
  <c r="K267" i="1"/>
  <c r="L267" i="1"/>
  <c r="K266" i="1"/>
  <c r="L266" i="1"/>
  <c r="K265" i="1"/>
  <c r="L265" i="1"/>
  <c r="K264" i="1"/>
  <c r="L264" i="1"/>
  <c r="K263" i="1"/>
  <c r="L263" i="1"/>
  <c r="K262" i="1"/>
  <c r="L262" i="1"/>
  <c r="K261" i="1"/>
  <c r="L261" i="1"/>
  <c r="K260" i="1"/>
  <c r="L260" i="1"/>
  <c r="K259" i="1"/>
  <c r="L259" i="1"/>
  <c r="K258" i="1"/>
  <c r="L258" i="1"/>
  <c r="K257" i="1"/>
  <c r="K256" i="1"/>
  <c r="L256" i="1"/>
  <c r="K255" i="1"/>
  <c r="K254" i="1"/>
  <c r="K253" i="1"/>
  <c r="L253" i="1"/>
  <c r="K252" i="1"/>
  <c r="L252" i="1"/>
  <c r="K251" i="1"/>
  <c r="L251" i="1"/>
  <c r="K250" i="1"/>
  <c r="L250" i="1"/>
  <c r="K249" i="1"/>
  <c r="L249" i="1"/>
  <c r="K248" i="1"/>
  <c r="L248" i="1"/>
  <c r="K247" i="1"/>
  <c r="K353" i="1"/>
  <c r="K352" i="1"/>
  <c r="K351" i="1"/>
  <c r="L351" i="1"/>
  <c r="K350" i="1"/>
  <c r="L350" i="1"/>
  <c r="K349" i="1"/>
  <c r="K348" i="1"/>
  <c r="L348" i="1"/>
  <c r="K347" i="1"/>
  <c r="L347" i="1"/>
  <c r="K346" i="1"/>
  <c r="K345" i="1"/>
  <c r="K336" i="1"/>
  <c r="L336" i="1"/>
  <c r="K333" i="1"/>
  <c r="L333" i="1"/>
  <c r="K332" i="1"/>
  <c r="L332" i="1"/>
  <c r="K331" i="1"/>
  <c r="L331" i="1"/>
  <c r="K330" i="1"/>
  <c r="K329" i="1"/>
  <c r="L329" i="1"/>
  <c r="E329" i="1"/>
  <c r="K328" i="1"/>
  <c r="L328" i="1"/>
  <c r="K327" i="1"/>
  <c r="L327" i="1"/>
  <c r="K326" i="1"/>
  <c r="L326" i="1"/>
  <c r="K325" i="1"/>
  <c r="K322" i="1"/>
  <c r="K321" i="1"/>
  <c r="K320" i="1"/>
  <c r="K319" i="1"/>
  <c r="L319" i="1"/>
  <c r="K318" i="1"/>
  <c r="L318" i="1"/>
  <c r="K317" i="1"/>
  <c r="L317" i="1"/>
  <c r="K316" i="1"/>
  <c r="K315" i="1"/>
  <c r="K304" i="1"/>
  <c r="K303" i="1"/>
  <c r="L303" i="1"/>
  <c r="K302" i="1"/>
  <c r="L302" i="1"/>
  <c r="K301" i="1"/>
  <c r="L301" i="1"/>
  <c r="K300" i="1"/>
  <c r="K299" i="1"/>
  <c r="L299" i="1"/>
  <c r="K298" i="1"/>
  <c r="L298" i="1"/>
  <c r="K297" i="1"/>
  <c r="L297" i="1"/>
  <c r="K296" i="1"/>
  <c r="L296" i="1"/>
  <c r="K295" i="1"/>
  <c r="L295" i="1"/>
  <c r="K294" i="1"/>
  <c r="L294" i="1"/>
  <c r="K293" i="1"/>
  <c r="L293" i="1"/>
  <c r="K292" i="1"/>
  <c r="L292" i="1"/>
  <c r="K291" i="1"/>
  <c r="K245" i="1"/>
  <c r="K244" i="1"/>
  <c r="L244" i="1"/>
  <c r="K243" i="1"/>
  <c r="K242" i="1"/>
  <c r="L242" i="1"/>
  <c r="K241" i="1"/>
  <c r="L241" i="1"/>
  <c r="L240" i="1"/>
  <c r="K239" i="1"/>
  <c r="L239" i="1"/>
  <c r="K238" i="1"/>
  <c r="L238" i="1"/>
  <c r="K234" i="1"/>
  <c r="L234" i="1"/>
  <c r="K233" i="1"/>
  <c r="L233" i="1"/>
  <c r="K232" i="1"/>
  <c r="L232" i="1"/>
  <c r="K231" i="1"/>
  <c r="K230" i="1"/>
  <c r="L230" i="1"/>
  <c r="K229" i="1"/>
  <c r="L229" i="1"/>
  <c r="K228" i="1"/>
  <c r="K224" i="1"/>
  <c r="L224" i="1"/>
  <c r="K223" i="1"/>
  <c r="L223" i="1"/>
  <c r="K222" i="1"/>
  <c r="L222" i="1"/>
  <c r="K221" i="1"/>
  <c r="L221" i="1"/>
  <c r="K220" i="1"/>
  <c r="L220" i="1"/>
  <c r="K219" i="1"/>
  <c r="L219" i="1"/>
  <c r="K218" i="1"/>
  <c r="L218" i="1"/>
  <c r="K217" i="1"/>
  <c r="K216" i="1"/>
  <c r="L216" i="1"/>
  <c r="K215" i="1"/>
  <c r="K214" i="1"/>
  <c r="K209" i="1"/>
  <c r="K208" i="1"/>
  <c r="L208" i="1"/>
  <c r="E208" i="1"/>
  <c r="K207" i="1"/>
  <c r="L207" i="1"/>
  <c r="K206" i="1"/>
  <c r="L206" i="1"/>
  <c r="K205" i="1"/>
  <c r="L205" i="1"/>
  <c r="K204" i="1"/>
  <c r="L204" i="1"/>
  <c r="K203" i="1"/>
  <c r="L203" i="1"/>
  <c r="K202" i="1"/>
  <c r="K200" i="1"/>
  <c r="K196" i="1"/>
  <c r="L196" i="1"/>
  <c r="K195" i="1"/>
  <c r="L195" i="1"/>
  <c r="K194" i="1"/>
  <c r="L194" i="1"/>
  <c r="K193" i="1"/>
  <c r="L193" i="1"/>
  <c r="K192" i="1"/>
  <c r="K191" i="1"/>
  <c r="L191" i="1"/>
  <c r="K190" i="1"/>
  <c r="L190" i="1"/>
  <c r="K189" i="1"/>
  <c r="K188" i="1"/>
  <c r="L188" i="1"/>
  <c r="K187" i="1"/>
  <c r="L187" i="1"/>
  <c r="K186" i="1"/>
  <c r="K185" i="1"/>
  <c r="L185" i="1"/>
  <c r="K184" i="1"/>
  <c r="L184" i="1"/>
  <c r="K183" i="1"/>
  <c r="L183" i="1"/>
  <c r="K182" i="1"/>
  <c r="K181" i="1"/>
  <c r="L181" i="1"/>
  <c r="K180" i="1"/>
  <c r="K179" i="1"/>
  <c r="L179" i="1"/>
  <c r="K178" i="1"/>
  <c r="K177" i="1"/>
  <c r="L177" i="1"/>
  <c r="K176" i="1"/>
  <c r="L176" i="1"/>
  <c r="K175" i="1"/>
  <c r="K173" i="1"/>
  <c r="K172" i="1"/>
  <c r="K171" i="1"/>
  <c r="L171" i="1"/>
  <c r="K170" i="1"/>
  <c r="L170" i="1"/>
  <c r="G169" i="1"/>
  <c r="K169" i="1"/>
  <c r="K168" i="1"/>
  <c r="L168" i="1"/>
  <c r="K167" i="1"/>
  <c r="L167" i="1"/>
  <c r="K166" i="1"/>
  <c r="L166" i="1"/>
  <c r="K165" i="1"/>
  <c r="K164" i="1"/>
  <c r="K163" i="1"/>
  <c r="K162" i="1"/>
  <c r="L162" i="1"/>
  <c r="K161" i="1"/>
  <c r="L161" i="1"/>
  <c r="K160" i="1"/>
  <c r="L160" i="1"/>
  <c r="K159" i="1"/>
  <c r="E159" i="1"/>
  <c r="K158" i="1"/>
  <c r="L158" i="1"/>
  <c r="E158" i="1"/>
  <c r="K157" i="1"/>
  <c r="L157" i="1"/>
  <c r="K156" i="1"/>
  <c r="L156" i="1"/>
  <c r="K155" i="1"/>
  <c r="K154" i="1"/>
  <c r="L154" i="1"/>
  <c r="K153" i="1"/>
  <c r="L153" i="1"/>
  <c r="K152" i="1"/>
  <c r="L152" i="1"/>
  <c r="K151" i="1"/>
  <c r="L151" i="1"/>
  <c r="K150" i="1"/>
  <c r="L150" i="1"/>
  <c r="K149" i="1"/>
  <c r="K143" i="1"/>
  <c r="E143" i="1"/>
  <c r="K142" i="1"/>
  <c r="L142" i="1"/>
  <c r="K141" i="1"/>
  <c r="K138" i="1"/>
  <c r="K137" i="1"/>
  <c r="K136" i="1"/>
  <c r="K131" i="1"/>
  <c r="L131" i="1"/>
  <c r="K130" i="1"/>
  <c r="L130" i="1"/>
  <c r="K129" i="1"/>
  <c r="L129" i="1"/>
  <c r="K128" i="1"/>
  <c r="K127" i="1"/>
  <c r="L127" i="1"/>
  <c r="K126" i="1"/>
  <c r="L126" i="1"/>
  <c r="K125" i="1"/>
  <c r="K124" i="1"/>
  <c r="L124" i="1"/>
  <c r="K123" i="1"/>
  <c r="K122" i="1"/>
  <c r="L122" i="1"/>
  <c r="K121" i="1"/>
  <c r="L121" i="1"/>
  <c r="K120" i="1"/>
  <c r="L120" i="1"/>
  <c r="K119" i="1"/>
  <c r="L119" i="1"/>
  <c r="K118" i="1"/>
  <c r="K117" i="1"/>
  <c r="L117" i="1"/>
  <c r="K115" i="1"/>
  <c r="L115" i="1"/>
  <c r="K114" i="1"/>
  <c r="L114" i="1"/>
  <c r="K113" i="1"/>
  <c r="L113" i="1"/>
  <c r="K112" i="1"/>
  <c r="L112" i="1"/>
  <c r="K111" i="1"/>
  <c r="L111" i="1"/>
  <c r="K110" i="1"/>
  <c r="F110" i="1"/>
  <c r="E110" i="1"/>
  <c r="K109" i="1"/>
  <c r="L109" i="1"/>
  <c r="K108" i="1"/>
  <c r="L108" i="1"/>
  <c r="K107" i="1"/>
  <c r="L107" i="1"/>
  <c r="K106" i="1"/>
  <c r="L106" i="1"/>
  <c r="K104" i="1"/>
  <c r="L104" i="1"/>
  <c r="K103" i="1"/>
  <c r="L103" i="1"/>
  <c r="K102" i="1"/>
  <c r="K290" i="1"/>
  <c r="K313" i="1"/>
  <c r="K213" i="1"/>
  <c r="K101" i="1"/>
  <c r="L11" i="1"/>
  <c r="K61" i="1"/>
  <c r="K140" i="1"/>
  <c r="K343" i="1"/>
  <c r="K284" i="1"/>
  <c r="K383" i="1"/>
  <c r="K199" i="1"/>
  <c r="K396" i="1"/>
  <c r="K323" i="1"/>
  <c r="K246" i="1"/>
  <c r="K148" i="1"/>
  <c r="K278" i="1"/>
  <c r="K237" i="1"/>
  <c r="K174" i="1"/>
  <c r="K227" i="1"/>
  <c r="K355" i="1"/>
  <c r="L65" i="1"/>
  <c r="L66" i="1"/>
  <c r="L101" i="1"/>
  <c r="L245" i="1"/>
  <c r="L246" i="1"/>
  <c r="L186" i="1"/>
  <c r="L343" i="1"/>
  <c r="L389" i="1"/>
  <c r="L17" i="1"/>
  <c r="K419" i="1"/>
  <c r="K364" i="1"/>
  <c r="L315" i="1"/>
  <c r="L323" i="1"/>
  <c r="L285" i="1"/>
  <c r="L149" i="1"/>
  <c r="L411" i="1"/>
  <c r="L141" i="1"/>
  <c r="L102" i="1"/>
  <c r="L356" i="1"/>
  <c r="L364" i="1"/>
  <c r="L15" i="1"/>
  <c r="L14" i="1"/>
  <c r="L214" i="1"/>
  <c r="L227" i="1"/>
  <c r="L365" i="1"/>
  <c r="L247" i="1"/>
  <c r="L278" i="1"/>
  <c r="L367" i="1"/>
  <c r="L454" i="1"/>
  <c r="K456" i="1"/>
  <c r="L143" i="1"/>
  <c r="K503" i="1"/>
  <c r="L19" i="1"/>
  <c r="K488" i="1"/>
  <c r="K453" i="1"/>
  <c r="L453" i="1"/>
  <c r="L503" i="1"/>
  <c r="L159" i="1"/>
  <c r="K461" i="1"/>
  <c r="K494" i="1"/>
  <c r="L291" i="1"/>
  <c r="L313" i="1"/>
  <c r="L110" i="1"/>
  <c r="L200" i="1"/>
  <c r="L213" i="1"/>
  <c r="K436" i="1"/>
  <c r="K484" i="1"/>
  <c r="K466" i="1"/>
  <c r="K510" i="1"/>
  <c r="L279" i="1"/>
  <c r="L284" i="1"/>
  <c r="L175" i="1"/>
  <c r="L228" i="1"/>
  <c r="L237" i="1"/>
  <c r="L455" i="1"/>
  <c r="L287" i="1"/>
  <c r="L366" i="1"/>
  <c r="L345" i="1"/>
  <c r="L355" i="1"/>
  <c r="L384" i="1"/>
  <c r="L416" i="1"/>
  <c r="L290" i="1"/>
  <c r="L140" i="1"/>
  <c r="L61" i="1"/>
  <c r="L199" i="1"/>
  <c r="L383" i="1"/>
  <c r="L396" i="1"/>
  <c r="L419" i="1"/>
  <c r="L436" i="1"/>
  <c r="L148" i="1"/>
  <c r="L174" i="1"/>
  <c r="L456" i="1"/>
  <c r="L510" i="1"/>
  <c r="L5" i="1"/>
  <c r="K113" i="6"/>
  <c r="K136" i="6"/>
  <c r="K71" i="6"/>
  <c r="L71" i="6"/>
  <c r="L113" i="6"/>
  <c r="L136" i="6"/>
  <c r="L73" i="6"/>
  <c r="L4" i="6"/>
  <c r="L279" i="6"/>
  <c r="K73" i="6"/>
  <c r="N58" i="17" l="1"/>
  <c r="M22" i="17"/>
  <c r="N21" i="17"/>
  <c r="P22" i="17"/>
  <c r="M6" i="12"/>
  <c r="M16" i="12" s="1"/>
  <c r="P104" i="17"/>
  <c r="P112" i="17"/>
  <c r="P63" i="17"/>
  <c r="P68" i="17"/>
  <c r="N194" i="12"/>
  <c r="M117" i="12"/>
  <c r="N378" i="12"/>
  <c r="M402" i="12"/>
  <c r="M227" i="12"/>
  <c r="M470" i="12"/>
  <c r="M34" i="12"/>
  <c r="M567" i="12"/>
  <c r="M571" i="12" s="1"/>
  <c r="M253" i="12"/>
  <c r="M285" i="12"/>
  <c r="M310" i="12"/>
  <c r="N258" i="12"/>
  <c r="N129" i="12"/>
  <c r="M175" i="12"/>
  <c r="N287" i="12"/>
  <c r="N286" i="12"/>
  <c r="M236" i="12"/>
  <c r="N301" i="12"/>
  <c r="M552" i="12"/>
  <c r="M558" i="12" s="1"/>
  <c r="H375" i="12"/>
  <c r="L375" i="12" s="1"/>
  <c r="N375" i="12" s="1"/>
  <c r="M352" i="12"/>
  <c r="M121" i="12"/>
  <c r="N564" i="12"/>
  <c r="N568" i="12" s="1"/>
  <c r="M171" i="12"/>
  <c r="M167" i="12"/>
  <c r="N113" i="12"/>
  <c r="M300" i="12"/>
  <c r="N215" i="12"/>
  <c r="M201" i="12"/>
  <c r="M224" i="12"/>
  <c r="M266" i="12"/>
  <c r="N183" i="12"/>
  <c r="M57" i="12"/>
  <c r="N382" i="12"/>
  <c r="N334" i="12"/>
  <c r="M245" i="12"/>
  <c r="N302" i="12"/>
  <c r="N187" i="12"/>
  <c r="N340" i="12"/>
  <c r="N335" i="12"/>
  <c r="M106" i="12"/>
  <c r="M315" i="12"/>
  <c r="M161" i="12"/>
  <c r="M560" i="12"/>
  <c r="M189" i="12"/>
  <c r="N46" i="12"/>
  <c r="M55" i="12"/>
  <c r="N198" i="12"/>
  <c r="M316" i="12"/>
  <c r="N169" i="12"/>
  <c r="N25" i="12"/>
  <c r="M177" i="12"/>
  <c r="N289" i="12"/>
  <c r="N689" i="12"/>
  <c r="M50" i="12"/>
  <c r="M63" i="12"/>
  <c r="N307" i="12"/>
  <c r="N165" i="12"/>
  <c r="M32" i="12"/>
  <c r="M173" i="12"/>
  <c r="M18" i="12"/>
  <c r="M490" i="12"/>
  <c r="N35" i="12"/>
  <c r="N222" i="12"/>
  <c r="M230" i="12"/>
  <c r="N237" i="12"/>
  <c r="M459" i="12"/>
  <c r="N343" i="12"/>
  <c r="N56" i="12"/>
  <c r="N339" i="12"/>
  <c r="N204" i="12"/>
  <c r="M210" i="12"/>
  <c r="N214" i="12"/>
  <c r="M168" i="12"/>
  <c r="N322" i="12"/>
  <c r="N377" i="12"/>
  <c r="M265" i="12"/>
  <c r="M570" i="12"/>
  <c r="N964" i="12"/>
  <c r="M522" i="12"/>
  <c r="M551" i="12" s="1"/>
  <c r="M559" i="12"/>
  <c r="M563" i="12" s="1"/>
  <c r="M62" i="12"/>
  <c r="N297" i="12"/>
  <c r="N249" i="12"/>
  <c r="N261" i="12"/>
  <c r="N181" i="12"/>
  <c r="N157" i="12"/>
  <c r="N88" i="12"/>
  <c r="M349" i="12"/>
  <c r="M270" i="12"/>
  <c r="M155" i="12"/>
  <c r="N269" i="12"/>
  <c r="M130" i="12"/>
  <c r="M256" i="12"/>
  <c r="N312" i="12"/>
  <c r="M345" i="12"/>
  <c r="N344" i="12"/>
  <c r="M220" i="12"/>
  <c r="N252" i="12"/>
  <c r="M150" i="12"/>
  <c r="N523" i="12"/>
  <c r="M525" i="12"/>
  <c r="N199" i="12"/>
  <c r="N400" i="12"/>
  <c r="L111" i="12"/>
  <c r="M326" i="12"/>
  <c r="N87" i="12"/>
  <c r="M70" i="12"/>
  <c r="M118" i="12"/>
  <c r="M176" i="12"/>
  <c r="M319" i="12"/>
  <c r="N138" i="12"/>
  <c r="N205" i="12"/>
  <c r="M185" i="12"/>
  <c r="M466" i="12"/>
  <c r="M562" i="12"/>
  <c r="M28" i="12"/>
  <c r="N595" i="12"/>
  <c r="N109" i="12"/>
  <c r="N783" i="12"/>
  <c r="N676" i="12"/>
  <c r="N471" i="12"/>
  <c r="N263" i="12"/>
  <c r="N221" i="12"/>
  <c r="N324" i="12"/>
  <c r="M36" i="12"/>
  <c r="M566" i="12"/>
  <c r="M380" i="12"/>
  <c r="M485" i="12"/>
  <c r="N159" i="12"/>
  <c r="M203" i="12"/>
  <c r="N351" i="12"/>
  <c r="M306" i="12"/>
  <c r="N226" i="12"/>
  <c r="N94" i="12"/>
  <c r="M85" i="12"/>
  <c r="N140" i="12"/>
  <c r="M65" i="12"/>
  <c r="N136" i="12"/>
  <c r="N634" i="12"/>
  <c r="L208" i="12"/>
  <c r="M242" i="12"/>
  <c r="M277" i="12" s="1"/>
  <c r="M80" i="12"/>
  <c r="M103" i="12" s="1"/>
  <c r="M193" i="12"/>
  <c r="N192" i="12"/>
  <c r="M350" i="12"/>
  <c r="M296" i="12"/>
  <c r="N248" i="12"/>
  <c r="N99" i="12"/>
  <c r="N303" i="12"/>
  <c r="M213" i="12"/>
  <c r="M132" i="12"/>
  <c r="M212" i="12"/>
  <c r="M86" i="12"/>
  <c r="M347" i="12"/>
  <c r="N154" i="12"/>
  <c r="M58" i="12"/>
  <c r="M332" i="12"/>
  <c r="M196" i="12"/>
  <c r="M299" i="12"/>
  <c r="N125" i="12"/>
  <c r="N218" i="12"/>
  <c r="M397" i="12"/>
  <c r="M469" i="12"/>
  <c r="M472" i="12"/>
  <c r="L648" i="12"/>
  <c r="N707" i="12"/>
  <c r="N708" i="12" s="1"/>
  <c r="N182" i="12"/>
  <c r="M182" i="12"/>
  <c r="M195" i="12"/>
  <c r="N195" i="12"/>
  <c r="N216" i="12"/>
  <c r="M216" i="12"/>
  <c r="N309" i="12"/>
  <c r="M309" i="12"/>
  <c r="M379" i="12"/>
  <c r="N379" i="12"/>
  <c r="N458" i="12"/>
  <c r="M458" i="12"/>
  <c r="N463" i="12"/>
  <c r="M463" i="12"/>
  <c r="N467" i="12"/>
  <c r="M467" i="12"/>
  <c r="N524" i="12"/>
  <c r="M524" i="12"/>
  <c r="M250" i="12"/>
  <c r="N250" i="12"/>
  <c r="L558" i="12"/>
  <c r="M271" i="12"/>
  <c r="N267" i="12"/>
  <c r="N320" i="12"/>
  <c r="M553" i="12"/>
  <c r="M9" i="12"/>
  <c r="N9" i="12"/>
  <c r="N141" i="12"/>
  <c r="M141" i="12"/>
  <c r="M593" i="12"/>
  <c r="M635" i="12" s="1"/>
  <c r="N593" i="12"/>
  <c r="N202" i="12"/>
  <c r="M202" i="12"/>
  <c r="M246" i="12"/>
  <c r="N246" i="12"/>
  <c r="M259" i="12"/>
  <c r="N259" i="12"/>
  <c r="M148" i="12"/>
  <c r="M152" i="12" s="1"/>
  <c r="N229" i="12"/>
  <c r="M158" i="12"/>
  <c r="N133" i="12"/>
  <c r="M22" i="12"/>
  <c r="N178" i="12"/>
  <c r="N83" i="12"/>
  <c r="M83" i="12"/>
  <c r="M126" i="12"/>
  <c r="N126" i="12"/>
  <c r="M225" i="12"/>
  <c r="N225" i="12"/>
  <c r="N233" i="12"/>
  <c r="N39" i="12"/>
  <c r="M39" i="12"/>
  <c r="N43" i="12"/>
  <c r="M43" i="12"/>
  <c r="M47" i="12"/>
  <c r="N47" i="12"/>
  <c r="N60" i="12"/>
  <c r="M60" i="12"/>
  <c r="M275" i="12"/>
  <c r="N275" i="12"/>
  <c r="M209" i="12"/>
  <c r="M241" i="12" s="1"/>
  <c r="N163" i="12"/>
  <c r="N179" i="12"/>
  <c r="N23" i="12"/>
  <c r="M40" i="12"/>
  <c r="N281" i="12"/>
  <c r="N234" i="12"/>
  <c r="N342" i="12"/>
  <c r="N19" i="12"/>
  <c r="M53" i="12"/>
  <c r="N313" i="12"/>
  <c r="N28" i="12"/>
  <c r="M295" i="12"/>
  <c r="M330" i="12" s="1"/>
  <c r="N17" i="12"/>
  <c r="N1013" i="12"/>
  <c r="L792" i="12"/>
  <c r="N123" i="12"/>
  <c r="N15" i="12"/>
  <c r="M84" i="12"/>
  <c r="M119" i="12"/>
  <c r="M10" i="12"/>
  <c r="N96" i="12"/>
  <c r="M149" i="12"/>
  <c r="N396" i="12"/>
  <c r="N550" i="12"/>
  <c r="N775" i="12"/>
  <c r="N255" i="12"/>
  <c r="M255" i="12"/>
  <c r="N280" i="12"/>
  <c r="M280" i="12"/>
  <c r="N308" i="12"/>
  <c r="N89" i="12"/>
  <c r="N100" i="12"/>
  <c r="N61" i="12"/>
  <c r="N124" i="12"/>
  <c r="N260" i="12"/>
  <c r="N180" i="12"/>
  <c r="N200" i="12"/>
  <c r="N68" i="12"/>
  <c r="N97" i="12"/>
  <c r="N69" i="12"/>
  <c r="N45" i="12"/>
  <c r="N268" i="12"/>
  <c r="N188" i="12"/>
  <c r="N164" i="12"/>
  <c r="N116" i="12"/>
  <c r="N93" i="12"/>
  <c r="M54" i="12"/>
  <c r="N92" i="12"/>
  <c r="N554" i="12"/>
  <c r="N495" i="12"/>
  <c r="M487" i="12"/>
  <c r="M521" i="12" s="1"/>
  <c r="L241" i="12"/>
  <c r="N81" i="12"/>
  <c r="M81" i="12"/>
  <c r="M112" i="12"/>
  <c r="M147" i="12" s="1"/>
  <c r="N112" i="12"/>
  <c r="M231" i="12"/>
  <c r="N231" i="12"/>
  <c r="N304" i="12"/>
  <c r="M304" i="12"/>
  <c r="N491" i="12"/>
  <c r="M491" i="12"/>
  <c r="L712" i="12"/>
  <c r="N709" i="12"/>
  <c r="N712" i="12" s="1"/>
  <c r="M102" i="12"/>
  <c r="M135" i="12"/>
  <c r="M20" i="12"/>
  <c r="M314" i="12"/>
  <c r="N120" i="12"/>
  <c r="N160" i="12"/>
  <c r="N172" i="12"/>
  <c r="M333" i="12"/>
  <c r="N197" i="12"/>
  <c r="N184" i="12"/>
  <c r="M244" i="12"/>
  <c r="M21" i="12"/>
  <c r="M42" i="12"/>
  <c r="M283" i="12"/>
  <c r="N114" i="12"/>
  <c r="M114" i="12"/>
  <c r="N13" i="12"/>
  <c r="M13" i="12"/>
  <c r="N827" i="12"/>
  <c r="L883" i="12"/>
  <c r="M49" i="12"/>
  <c r="M11" i="12"/>
  <c r="N223" i="12"/>
  <c r="M139" i="12"/>
  <c r="N264" i="12"/>
  <c r="M318" i="12"/>
  <c r="M338" i="12"/>
  <c r="M376" i="12" s="1"/>
  <c r="L571" i="12"/>
  <c r="N64" i="12"/>
  <c r="M64" i="12"/>
  <c r="M251" i="12"/>
  <c r="N251" i="12"/>
  <c r="N557" i="12"/>
  <c r="N750" i="12"/>
  <c r="N751" i="12" s="1"/>
  <c r="L456" i="12"/>
  <c r="N854" i="12"/>
  <c r="N855" i="12" s="1"/>
  <c r="N791" i="12"/>
  <c r="N792" i="12" s="1"/>
  <c r="M520" i="12"/>
  <c r="N520" i="12"/>
  <c r="M235" i="12"/>
  <c r="N235" i="12"/>
  <c r="M291" i="12"/>
  <c r="N291" i="12"/>
  <c r="N284" i="12"/>
  <c r="M284" i="12"/>
  <c r="N293" i="12"/>
  <c r="M293" i="12"/>
  <c r="L294" i="12"/>
  <c r="M348" i="12"/>
  <c r="N348" i="12"/>
  <c r="M321" i="12"/>
  <c r="N321" i="12"/>
  <c r="N254" i="12"/>
  <c r="M254" i="12"/>
  <c r="N336" i="12"/>
  <c r="M336" i="12"/>
  <c r="M329" i="12"/>
  <c r="N329" i="12"/>
  <c r="L330" i="12"/>
  <c r="L486" i="12"/>
  <c r="L190" i="12"/>
  <c r="N170" i="12"/>
  <c r="N134" i="12"/>
  <c r="N48" i="12"/>
  <c r="N37" i="12"/>
  <c r="N127" i="12"/>
  <c r="N381" i="12"/>
  <c r="N305" i="12"/>
  <c r="M247" i="12"/>
  <c r="N131" i="12"/>
  <c r="N98" i="12"/>
  <c r="N257" i="12"/>
  <c r="N211" i="12"/>
  <c r="N232" i="12"/>
  <c r="N341" i="12"/>
  <c r="N279" i="12"/>
  <c r="M465" i="12"/>
  <c r="N153" i="12"/>
  <c r="N492" i="12"/>
  <c r="M489" i="12"/>
  <c r="M7" i="12"/>
  <c r="N387" i="12"/>
  <c r="N107" i="12"/>
  <c r="N569" i="12"/>
  <c r="L563" i="12"/>
  <c r="L635" i="12"/>
  <c r="L708" i="12"/>
  <c r="N677" i="12"/>
  <c r="N647" i="12"/>
  <c r="N648" i="12" s="1"/>
  <c r="N866" i="12"/>
  <c r="N883" i="12" s="1"/>
  <c r="L933" i="12"/>
  <c r="N926" i="12"/>
  <c r="N933" i="12" s="1"/>
  <c r="L103" i="12"/>
  <c r="L30" i="12"/>
  <c r="L337" i="12"/>
  <c r="N90" i="12"/>
  <c r="N262" i="12"/>
  <c r="N228" i="12"/>
  <c r="N325" i="12"/>
  <c r="N238" i="12"/>
  <c r="M211" i="12"/>
  <c r="N166" i="12"/>
  <c r="N142" i="12"/>
  <c r="N346" i="12"/>
  <c r="N282" i="12"/>
  <c r="N82" i="12"/>
  <c r="N115" i="12"/>
  <c r="N311" i="12"/>
  <c r="L277" i="12"/>
  <c r="N67" i="12"/>
  <c r="N288" i="12"/>
  <c r="M387" i="12"/>
  <c r="M456" i="12" s="1"/>
  <c r="M557" i="12"/>
  <c r="L594" i="12"/>
  <c r="L551" i="12"/>
  <c r="L386" i="12"/>
  <c r="N274" i="12"/>
  <c r="N272" i="12"/>
  <c r="L644" i="12"/>
  <c r="L751" i="12"/>
  <c r="N784" i="12"/>
  <c r="L828" i="12"/>
  <c r="N981" i="12"/>
  <c r="N997" i="12"/>
  <c r="N494" i="12"/>
  <c r="L521" i="12"/>
  <c r="M207" i="12"/>
  <c r="L147" i="12"/>
  <c r="L152" i="12"/>
  <c r="M78" i="12"/>
  <c r="M24" i="12"/>
  <c r="M346" i="12"/>
  <c r="N174" i="12"/>
  <c r="L568" i="12"/>
  <c r="M561" i="12"/>
  <c r="M31" i="12"/>
  <c r="M79" i="12" s="1"/>
  <c r="N563" i="12"/>
  <c r="M468" i="12"/>
  <c r="M191" i="12"/>
  <c r="M208" i="12" s="1"/>
  <c r="N12" i="12"/>
  <c r="M273" i="12"/>
  <c r="L690" i="12"/>
  <c r="N206" i="12"/>
  <c r="M206" i="12"/>
  <c r="L855" i="12"/>
  <c r="L865" i="12"/>
  <c r="L965" i="12"/>
  <c r="N934" i="12"/>
  <c r="L981" i="12"/>
  <c r="L776" i="12"/>
  <c r="L923" i="12"/>
  <c r="N922" i="12"/>
  <c r="N923" i="12" s="1"/>
  <c r="L997" i="12"/>
  <c r="L762" i="12"/>
  <c r="N865" i="12"/>
  <c r="L16" i="12"/>
  <c r="F8" i="12"/>
  <c r="M91" i="12"/>
  <c r="N91" i="12"/>
  <c r="M95" i="12"/>
  <c r="N95" i="12"/>
  <c r="N240" i="12"/>
  <c r="M240" i="12"/>
  <c r="M146" i="12"/>
  <c r="L79" i="12"/>
  <c r="N151" i="12"/>
  <c r="N152" i="12" s="1"/>
  <c r="M151" i="12"/>
  <c r="M276" i="12"/>
  <c r="N276" i="12"/>
  <c r="M384" i="12"/>
  <c r="N384" i="12"/>
  <c r="M493" i="12"/>
  <c r="M44" i="12"/>
  <c r="N44" i="12"/>
  <c r="M66" i="12"/>
  <c r="N66" i="12"/>
  <c r="M243" i="12"/>
  <c r="N243" i="12"/>
  <c r="M278" i="12"/>
  <c r="M294" i="12" s="1"/>
  <c r="N278" i="12"/>
  <c r="M38" i="12"/>
  <c r="M59" i="12"/>
  <c r="N14" i="12"/>
  <c r="N110" i="12"/>
  <c r="M41" i="12"/>
  <c r="N41" i="12"/>
  <c r="N644" i="12"/>
  <c r="N128" i="12"/>
  <c r="N353" i="12"/>
  <c r="M317" i="12"/>
  <c r="N488" i="12"/>
  <c r="M457" i="12"/>
  <c r="M486" i="12" s="1"/>
  <c r="N331" i="12"/>
  <c r="L784" i="12"/>
  <c r="N186" i="12"/>
  <c r="N162" i="12"/>
  <c r="N219" i="12"/>
  <c r="N137" i="12"/>
  <c r="M323" i="12"/>
  <c r="M464" i="12"/>
  <c r="N460" i="12"/>
  <c r="N101" i="12"/>
  <c r="N678" i="12"/>
  <c r="N690" i="12" s="1"/>
  <c r="N763" i="12"/>
  <c r="N776" i="12" s="1"/>
  <c r="N793" i="12"/>
  <c r="N752" i="12"/>
  <c r="N762" i="12" s="1"/>
  <c r="M239" i="12"/>
  <c r="M290" i="12"/>
  <c r="M298" i="12"/>
  <c r="M108" i="12"/>
  <c r="L677" i="12"/>
  <c r="L1013" i="12"/>
  <c r="P96" i="17"/>
  <c r="P58" i="17"/>
  <c r="P32" i="17"/>
  <c r="P38" i="17"/>
  <c r="P54" i="17"/>
  <c r="P8" i="17"/>
  <c r="P17" i="17"/>
  <c r="P28" i="17"/>
  <c r="N164" i="17"/>
  <c r="P35" i="17"/>
  <c r="M35" i="17"/>
  <c r="P41" i="17"/>
  <c r="P12" i="17"/>
  <c r="L376" i="12" l="1"/>
  <c r="N965" i="12"/>
  <c r="M375" i="12"/>
  <c r="M164" i="17"/>
  <c r="N456" i="12"/>
  <c r="N635" i="12"/>
  <c r="N30" i="12"/>
  <c r="N551" i="12"/>
  <c r="N571" i="12"/>
  <c r="N594" i="12" s="1"/>
  <c r="N558" i="12"/>
  <c r="N486" i="12"/>
  <c r="N337" i="12"/>
  <c r="N208" i="12"/>
  <c r="N376" i="12"/>
  <c r="N828" i="12"/>
  <c r="N330" i="12"/>
  <c r="N521" i="12"/>
  <c r="N103" i="12"/>
  <c r="N190" i="12"/>
  <c r="N79" i="12"/>
  <c r="M1029" i="12"/>
  <c r="N386" i="12"/>
  <c r="N111" i="12"/>
  <c r="N241" i="12"/>
  <c r="N294" i="12"/>
  <c r="M8" i="12"/>
  <c r="N8" i="12"/>
  <c r="N16" i="12" s="1"/>
  <c r="N147" i="12"/>
  <c r="L1029" i="12"/>
  <c r="N277" i="12"/>
  <c r="P152" i="17"/>
  <c r="N1017" i="12" l="1"/>
</calcChain>
</file>

<file path=xl/comments1.xml><?xml version="1.0" encoding="utf-8"?>
<comments xmlns="http://schemas.openxmlformats.org/spreadsheetml/2006/main">
  <authors>
    <author>HPZ400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Giải chi tạm ứng 8tr ngày18,25,30/11 , ( Tồng chi: 7.930.000 )
ĐỢT 1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Giải chi ngày 26/02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Theo số TỔng hơp trên phần mềm kế toán từ tháng 01/2020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 xml:space="preserve"> 20.000.000 ( 12/03 TECH)
12.165.000 ( 12/05/2020 TECH)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31/12/2019 VTB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02/01 TECH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27/02 TECH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 xml:space="preserve">28/03 VTB
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06/05 TECH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14/01 VTB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24/02 VTB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17/01 TECH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19/05/2020 TECH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Trừ 600.000 tiền xà bần
Trừ 1.000.000 trừ hao vật tư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18/01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12/05/2020 TECH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26/05/2020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 xml:space="preserve">15/02 TECH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27/02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17/02 TECH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17/02 TECH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10/03 VTB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07/03 VTB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12/03 TECH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24/03 TECH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11/2019 TECH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Lần 1 50%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Lần 1 50% ngày 21/11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J62" authorId="0" shapeId="0">
      <text>
        <r>
          <rPr>
            <b/>
            <sz val="9"/>
            <color indexed="81"/>
            <rFont val="Tahoma"/>
            <family val="2"/>
          </rPr>
          <t xml:space="preserve">trừ tiền vi phạm do hút thuốc tại công trình, 27/04 ck 1.806.103
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 xml:space="preserve">15/02 VTB
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06/03 VTB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14/05/2020 VTB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06/03 VTB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Tháng 11/2019 SHB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16/01 TECH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22/01 TECH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 xml:space="preserve">12/02 TECH
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20/03 VTB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04/11/2019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25/05/2020 TECH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26/02 TECH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 xml:space="preserve">03/03 VTB
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 xml:space="preserve">04/03 VTB
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07/03 VTB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10/03 TM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ứng, ngày chứng từ 28/04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24/07 TECH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trừ 700k phí làm thẻ và gửi xe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NGÀY 5/11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trừ phí học ATLĐ : 1.350.000 + gữi xe: 300.000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tạm ứng đợt 1 30%
13/11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40 % ( hoàn thành 90% khối lượng công trình. )</t>
        </r>
      </text>
    </comment>
    <comment ref="I104" authorId="0" shapeId="0">
      <text>
        <r>
          <rPr>
            <b/>
            <sz val="9"/>
            <color indexed="81"/>
            <rFont val="Tahoma"/>
            <family val="2"/>
          </rPr>
          <t xml:space="preserve">30% ( sau khi nghiệm thu bàn giao )
</t>
        </r>
      </text>
    </comment>
    <comment ref="J106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 xml:space="preserve">bao gồm VAT
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 xml:space="preserve">Trừ 300.000 chi phí làm thẻ
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 xml:space="preserve">TK ngày 11/11/2019
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 xml:space="preserve">trừ 600k phí học ATLĐ
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tạm ứng đợt 1 40% ngày 11.11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30% = 62.800.980
sau ký hợp đồng 3 ngày ngày 13/11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40% = 83.734.640
sau khi giao hàng 3 ngày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30% còn lại sau khi nhận đủ hồ sơ thanh toán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 xml:space="preserve">CK 30% NGÀY 6/11
</t>
        </r>
      </text>
    </comment>
    <comment ref="H115" authorId="0" shapeId="0">
      <text>
        <r>
          <rPr>
            <b/>
            <sz val="9"/>
            <color indexed="81"/>
            <rFont val="Tahoma"/>
            <family val="2"/>
          </rPr>
          <t>40%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06/04/2020 VTB</t>
        </r>
      </text>
    </comment>
    <comment ref="J115" authorId="0" shapeId="0">
      <text>
        <r>
          <rPr>
            <b/>
            <sz val="9"/>
            <color indexed="81"/>
            <rFont val="Tahoma"/>
            <family val="2"/>
          </rPr>
          <t>23/05/2020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Giải chi ngày 15/11:
đã tạm ứng : 3.000.000
chi thêm : 3.573.000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trừ 600k phí học ATLĐ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28/04/2020 VTB</t>
        </r>
      </text>
    </comment>
    <comment ref="H135" authorId="0" shapeId="0">
      <text>
        <r>
          <rPr>
            <b/>
            <sz val="9"/>
            <color indexed="81"/>
            <rFont val="Tahoma"/>
            <family val="2"/>
          </rPr>
          <t>24/07/2020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CHI NGÀY 13/12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22/04/2020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TẠM ỨNG 30% = 15.123.000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E143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 xml:space="preserve">trừ 300k phí học ATLĐ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LẦN 1 : 6.500.000
30%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40%</t>
        </r>
      </text>
    </comment>
    <comment ref="I143" authorId="0" shapeId="0">
      <text>
        <r>
          <rPr>
            <b/>
            <sz val="9"/>
            <color indexed="81"/>
            <rFont val="Tahoma"/>
            <family val="2"/>
          </rPr>
          <t>30%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07/07/2020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06/07/2020 TECH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</rPr>
          <t xml:space="preserve">05/03 vtb
</t>
        </r>
      </text>
    </comment>
    <comment ref="E149" authorId="0" shapeId="0">
      <text>
        <r>
          <rPr>
            <b/>
            <sz val="9"/>
            <color indexed="81"/>
            <rFont val="Tahoma"/>
            <family val="2"/>
          </rPr>
          <t>GỒM VAT</t>
        </r>
      </text>
    </comment>
    <comment ref="H149" authorId="0" shapeId="0">
      <text>
        <r>
          <rPr>
            <b/>
            <sz val="9"/>
            <color indexed="81"/>
            <rFont val="Tahoma"/>
            <family val="2"/>
          </rPr>
          <t xml:space="preserve">09/11/2019
</t>
        </r>
      </text>
    </comment>
    <comment ref="I151" authorId="0" shapeId="0">
      <text>
        <r>
          <rPr>
            <b/>
            <sz val="9"/>
            <color indexed="81"/>
            <rFont val="Tahoma"/>
            <family val="2"/>
          </rPr>
          <t xml:space="preserve">18/03/2020 VTB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 xml:space="preserve">THANH TOÁN 10TR ĐỢT 2 NGÀY 11/11
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Ngày thanh toán : 06/11/2019
CK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ứng: 3tr
chi thêm:     60k
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Giải chi ngày 19/11:
đã ứng : 2tr
chi thêm : 176.000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Giả chi ngày 03/12
đã tạm ứng : 2tr 
Chi thêm " 663.000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 xml:space="preserve">NGÀY 6/11
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</rPr>
          <t xml:space="preserve">NGÀY 12/11
</t>
        </r>
      </text>
    </comment>
    <comment ref="L185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23/09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 xml:space="preserve">CK ngày 08/11 
72.184.000+77.000.000=149.184.000
</t>
        </r>
      </text>
    </comment>
    <comment ref="I200" authorId="0" shapeId="0">
      <text>
        <r>
          <rPr>
            <b/>
            <sz val="9"/>
            <color indexed="81"/>
            <rFont val="Tahoma"/>
            <family val="2"/>
          </rPr>
          <t>17/01/2020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0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 xml:space="preserve">giải chi ngày 8/11: 
đã tạm ứng : 5.000.000
chi thêm : 5.036.000
</t>
        </r>
      </text>
    </comment>
    <comment ref="I210" authorId="0" shapeId="0">
      <text>
        <r>
          <rPr>
            <b/>
            <sz val="9"/>
            <color indexed="81"/>
            <rFont val="Tahoma"/>
            <family val="2"/>
          </rPr>
          <t>08/01/20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 xml:space="preserve">Lấy số từ bảng tổng hợp của Ms Tragn
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19/05/2020 TM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ứng: 12tr
chi thêm     : 1.192.000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>Giải chi ngày 21/11:
đã ứng ngày 15/11:2tr
chi thêm: 250k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 xml:space="preserve">GTQT cuối cùng cần thanh toán
</t>
        </r>
      </text>
    </comment>
    <comment ref="E238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I238" authorId="0" shapeId="0">
      <text>
        <r>
          <rPr>
            <b/>
            <sz val="9"/>
            <color indexed="81"/>
            <rFont val="Tahoma"/>
            <family val="2"/>
          </rPr>
          <t>18/03/2020 VTB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16/12</t>
        </r>
      </text>
    </comment>
    <comment ref="E240" authorId="0" shapeId="0">
      <text>
        <r>
          <rPr>
            <b/>
            <sz val="9"/>
            <color indexed="81"/>
            <rFont val="Tahoma"/>
            <family val="2"/>
          </rPr>
          <t xml:space="preserve">VAT
</t>
        </r>
      </text>
    </comment>
    <comment ref="E241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50% chưa VAT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 xml:space="preserve">50% còn lại và 100% VAT
</t>
        </r>
      </text>
    </comment>
    <comment ref="E24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
đã tạm ứng : 9tr
chi thêm      : 3.040.000
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30% = 1.575.000</t>
        </r>
      </text>
    </comment>
    <comment ref="E251" authorId="0" shapeId="0">
      <text>
        <r>
          <rPr>
            <b/>
            <sz val="9"/>
            <color indexed="81"/>
            <rFont val="Tahoma"/>
            <family val="2"/>
          </rPr>
          <t>CÓ HỢP ĐỒNG
NGÀY 12/11/2019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 xml:space="preserve">30% sau ký HĐ (12/11 )
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</rPr>
          <t>40%  = 13.789.600 sau khi nhận hàng</t>
        </r>
      </text>
    </comment>
    <comment ref="I251" authorId="0" shapeId="0">
      <text>
        <r>
          <rPr>
            <b/>
            <sz val="9"/>
            <color indexed="81"/>
            <rFont val="Tahoma"/>
            <family val="2"/>
          </rPr>
          <t>30% sau khu nghiệm thu lắp đặt</t>
        </r>
      </text>
    </comment>
    <comment ref="E252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70%  = 4.474.000</t>
        </r>
      </text>
    </comment>
    <comment ref="E253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 : 2tr
chi thêm:   1.753.000
</t>
        </r>
      </text>
    </comment>
    <comment ref="H256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 xml:space="preserve">Giải cvhi ngày 19/11:
đã ứng :6tr
chi thêm : 1.549.000
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30%</t>
        </r>
      </text>
    </comment>
    <comment ref="I259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9" authorId="0" shapeId="0">
      <text>
        <r>
          <rPr>
            <b/>
            <sz val="9"/>
            <color indexed="81"/>
            <rFont val="Tahoma"/>
            <family val="2"/>
          </rPr>
          <t>Giải chi tạm ứng 5tr ( tháng 12 )
03/01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07/03 VTB
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14/11: Mr Nhã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</rPr>
          <t>NGÀY 21/11 Mr Lil</t>
        </r>
      </text>
    </comment>
    <comment ref="I275" authorId="0" shapeId="0">
      <text>
        <r>
          <rPr>
            <b/>
            <sz val="9"/>
            <color indexed="81"/>
            <rFont val="Tahoma"/>
            <family val="2"/>
          </rPr>
          <t>Phú thi công ứng ngày 4/12/2019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E285" authorId="0" shapeId="0">
      <text>
        <r>
          <rPr>
            <b/>
            <sz val="9"/>
            <color indexed="81"/>
            <rFont val="Tahoma"/>
            <family val="2"/>
          </rPr>
          <t xml:space="preserve">GỒM VAT
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>10/07/2020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28/05/2020 TECH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</rPr>
          <t>15/06/2020 TECH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10/07 TM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 xml:space="preserve">27/06/2020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09" authorId="0" shapeId="0">
      <text>
        <r>
          <rPr>
            <b/>
            <sz val="9"/>
            <color indexed="81"/>
            <rFont val="Tahoma"/>
            <family val="2"/>
          </rPr>
          <t>16/04/2020</t>
        </r>
      </text>
    </comment>
    <comment ref="I310" authorId="0" shapeId="0">
      <text>
        <r>
          <rPr>
            <b/>
            <sz val="9"/>
            <color indexed="81"/>
            <rFont val="Tahoma"/>
            <family val="2"/>
          </rPr>
          <t>TRỪ SỐ TIỀN TỦ TRƯNG BÀY</t>
        </r>
      </text>
    </comment>
    <comment ref="J310" authorId="0" shapeId="0">
      <text>
        <r>
          <rPr>
            <b/>
            <sz val="9"/>
            <color indexed="81"/>
            <rFont val="Tahoma"/>
            <family val="2"/>
          </rPr>
          <t>18/04/2020 TECH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30/06/2020 TECH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đã thanh toán trong năm 2019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 : 18tr
chi thêm: 672.000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26/06</t>
        </r>
      </text>
    </comment>
    <comment ref="H326" authorId="0" shapeId="0">
      <text>
        <r>
          <rPr>
            <b/>
            <sz val="9"/>
            <color indexed="81"/>
            <rFont val="Tahoma"/>
            <family val="2"/>
          </rPr>
          <t>19/8</t>
        </r>
      </text>
    </comment>
    <comment ref="J329" authorId="0" shapeId="0">
      <text>
        <r>
          <rPr>
            <b/>
            <sz val="9"/>
            <color indexed="81"/>
            <rFont val="Tahoma"/>
            <family val="2"/>
          </rPr>
          <t>06/01 TECH</t>
        </r>
      </text>
    </comment>
    <comment ref="H330" authorId="0" shapeId="0">
      <text>
        <r>
          <rPr>
            <b/>
            <sz val="9"/>
            <color indexed="81"/>
            <rFont val="Tahoma"/>
            <family val="2"/>
          </rPr>
          <t xml:space="preserve">trong bảng giài chi anh ĐỒng từ 14/02 đến 25/02
</t>
        </r>
      </text>
    </comment>
    <comment ref="H336" authorId="0" shapeId="0">
      <text>
        <r>
          <rPr>
            <b/>
            <sz val="9"/>
            <color indexed="81"/>
            <rFont val="Tahoma"/>
            <family val="2"/>
          </rPr>
          <t xml:space="preserve">26/12/2019
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Tạm ừng 21/02 TECH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 xml:space="preserve">giải chi từ 26/02 đến 03/03/2020
</t>
        </r>
      </text>
    </comment>
    <comment ref="H341" authorId="0" shapeId="0">
      <text>
        <r>
          <rPr>
            <b/>
            <sz val="9"/>
            <color indexed="81"/>
            <rFont val="Tahoma"/>
            <family val="2"/>
          </rPr>
          <t>Giải chi Anh Đồng từ ngày 03/03 đến 18/03/2020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 xml:space="preserve">30% = 8.278.600
</t>
        </r>
      </text>
    </comment>
    <comment ref="H348" authorId="0" shapeId="0">
      <text>
        <r>
          <rPr>
            <b/>
            <sz val="9"/>
            <color indexed="81"/>
            <rFont val="Tahoma"/>
            <family val="2"/>
          </rPr>
          <t xml:space="preserve">40%
</t>
        </r>
      </text>
    </comment>
    <comment ref="I348" authorId="0" shapeId="0">
      <text>
        <r>
          <rPr>
            <b/>
            <sz val="9"/>
            <color indexed="81"/>
            <rFont val="Tahoma"/>
            <family val="2"/>
          </rPr>
          <t xml:space="preserve">30%
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Giải chi ngày 15/11;
đã tạm ứng : 9.850.000
chi thêm : 3.700.000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17/01/20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CK ngày 17/10</t>
        </r>
      </text>
    </comment>
    <comment ref="I362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19/03/2020 TECH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391" authorId="0" shapeId="0">
      <text>
        <r>
          <rPr>
            <b/>
            <sz val="9"/>
            <color indexed="81"/>
            <rFont val="Tahoma"/>
            <family val="2"/>
          </rPr>
          <t>tạm ứng 2tr, chi thêm 1.536.000 giải chi ngày 17/02 TECH</t>
        </r>
      </text>
    </comment>
    <comment ref="I391" authorId="0" shapeId="0">
      <text>
        <r>
          <rPr>
            <b/>
            <sz val="9"/>
            <color indexed="81"/>
            <rFont val="Tahoma"/>
            <family val="2"/>
          </rPr>
          <t>10/07/2020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2" authorId="0" shapeId="0">
      <text>
        <r>
          <rPr>
            <b/>
            <sz val="9"/>
            <color indexed="81"/>
            <rFont val="Tahoma"/>
            <family val="2"/>
          </rPr>
          <t>07/03/2020 VTB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 xml:space="preserve">14/02 TM
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411" authorId="0" shapeId="0">
      <text>
        <r>
          <rPr>
            <b/>
            <sz val="9"/>
            <color indexed="81"/>
            <rFont val="Tahoma"/>
            <family val="2"/>
          </rPr>
          <t xml:space="preserve">09/01
</t>
        </r>
      </text>
    </comment>
    <comment ref="H411" authorId="0" shapeId="0">
      <text>
        <r>
          <rPr>
            <b/>
            <sz val="9"/>
            <color indexed="81"/>
            <rFont val="Tahoma"/>
            <family val="2"/>
          </rPr>
          <t>12/06</t>
        </r>
      </text>
    </comment>
    <comment ref="I411" authorId="0" shapeId="0">
      <text>
        <r>
          <rPr>
            <b/>
            <sz val="9"/>
            <color indexed="81"/>
            <rFont val="Tahoma"/>
            <family val="2"/>
          </rPr>
          <t xml:space="preserve">16/08
</t>
        </r>
      </text>
    </comment>
    <comment ref="J411" authorId="0" shapeId="0">
      <text>
        <r>
          <rPr>
            <b/>
            <sz val="9"/>
            <color indexed="81"/>
            <rFont val="Tahoma"/>
            <family val="2"/>
          </rPr>
          <t xml:space="preserve">Ck ngày 08/11
</t>
        </r>
      </text>
    </comment>
    <comment ref="G445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ứng: 12tr
thu lại         : 625.000</t>
        </r>
      </text>
    </comment>
    <comment ref="H467" authorId="0" shapeId="0">
      <text>
        <r>
          <rPr>
            <b/>
            <sz val="9"/>
            <color indexed="81"/>
            <rFont val="Tahoma"/>
            <family val="2"/>
          </rPr>
          <t>thanh toán đợt cuối 15.000.000</t>
        </r>
      </text>
    </comment>
    <comment ref="G470" authorId="0" shapeId="0">
      <text>
        <r>
          <rPr>
            <b/>
            <sz val="9"/>
            <color indexed="81"/>
            <rFont val="Tahoma"/>
            <family val="2"/>
          </rPr>
          <t xml:space="preserve">giải chi ngày 08/11
đã tạm ứng: 1.000.000
chi thêm: 4.414.000
</t>
        </r>
      </text>
    </comment>
    <comment ref="G471" authorId="0" shapeId="0">
      <text>
        <r>
          <rPr>
            <b/>
            <sz val="9"/>
            <color indexed="81"/>
            <rFont val="Tahoma"/>
            <family val="2"/>
          </rPr>
          <t xml:space="preserve">Giải chi ngày 15/11:
đã tạm ứng : 0đ
Chi               : 4.490.000
</t>
        </r>
      </text>
    </comment>
    <comment ref="G481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 1tr
( 26/12/2019 )
</t>
        </r>
      </text>
    </comment>
    <comment ref="G483" authorId="0" shapeId="0">
      <text>
        <r>
          <rPr>
            <b/>
            <sz val="9"/>
            <color indexed="81"/>
            <rFont val="Tahoma"/>
            <family val="2"/>
          </rPr>
          <t xml:space="preserve">Giải chi tạm ứng 2tr ( 27/12 ) 03/01
</t>
        </r>
      </text>
    </comment>
    <comment ref="G490" authorId="0" shapeId="0">
      <text>
        <r>
          <rPr>
            <b/>
            <sz val="9"/>
            <color indexed="81"/>
            <rFont val="Tahoma"/>
            <family val="2"/>
          </rPr>
          <t xml:space="preserve">16/07/2020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1" authorId="0" shapeId="0">
      <text>
        <r>
          <rPr>
            <b/>
            <sz val="9"/>
            <color indexed="81"/>
            <rFont val="Tahoma"/>
            <family val="2"/>
          </rPr>
          <t xml:space="preserve">06/06/2020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6" authorId="0" shapeId="0">
      <text>
        <r>
          <rPr>
            <b/>
            <sz val="9"/>
            <color indexed="81"/>
            <rFont val="Tahoma"/>
            <family val="2"/>
          </rPr>
          <t>Giải chi ngày 13/11:
đã tạm ứng : 11.5tr
thu lại         :  192.000</t>
        </r>
      </text>
    </comment>
  </commentList>
</comments>
</file>

<file path=xl/comments2.xml><?xml version="1.0" encoding="utf-8"?>
<comments xmlns="http://schemas.openxmlformats.org/spreadsheetml/2006/main">
  <authors>
    <author>HPZ400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09/01/2020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09/01/2020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1.073.000 TM còn dư k thu lai của lần ưng 10/10/2020+ chi thêm 1.927.000 TECH</t>
        </r>
      </text>
    </comment>
  </commentList>
</comments>
</file>

<file path=xl/comments3.xml><?xml version="1.0" encoding="utf-8"?>
<comments xmlns="http://schemas.openxmlformats.org/spreadsheetml/2006/main">
  <authors>
    <author>HPZ400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G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7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108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109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113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I113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L113" authorId="0" shapeId="0">
      <text>
        <r>
          <rPr>
            <b/>
            <sz val="9"/>
            <color indexed="81"/>
            <rFont val="Tahoma"/>
            <family val="2"/>
          </rPr>
          <t>GIỮ BẢO HÀNH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22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122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27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37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162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163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176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29.214.000 phát sinh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I180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I183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I1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100TR VTB, 35TR TECH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188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I224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H225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I225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H227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27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I228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I235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I245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255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I25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26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261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62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</commentList>
</comments>
</file>

<file path=xl/comments4.xml><?xml version="1.0" encoding="utf-8"?>
<comments xmlns="http://schemas.openxmlformats.org/spreadsheetml/2006/main">
  <authors>
    <author>HPZ400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G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L35" authorId="0" shapeId="0">
      <text>
        <r>
          <rPr>
            <sz val="9"/>
            <color indexed="81"/>
            <rFont val="Tahoma"/>
            <family val="2"/>
          </rPr>
          <t xml:space="preserve">
xem lai thoi gian BH (thuong la 1 nam)
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G55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4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19/8 TECH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H7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75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H76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8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H103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110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H11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G114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121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</rPr>
          <t>01/07 TECH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1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I141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145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H14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146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G147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H147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151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I151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G153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160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H161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G175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189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199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H203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I203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H204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206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07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220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I2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I231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I232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33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I23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23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241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24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78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I278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I279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281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I282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G286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I289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292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96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H299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I299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I313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19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320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H320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320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32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I321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G322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G323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G33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330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H33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7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G338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47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18/8 VTB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8" authorId="0" shapeId="0">
      <text>
        <r>
          <rPr>
            <b/>
            <sz val="9"/>
            <color indexed="81"/>
            <rFont val="Tahoma"/>
            <family val="2"/>
          </rPr>
          <t>28/07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9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G370" authorId="0" shapeId="0">
      <text>
        <r>
          <rPr>
            <b/>
            <sz val="9"/>
            <color indexed="81"/>
            <rFont val="Tahoma"/>
            <family val="2"/>
          </rPr>
          <t>22/8 VTB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4" authorId="0" shapeId="0">
      <text>
        <r>
          <rPr>
            <b/>
            <sz val="9"/>
            <color indexed="81"/>
            <rFont val="Tahoma"/>
            <family val="2"/>
          </rPr>
          <t>07/8/20 TECH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9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G3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G381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G382" authorId="0" shapeId="0">
      <text>
        <r>
          <rPr>
            <b/>
            <sz val="9"/>
            <color indexed="81"/>
            <rFont val="Tahoma"/>
            <family val="2"/>
          </rPr>
          <t>13/8/20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 xml:space="preserve">14/8 TECH
</t>
        </r>
      </text>
    </comment>
    <comment ref="G384" authorId="0" shapeId="0">
      <text>
        <r>
          <rPr>
            <b/>
            <sz val="9"/>
            <color indexed="81"/>
            <rFont val="Tahoma"/>
            <family val="2"/>
          </rPr>
          <t>15/8 VTB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 xml:space="preserve">17/8/20 VTB
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 xml:space="preserve">19/8/20 VTB
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20/8/20 TECH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21/8 TECH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24/8/20 TECH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G402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G412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G417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</commentList>
</comments>
</file>

<file path=xl/comments5.xml><?xml version="1.0" encoding="utf-8"?>
<comments xmlns="http://schemas.openxmlformats.org/spreadsheetml/2006/main">
  <authors>
    <author>HPZ400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Đem từ ngày 29/04/2020 giải chi sang
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TM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Đem từ ngày 29/10/2020 sang giải chi tiếp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G8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TECH</t>
        </r>
      </text>
    </comment>
  </commentList>
</comments>
</file>

<file path=xl/comments6.xml><?xml version="1.0" encoding="utf-8"?>
<comments xmlns="http://schemas.openxmlformats.org/spreadsheetml/2006/main">
  <authors>
    <author>HPZ400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14/8 tech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3/9 tech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J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TECH</t>
        </r>
      </text>
    </comment>
    <comment ref="J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18/08 TECH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V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BẢO HÀNH 5% T10/2020
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ĐỢT 1+2 NGÀY 14/9 TECH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10/09 TECH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V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lại BH 5% ngày 12/11/2020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J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 + 09/11 TECH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7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7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7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I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J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K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L7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CK 5% sau VAT : 15.836.516</t>
        </r>
      </text>
    </comment>
    <comment ref="I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J8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I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J8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I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J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I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I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I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9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I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1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J10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I1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1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TECH</t>
        </r>
      </text>
    </comment>
    <comment ref="I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J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K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L1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I1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J1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1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J1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1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J1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1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111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1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I1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I1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1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J1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VTB</t>
        </r>
      </text>
    </comment>
    <comment ref="I1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1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J1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I1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I1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I1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I1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I1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J127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I12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1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VTB</t>
        </r>
      </text>
    </comment>
    <comment ref="I1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I1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J13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I1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J13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I1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J13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I1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I1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I1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I1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I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14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I1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</commentList>
</comments>
</file>

<file path=xl/comments7.xml><?xml version="1.0" encoding="utf-8"?>
<comments xmlns="http://schemas.openxmlformats.org/spreadsheetml/2006/main">
  <authors>
    <author>HPZ400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H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5/9 tech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17/02 TECH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17/02 TECH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29/04 đã hoàn ứng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18/8/20 TECH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19/8 TECH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H7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29/12 TECH</t>
        </r>
      </text>
    </comment>
    <comment ref="H7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77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TECH</t>
        </r>
      </text>
    </comment>
    <comment ref="H80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I80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I8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I8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84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I8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J84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I85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86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7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I87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88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89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H90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H9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9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95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7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9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I104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I105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6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8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28/10 TECH</t>
        </r>
      </text>
    </comment>
    <comment ref="I1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112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I112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J11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3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H114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I114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115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I115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I1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H117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I117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118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H119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I119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J119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120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I120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H121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122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H123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H124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125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I12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H126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H127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I12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128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H12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H131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3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3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134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H135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6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11/01+16/01+17/02/20
TECH</t>
        </r>
      </text>
    </comment>
    <comment ref="J1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01/07 TECH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9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0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</t>
        </r>
      </text>
    </comment>
    <comment ref="N1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22/09 TM</t>
        </r>
      </text>
    </comment>
    <comment ref="H1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H1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14/11 TECH</t>
        </r>
      </text>
    </comment>
    <comment ref="N1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05/12 TM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H149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150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H153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I153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J153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H154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I154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H15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H1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19/03 TECH</t>
        </r>
      </text>
    </comment>
    <comment ref="N1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K thấy ghi nhận hoàn ứng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158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159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159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H160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I160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H161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I16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62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H163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H164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I164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J164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H165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H166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H167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I167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H168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H169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H170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I17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72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17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173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173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J173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174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I174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H17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77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H178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I178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H181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I181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H182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H183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H185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I1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H187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H188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I188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I191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I192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H193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194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195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I195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196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H198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I198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H199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202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I202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H203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204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5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H2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I2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TM</t>
        </r>
      </text>
    </comment>
    <comment ref="H209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10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H211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I211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H212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212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H213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I213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H214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I214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5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H216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H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07/03 TECH</t>
        </r>
      </text>
    </comment>
    <comment ref="I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13/03 TECH</t>
        </r>
      </text>
    </comment>
    <comment ref="J2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17/04 TECH</t>
        </r>
      </text>
    </comment>
    <comment ref="H218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I21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J218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H219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I219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H220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221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I221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222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222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H223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H224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H225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H226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H227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I230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231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H232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H234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I235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H236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8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39" authorId="0" shapeId="0">
      <text>
        <r>
          <rPr>
            <b/>
            <sz val="9"/>
            <color indexed="81"/>
            <rFont val="Tahoma"/>
            <charset val="1"/>
          </rPr>
          <t>HPZ400:
31/12 TECH</t>
        </r>
      </text>
    </comment>
    <comment ref="H24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43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H244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I244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J244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H245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I245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H246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I246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J246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7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247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J247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248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J248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249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H250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I250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H252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I252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H253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H25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I256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H2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16/03 TECH</t>
        </r>
      </text>
    </comment>
    <comment ref="I2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30/05 TECH</t>
        </r>
      </text>
    </comment>
    <comment ref="H259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H260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H261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H262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H263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I263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264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H26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266" authorId="0" shapeId="0">
      <text>
        <r>
          <rPr>
            <b/>
            <sz val="9"/>
            <color indexed="81"/>
            <rFont val="Tahoma"/>
            <family val="2"/>
          </rPr>
          <t>29/04</t>
        </r>
      </text>
    </comment>
    <comment ref="I2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30/05 TECH</t>
        </r>
      </text>
    </comment>
    <comment ref="H267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H268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H269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H270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H2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: 3TR TECH+04/05 : 3TR VCB </t>
        </r>
      </text>
    </comment>
    <comment ref="I2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27/07 TECH</t>
        </r>
      </text>
    </comment>
    <comment ref="H272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 xml:space="preserve">13/8/20 TECH
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H2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278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H279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H280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H281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82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H283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H285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H286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H287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8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289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H290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291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H2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295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295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J29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296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I296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J296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H297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H298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I298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298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H299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I299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J299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H300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I300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H301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H302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I302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H303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I303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H304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H30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H30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I306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J30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H307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H309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I309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0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H311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H312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I312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H313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I313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H314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H316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I316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J316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H317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H318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I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29/02 TECH</t>
        </r>
      </text>
    </comment>
    <comment ref="J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18/03 TECH</t>
        </r>
      </text>
    </comment>
    <comment ref="K3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319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I319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20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H321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H32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23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324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H325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H326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27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H3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331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I331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J331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332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H3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02/03</t>
        </r>
      </text>
    </comment>
    <comment ref="I3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J33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03/03/20 TM</t>
        </r>
      </text>
    </comment>
    <comment ref="H334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H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10/9 tech</t>
        </r>
      </text>
    </comment>
    <comment ref="I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J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K3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I338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H339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I339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J339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H340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I34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J340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H341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H342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H3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I3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345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H346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I3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23/04 TECH</t>
        </r>
      </text>
    </comment>
    <comment ref="H347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348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H349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H35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I350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H352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I352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H353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H354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VTB</t>
        </r>
      </text>
    </comment>
    <comment ref="H356" authorId="0" shapeId="0">
      <text>
        <r>
          <rPr>
            <b/>
            <sz val="9"/>
            <color indexed="81"/>
            <rFont val="Tahoma"/>
            <family val="2"/>
          </rPr>
          <t>21/8 TECH</t>
        </r>
      </text>
    </comment>
    <comment ref="I3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TECH</t>
        </r>
      </text>
    </comment>
    <comment ref="J3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07/11 TECH</t>
        </r>
      </text>
    </comment>
    <comment ref="H3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30% 11/9 TECH</t>
        </r>
      </text>
    </comment>
    <comment ref="I3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22-9 TECH</t>
        </r>
      </text>
    </comment>
    <comment ref="H3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3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vtb 14/9</t>
        </r>
      </text>
    </comment>
    <comment ref="I3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3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50% 15/9 VTB</t>
        </r>
      </text>
    </comment>
    <comment ref="I3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VTB</t>
        </r>
      </text>
    </comment>
    <comment ref="H3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70% 15/9 TECH</t>
        </r>
      </text>
    </comment>
    <comment ref="H3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H3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3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15/10 TECH</t>
        </r>
      </text>
    </comment>
    <comment ref="H3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H3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3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3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20/08 TECH</t>
        </r>
      </text>
    </comment>
    <comment ref="I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14/09 TECH</t>
        </r>
      </text>
    </comment>
    <comment ref="J3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H3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06/11TECH</t>
        </r>
      </text>
    </comment>
    <comment ref="H3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3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3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37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7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H378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H379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1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2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H383" authorId="0" shapeId="0">
      <text>
        <r>
          <rPr>
            <b/>
            <sz val="9"/>
            <color indexed="81"/>
            <rFont val="Tahoma"/>
            <family val="2"/>
          </rPr>
          <t>26/8 TECH</t>
        </r>
      </text>
    </comment>
    <comment ref="H3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387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87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H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09/01 TECH</t>
        </r>
      </text>
    </comment>
    <comment ref="I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J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K3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16/01 TECH</t>
        </r>
      </text>
    </comment>
    <comment ref="H3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27/12/19 TECH</t>
        </r>
      </text>
    </comment>
    <comment ref="I3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03/01 TECH</t>
        </r>
      </text>
    </comment>
    <comment ref="H3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02/01 TECH</t>
        </r>
      </text>
    </comment>
    <comment ref="I3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07/01 TECH</t>
        </r>
      </text>
    </comment>
    <comment ref="N391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b/>
            <sz val="9"/>
            <color indexed="81"/>
            <rFont val="Tahoma"/>
            <family val="2"/>
          </rPr>
          <t>01/04 TM</t>
        </r>
      </text>
    </comment>
    <comment ref="H3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01/04 TECH</t>
        </r>
      </text>
    </comment>
    <comment ref="I3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TECH</t>
        </r>
      </text>
    </comment>
    <comment ref="H3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14/04 TECH</t>
        </r>
      </text>
    </comment>
    <comment ref="I3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22/04 TECH</t>
        </r>
      </text>
    </comment>
    <comment ref="H3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27/02+29/02 TECH</t>
        </r>
      </text>
    </comment>
    <comment ref="I3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03/03 TECH</t>
        </r>
      </text>
    </comment>
    <comment ref="H3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04/03 NVG : 3tr TECH
04/03 KVB : 3tr TECH</t>
        </r>
      </text>
    </comment>
    <comment ref="I3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17/04 TECH</t>
        </r>
      </text>
    </comment>
    <comment ref="H396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7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H398" authorId="0" shapeId="0">
      <text>
        <r>
          <rPr>
            <b/>
            <sz val="9"/>
            <color indexed="81"/>
            <rFont val="Tahoma"/>
            <family val="2"/>
          </rPr>
          <t>18/8 VTB</t>
        </r>
      </text>
    </comment>
    <comment ref="H399" authorId="0" shapeId="0">
      <text>
        <r>
          <rPr>
            <b/>
            <sz val="9"/>
            <color indexed="81"/>
            <rFont val="Tahoma"/>
            <family val="2"/>
          </rPr>
          <t>25/8/20 VTB</t>
        </r>
      </text>
    </comment>
    <comment ref="H4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VTB</t>
        </r>
      </text>
    </comment>
    <comment ref="H4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4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VTB+ TECH</t>
        </r>
      </text>
    </comment>
    <comment ref="H4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SHB</t>
        </r>
      </text>
    </comment>
    <comment ref="H4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406" authorId="0" shapeId="0">
      <text>
        <r>
          <rPr>
            <b/>
            <sz val="9"/>
            <color indexed="81"/>
            <rFont val="Tahoma"/>
            <family val="2"/>
          </rPr>
          <t>19/9 TECH</t>
        </r>
      </text>
    </comment>
    <comment ref="H4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có thuế vat - 28/9 VTB</t>
        </r>
      </text>
    </comment>
    <comment ref="I4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29/9 TECH</t>
        </r>
      </text>
    </comment>
    <comment ref="H4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TM</t>
        </r>
      </text>
    </comment>
    <comment ref="H4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4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4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TM</t>
        </r>
      </text>
    </comment>
    <comment ref="H4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4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4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H4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4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13/08/2020 TECH</t>
        </r>
      </text>
    </comment>
    <comment ref="H4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4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TM
</t>
        </r>
      </text>
    </comment>
    <comment ref="H4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27/08 TECH</t>
        </r>
      </text>
    </comment>
    <comment ref="I4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 VTB</t>
        </r>
      </text>
    </comment>
    <comment ref="I4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 TECH</t>
        </r>
      </text>
    </comment>
    <comment ref="H4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 TECH</t>
        </r>
      </text>
    </comment>
    <comment ref="H4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11/09 TECH</t>
        </r>
      </text>
    </comment>
    <comment ref="H4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4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TECH</t>
        </r>
      </text>
    </comment>
    <comment ref="H4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4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4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
đợt 1 10/05 :40.000.000
đợt 2 19/07 :40.000.000</t>
        </r>
      </text>
    </comment>
    <comment ref="H4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4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I4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4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4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4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TECH</t>
        </r>
      </text>
    </comment>
    <comment ref="H4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4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TM</t>
        </r>
      </text>
    </comment>
    <comment ref="H4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4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4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4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TECH</t>
        </r>
      </text>
    </comment>
    <comment ref="H4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TM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4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TM</t>
        </r>
      </text>
    </comment>
    <comment ref="H4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4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4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4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4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457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458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19/08 TECH</t>
        </r>
      </text>
    </comment>
    <comment ref="J4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459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24/07 VTB</t>
        </r>
      </text>
    </comment>
    <comment ref="I4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22/08 VTB</t>
        </r>
      </text>
    </comment>
    <comment ref="H4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28/07 VTB</t>
        </r>
      </text>
    </comment>
    <comment ref="I4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463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3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4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5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J4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466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14/8 tech</t>
        </r>
      </text>
    </comment>
    <comment ref="J4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467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H468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H469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H470" authorId="0" shapeId="0">
      <text>
        <r>
          <rPr>
            <b/>
            <sz val="9"/>
            <color indexed="81"/>
            <rFont val="Tahoma"/>
            <family val="2"/>
          </rPr>
          <t>13/8/20 TECH</t>
        </r>
      </text>
    </comment>
    <comment ref="H471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H472" authorId="0" shapeId="0">
      <text>
        <r>
          <rPr>
            <b/>
            <sz val="9"/>
            <color indexed="81"/>
            <rFont val="Tahoma"/>
            <family val="2"/>
          </rPr>
          <t>15/8/20 TECH</t>
        </r>
      </text>
    </comment>
    <comment ref="I4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30/9 tech</t>
        </r>
      </text>
    </comment>
    <comment ref="H473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H474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sz val="9"/>
            <color indexed="81"/>
            <rFont val="Tahoma"/>
            <family val="2"/>
          </rPr>
          <t>- VTB</t>
        </r>
      </text>
    </comment>
    <comment ref="I4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28/8 VTB</t>
        </r>
      </text>
    </comment>
    <comment ref="H4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VTB 14/9</t>
        </r>
      </text>
    </comment>
    <comment ref="I4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VTB</t>
        </r>
      </text>
    </comment>
    <comment ref="H4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4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VTB</t>
        </r>
      </text>
    </comment>
    <comment ref="I4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22/9 VTB</t>
        </r>
      </text>
    </comment>
    <comment ref="H4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H4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21/9 tech</t>
        </r>
      </text>
    </comment>
    <comment ref="H4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5/8 TECH</t>
        </r>
      </text>
    </comment>
    <comment ref="I4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4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4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4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4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487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H488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88" authorId="0" shapeId="0">
      <text>
        <r>
          <rPr>
            <b/>
            <sz val="9"/>
            <color indexed="81"/>
            <rFont val="Tahoma"/>
            <family val="2"/>
          </rPr>
          <t>07/8/20 TECH</t>
        </r>
      </text>
    </comment>
    <comment ref="H48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H4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H492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3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H4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H495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H496" authorId="0" shapeId="0">
      <text>
        <r>
          <rPr>
            <b/>
            <sz val="9"/>
            <color indexed="81"/>
            <rFont val="Tahoma"/>
            <family val="2"/>
          </rPr>
          <t>13/8/20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4/9 VTB
</t>
        </r>
      </text>
    </comment>
    <comment ref="J4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</t>
        </r>
      </text>
    </comment>
    <comment ref="H497" authorId="0" shapeId="0">
      <text>
        <r>
          <rPr>
            <b/>
            <sz val="9"/>
            <color indexed="81"/>
            <rFont val="Tahoma"/>
            <family val="2"/>
          </rPr>
          <t>15/8 VTB</t>
        </r>
      </text>
    </comment>
    <comment ref="I4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VTB</t>
        </r>
      </text>
    </comment>
    <comment ref="H498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I498" authorId="0" shapeId="0">
      <text>
        <r>
          <rPr>
            <b/>
            <sz val="9"/>
            <color indexed="81"/>
            <rFont val="Tahoma"/>
            <family val="2"/>
          </rPr>
          <t>28/8/20 VTB</t>
        </r>
      </text>
    </comment>
    <comment ref="H499" authorId="0" shapeId="0">
      <text>
        <r>
          <rPr>
            <b/>
            <sz val="9"/>
            <color indexed="81"/>
            <rFont val="Tahoma"/>
            <family val="2"/>
          </rPr>
          <t>17/8/20 VTB</t>
        </r>
      </text>
    </comment>
    <comment ref="I4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VTB</t>
        </r>
      </text>
    </comment>
    <comment ref="H500" authorId="0" shapeId="0">
      <text>
        <r>
          <rPr>
            <b/>
            <sz val="9"/>
            <color indexed="81"/>
            <rFont val="Tahoma"/>
            <family val="2"/>
          </rPr>
          <t xml:space="preserve">19/8/20 VTB
</t>
        </r>
      </text>
    </comment>
    <comment ref="H501" authorId="0" shapeId="0">
      <text>
        <r>
          <rPr>
            <b/>
            <sz val="9"/>
            <color indexed="81"/>
            <rFont val="Tahoma"/>
            <family val="2"/>
          </rPr>
          <t>20/8 TECH</t>
        </r>
      </text>
    </comment>
    <comment ref="I5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03/09 TECH</t>
        </r>
      </text>
    </comment>
    <comment ref="J5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22/10 TECH</t>
        </r>
      </text>
    </comment>
    <comment ref="H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14/08 TECH</t>
        </r>
      </text>
    </comment>
    <comment ref="I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21/08 tech</t>
        </r>
      </text>
    </comment>
    <comment ref="J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tech</t>
        </r>
      </text>
    </comment>
    <comment ref="K5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503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I5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VTB</t>
        </r>
      </text>
    </comment>
    <comment ref="J5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504" authorId="0" shapeId="0">
      <text>
        <r>
          <rPr>
            <b/>
            <sz val="9"/>
            <color indexed="81"/>
            <rFont val="Tahoma"/>
            <family val="2"/>
          </rPr>
          <t>24/8/20 TECH</t>
        </r>
      </text>
    </comment>
    <comment ref="H505" authorId="0" shapeId="0">
      <text>
        <r>
          <rPr>
            <b/>
            <sz val="9"/>
            <color indexed="81"/>
            <rFont val="Tahoma"/>
            <family val="2"/>
          </rPr>
          <t>25/8 VTB</t>
        </r>
      </text>
    </comment>
    <comment ref="I5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VTB
</t>
        </r>
      </text>
    </comment>
    <comment ref="J5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30/9 VTB</t>
        </r>
      </text>
    </comment>
    <comment ref="H506" authorId="0" shapeId="0">
      <text>
        <r>
          <rPr>
            <b/>
            <sz val="9"/>
            <color indexed="81"/>
            <rFont val="Tahoma"/>
            <family val="2"/>
          </rPr>
          <t>26/8 TECH</t>
        </r>
      </text>
    </comment>
    <comment ref="H507" authorId="0" shapeId="0">
      <text>
        <r>
          <rPr>
            <b/>
            <sz val="9"/>
            <color indexed="81"/>
            <rFont val="Tahoma"/>
            <family val="2"/>
          </rPr>
          <t>26/8 VTB</t>
        </r>
      </text>
    </comment>
    <comment ref="I5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H508" authorId="0" shapeId="0">
      <text>
        <r>
          <rPr>
            <b/>
            <sz val="9"/>
            <color indexed="81"/>
            <rFont val="Tahoma"/>
            <family val="2"/>
          </rPr>
          <t>27/8/20 TECH</t>
        </r>
      </text>
    </comment>
    <comment ref="H509" authorId="0" shapeId="0">
      <text>
        <r>
          <rPr>
            <b/>
            <sz val="9"/>
            <color indexed="81"/>
            <rFont val="Tahoma"/>
            <family val="2"/>
          </rPr>
          <t>27/8/20 TECH</t>
        </r>
      </text>
    </comment>
    <comment ref="H510" authorId="0" shapeId="0">
      <text>
        <r>
          <rPr>
            <b/>
            <sz val="9"/>
            <color indexed="81"/>
            <rFont val="Tahoma"/>
            <family val="2"/>
          </rPr>
          <t>28/8/20 VTB</t>
        </r>
      </text>
    </comment>
    <comment ref="I5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513" authorId="0" shapeId="0">
      <text>
        <r>
          <rPr>
            <b/>
            <sz val="9"/>
            <color indexed="81"/>
            <rFont val="Tahoma"/>
            <family val="2"/>
          </rPr>
          <t>28/8 TECH</t>
        </r>
      </text>
    </comment>
    <comment ref="I5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TECH</t>
        </r>
      </text>
    </comment>
    <comment ref="H5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31/8 TECH</t>
        </r>
      </text>
    </comment>
    <comment ref="H5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</t>
        </r>
      </text>
    </comment>
    <comment ref="I5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3/9 tech</t>
        </r>
      </text>
    </comment>
    <comment ref="H5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5/9 tech</t>
        </r>
      </text>
    </comment>
    <comment ref="I5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5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5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11/9 TECH</t>
        </r>
      </text>
    </comment>
    <comment ref="I5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H5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522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H523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H5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VTB</t>
        </r>
      </text>
    </comment>
    <comment ref="H5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</t>
        </r>
      </text>
    </comment>
    <comment ref="H5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VTB</t>
        </r>
      </text>
    </comment>
    <comment ref="H5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
</t>
        </r>
      </text>
    </comment>
    <comment ref="I5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5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I5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5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5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H5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53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5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H5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53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5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5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5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5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5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5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5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I5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5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5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5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5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TM</t>
        </r>
      </text>
    </comment>
    <comment ref="H5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5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5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5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54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5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552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H5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TECH</t>
        </r>
      </text>
    </comment>
    <comment ref="H5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16/07 TM</t>
        </r>
      </text>
    </comment>
    <comment ref="N5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TM</t>
        </r>
      </text>
    </comment>
    <comment ref="H5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TECH</t>
        </r>
      </text>
    </comment>
    <comment ref="H55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</t>
        </r>
      </text>
    </comment>
    <comment ref="H564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H565" authorId="0" shapeId="0">
      <text>
        <r>
          <rPr>
            <b/>
            <sz val="9"/>
            <color indexed="81"/>
            <rFont val="Tahoma"/>
            <family val="2"/>
          </rPr>
          <t>21/8 VTB</t>
        </r>
      </text>
    </comment>
    <comment ref="H5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27/12 TECH</t>
        </r>
      </text>
    </comment>
    <comment ref="I5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10/01 TECH</t>
        </r>
      </text>
    </comment>
    <comment ref="H569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  <comment ref="H5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5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VTB
</t>
        </r>
      </text>
    </comment>
    <comment ref="H5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21/9 tech</t>
        </r>
      </text>
    </comment>
    <comment ref="H5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</t>
        </r>
      </text>
    </comment>
    <comment ref="H5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03/10 TECH</t>
        </r>
      </text>
    </comment>
    <comment ref="H5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</t>
        </r>
      </text>
    </comment>
    <comment ref="H5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5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TECH</t>
        </r>
      </text>
    </comment>
    <comment ref="H5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5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5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17/11 TECH</t>
        </r>
      </text>
    </comment>
    <comment ref="I5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5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VTB</t>
        </r>
      </text>
    </comment>
    <comment ref="H5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5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5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5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5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5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59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59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9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TECH</t>
        </r>
      </text>
    </comment>
    <comment ref="I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J5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18/08 TECH</t>
        </r>
      </text>
    </comment>
    <comment ref="I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T5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BẢO HÀNH 5% T10/2020
</t>
        </r>
      </text>
    </comment>
    <comment ref="I5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TẠM ỨNG ĐỢT 1+2 NGÀY 14/9 TECH</t>
        </r>
      </text>
    </comment>
    <comment ref="H5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1/9 VTB</t>
        </r>
      </text>
    </comment>
    <comment ref="I5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VTB</t>
        </r>
      </text>
    </comment>
    <comment ref="I5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tech 9/9</t>
        </r>
      </text>
    </comment>
    <comment ref="H5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H600" authorId="0" shapeId="0">
      <text>
        <r>
          <rPr>
            <b/>
            <sz val="9"/>
            <color indexed="81"/>
            <rFont val="Tahoma"/>
            <family val="2"/>
          </rPr>
          <t>20/8/20 TECH</t>
        </r>
      </text>
    </comment>
    <comment ref="I6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16/9 tech</t>
        </r>
      </text>
    </comment>
    <comment ref="J6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6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Phú TC nhận TM 19/9</t>
        </r>
      </text>
    </comment>
    <comment ref="H6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23/9 TECH
</t>
        </r>
      </text>
    </comment>
    <comment ref="H6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14/08 TECH
</t>
        </r>
      </text>
    </comment>
    <comment ref="I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28/08 TECH</t>
        </r>
      </text>
    </comment>
    <comment ref="J6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
</t>
        </r>
      </text>
    </comment>
    <comment ref="H6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H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26/08 TECH</t>
        </r>
      </text>
    </comment>
    <comment ref="I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J6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05/10TECH</t>
        </r>
      </text>
    </comment>
    <comment ref="H6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I6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10/09 TECH</t>
        </r>
      </text>
    </comment>
    <comment ref="H6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13/10 TECH</t>
        </r>
      </text>
    </comment>
    <comment ref="H6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
</t>
        </r>
      </text>
    </comment>
    <comment ref="H6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6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TM</t>
        </r>
      </text>
    </comment>
    <comment ref="H6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TM
</t>
        </r>
      </text>
    </comment>
    <comment ref="H6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16" authorId="0" shapeId="0">
      <text>
        <r>
          <rPr>
            <b/>
            <sz val="9"/>
            <color indexed="81"/>
            <rFont val="Tahoma"/>
            <family val="2"/>
          </rPr>
          <t xml:space="preserve">17/8/20 VTB
</t>
        </r>
      </text>
    </comment>
    <comment ref="I6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</t>
        </r>
      </text>
    </comment>
    <comment ref="H6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27/10 TECH</t>
        </r>
      </text>
    </comment>
    <comment ref="H6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TM</t>
        </r>
      </text>
    </comment>
    <comment ref="H6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6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21" authorId="0" shapeId="0">
      <text>
        <r>
          <rPr>
            <b/>
            <sz val="9"/>
            <color indexed="81"/>
            <rFont val="Tahoma"/>
            <family val="2"/>
          </rPr>
          <t>10/8/20 MSB</t>
        </r>
      </text>
    </comment>
    <comment ref="I6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9/9 TECH</t>
        </r>
      </text>
    </comment>
    <comment ref="J6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H6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6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6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06/11 TECH</t>
        </r>
      </text>
    </comment>
    <comment ref="H6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6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6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06/08 TECH</t>
        </r>
      </text>
    </comment>
    <comment ref="I628" authorId="0" shapeId="0">
      <text>
        <r>
          <rPr>
            <b/>
            <sz val="9"/>
            <color indexed="81"/>
            <rFont val="Tahoma"/>
            <family val="2"/>
          </rPr>
          <t>HPZ400:
28/08 TECH</t>
        </r>
      </text>
    </comment>
    <comment ref="N6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ngày 09/12/2020 TECH</t>
        </r>
      </text>
    </comment>
    <comment ref="H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06/08 TECH</t>
        </r>
      </text>
    </comment>
    <comment ref="I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31/08 TECH</t>
        </r>
      </text>
    </comment>
    <comment ref="N6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Đã hoàn ứng 09/12/2020 TECH</t>
        </r>
      </text>
    </comment>
    <comment ref="H6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6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6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6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I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TCB</t>
        </r>
      </text>
    </comment>
    <comment ref="J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K6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TECH+02/11 TECH</t>
        </r>
      </text>
    </comment>
    <comment ref="H6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6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14/9 TECH</t>
        </r>
      </text>
    </comment>
    <comment ref="H6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25/06/2020 TECH</t>
        </r>
      </text>
    </comment>
    <comment ref="I6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30/10/2020 TM</t>
        </r>
      </text>
    </comment>
    <comment ref="H6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19/9 TECH</t>
        </r>
      </text>
    </comment>
    <comment ref="I6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
</t>
        </r>
      </text>
    </comment>
    <comment ref="H6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28/9 TECH</t>
        </r>
      </text>
    </comment>
    <comment ref="H6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01/10 VTB</t>
        </r>
      </text>
    </comment>
    <comment ref="H6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TECH</t>
        </r>
      </text>
    </comment>
    <comment ref="H6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09/10 VTB</t>
        </r>
      </text>
    </comment>
    <comment ref="H6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VTB</t>
        </r>
      </text>
    </comment>
    <comment ref="I6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6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VTB</t>
        </r>
      </text>
    </comment>
    <comment ref="H6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I6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23/10 TECH</t>
        </r>
      </text>
    </comment>
    <comment ref="H6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16/10 TECH</t>
        </r>
      </text>
    </comment>
    <comment ref="T65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Giữ lại BH 5% ngày 12/11/2020</t>
        </r>
      </text>
    </comment>
    <comment ref="H6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17/10 TM</t>
        </r>
      </text>
    </comment>
    <comment ref="H6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6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I6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TECH</t>
        </r>
      </text>
    </comment>
    <comment ref="H6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I65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66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24/10/2020
</t>
        </r>
      </text>
    </comment>
    <comment ref="H66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24/10 TECH</t>
        </r>
      </text>
    </comment>
    <comment ref="H66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H6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I66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TECH</t>
        </r>
      </text>
    </comment>
    <comment ref="H6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I6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6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6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6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H6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6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6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</t>
        </r>
      </text>
    </comment>
    <comment ref="I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J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26/10 TECH</t>
        </r>
      </text>
    </comment>
    <comment ref="K6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2/11 TECH + 09/11 TECH</t>
        </r>
      </text>
    </comment>
    <comment ref="H6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H6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06/10 VTB</t>
        </r>
      </text>
    </comment>
    <comment ref="H6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05/10 VTB</t>
        </r>
      </text>
    </comment>
    <comment ref="H6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TECH
</t>
        </r>
      </text>
    </comment>
    <comment ref="H6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6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20/10 TECH</t>
        </r>
      </text>
    </comment>
    <comment ref="H6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21/10 TECH</t>
        </r>
      </text>
    </comment>
    <comment ref="H6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23/10 TM</t>
        </r>
      </text>
    </comment>
    <comment ref="H6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</t>
        </r>
      </text>
    </comment>
    <comment ref="H6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TECH
</t>
        </r>
      </text>
    </comment>
    <comment ref="H6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TECH</t>
        </r>
      </text>
    </comment>
    <comment ref="H6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12/10 TECH
</t>
        </r>
      </text>
    </comment>
    <comment ref="I6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19/10 TECH</t>
        </r>
      </text>
    </comment>
    <comment ref="H6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
</t>
        </r>
      </text>
    </comment>
    <comment ref="I69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6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10/10 TECH</t>
        </r>
      </text>
    </comment>
    <comment ref="N6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TM</t>
        </r>
      </text>
    </comment>
    <comment ref="H6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6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: 1.073.000 TM+1.927.000 TCB</t>
        </r>
      </text>
    </comment>
    <comment ref="H6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6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H6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6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6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H7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7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7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70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70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70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J7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K70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07/10 TECH</t>
        </r>
      </text>
    </comment>
    <comment ref="I7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TECH</t>
        </r>
      </text>
    </comment>
    <comment ref="H7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08/10 TM</t>
        </r>
      </text>
    </comment>
    <comment ref="H7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28/10 TECH
</t>
        </r>
      </text>
    </comment>
    <comment ref="H7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TECH</t>
        </r>
      </text>
    </comment>
    <comment ref="H7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G7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CK 5% sau VAT : 15.836.516</t>
        </r>
      </text>
    </comment>
    <comment ref="H7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I71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H7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VTB</t>
        </r>
      </text>
    </comment>
    <comment ref="H7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7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7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I725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72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H7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7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2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H7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H7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TECH</t>
        </r>
      </text>
    </comment>
    <comment ref="H7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7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7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7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7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7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TM</t>
        </r>
      </text>
    </comment>
    <comment ref="H7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I7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7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7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7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TM</t>
        </r>
      </text>
    </comment>
    <comment ref="H7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4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746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I74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TM</t>
        </r>
      </text>
    </comment>
    <comment ref="H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I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J7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K75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7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7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</t>
        </r>
      </text>
    </comment>
    <comment ref="H7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6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13/11 VTB</t>
        </r>
      </text>
    </comment>
    <comment ref="H7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7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H7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7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7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77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09/11 TECH</t>
        </r>
      </text>
    </comment>
    <comment ref="I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J7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77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29/10 VTB
</t>
        </r>
      </text>
    </comment>
    <comment ref="H77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VTB</t>
        </r>
      </text>
    </comment>
    <comment ref="H7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04/11 TECH</t>
        </r>
      </text>
    </comment>
    <comment ref="I77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78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H78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7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7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7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05/11 TECH</t>
        </r>
      </text>
    </comment>
    <comment ref="H7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TM</t>
        </r>
      </text>
    </comment>
    <comment ref="H7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TECH</t>
        </r>
      </text>
    </comment>
    <comment ref="H7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7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10/11 VTB
</t>
        </r>
      </text>
    </comment>
    <comment ref="H7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11/11 VTB</t>
        </r>
      </text>
    </comment>
    <comment ref="H7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12/11 TCB</t>
        </r>
      </text>
    </comment>
    <comment ref="H7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H7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79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7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16/11/ TECH</t>
        </r>
      </text>
    </comment>
    <comment ref="H8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VTB</t>
        </r>
      </text>
    </comment>
    <comment ref="I8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H8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8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8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80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8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TCB</t>
        </r>
      </text>
    </comment>
    <comment ref="I8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VTB</t>
        </r>
      </text>
    </comment>
    <comment ref="I8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8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I8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8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I81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8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I8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J81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1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TECH</t>
        </r>
      </text>
    </comment>
    <comment ref="H81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1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1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1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1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81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2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TECH</t>
        </r>
      </text>
    </comment>
    <comment ref="H8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TECH</t>
        </r>
      </text>
    </comment>
    <comment ref="I82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8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82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8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2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8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8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19/11 VTB</t>
        </r>
      </text>
    </comment>
    <comment ref="I82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H8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18/11 VTB</t>
        </r>
      </text>
    </comment>
    <comment ref="I83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VTB</t>
        </r>
      </text>
    </comment>
    <comment ref="H83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1" authorId="0" shapeId="0">
      <text>
        <r>
          <rPr>
            <b/>
            <sz val="9"/>
            <color indexed="81"/>
            <rFont val="Tahoma"/>
            <family val="2"/>
          </rPr>
          <t xml:space="preserve">HPZ400:
</t>
        </r>
        <r>
          <rPr>
            <sz val="9"/>
            <color indexed="81"/>
            <rFont val="Tahoma"/>
            <family val="2"/>
          </rPr>
          <t>17/12 TECH</t>
        </r>
      </text>
    </comment>
    <comment ref="H8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TECH</t>
        </r>
      </text>
    </comment>
    <comment ref="I83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TM</t>
        </r>
      </text>
    </comment>
    <comment ref="H8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TM</t>
        </r>
      </text>
    </comment>
    <comment ref="H8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20/11 TM</t>
        </r>
      </text>
    </comment>
    <comment ref="I8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27/11TM</t>
        </r>
      </text>
    </comment>
    <comment ref="H8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VTB</t>
        </r>
      </text>
    </comment>
    <comment ref="I8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VTB</t>
        </r>
      </text>
    </comment>
    <comment ref="H8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I8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8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27/11 TECH</t>
        </r>
      </text>
    </comment>
    <comment ref="H8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01/12 VTB</t>
        </r>
      </text>
    </comment>
    <comment ref="I8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VTB</t>
        </r>
      </text>
    </comment>
    <comment ref="H8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8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8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4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84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85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51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85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85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16/11 TECH</t>
        </r>
      </text>
    </comment>
    <comment ref="I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23/11 TECH</t>
        </r>
      </text>
    </comment>
    <comment ref="J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TECH</t>
        </r>
      </text>
    </comment>
    <comment ref="K85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TECH+14/12 TECH+21/12 TECH</t>
        </r>
      </text>
    </comment>
    <comment ref="H85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02/10 TECH</t>
        </r>
      </text>
    </comment>
    <comment ref="H85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14/10 TECH</t>
        </r>
      </text>
    </comment>
    <comment ref="H85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31/10 TECH</t>
        </r>
      </text>
    </comment>
    <comment ref="H8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24/11 TECH</t>
        </r>
      </text>
    </comment>
    <comment ref="H8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TECH</t>
        </r>
      </text>
    </comment>
    <comment ref="H86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H86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TECH</t>
        </r>
      </text>
    </comment>
    <comment ref="H87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7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7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87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87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87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7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TECH</t>
        </r>
      </text>
    </comment>
    <comment ref="H87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8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8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8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02/11 TECH</t>
        </r>
      </text>
    </comment>
    <comment ref="H88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TECH</t>
        </r>
      </text>
    </comment>
    <comment ref="H88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88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25/11 VTB</t>
        </r>
      </text>
    </comment>
    <comment ref="H88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26/11 VTB</t>
        </r>
      </text>
    </comment>
    <comment ref="H89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30/11 VTB</t>
        </r>
      </text>
    </comment>
    <comment ref="H89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H8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VTB</t>
        </r>
      </text>
    </comment>
    <comment ref="I89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22/12 VTB</t>
        </r>
      </text>
    </comment>
    <comment ref="H89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I89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89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9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03/12 TECH</t>
        </r>
      </text>
    </comment>
    <comment ref="H89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89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TM</t>
        </r>
      </text>
    </comment>
    <comment ref="H89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8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I89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0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VTB</t>
        </r>
      </text>
    </comment>
    <comment ref="H90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11/12 VTB</t>
        </r>
      </text>
    </comment>
    <comment ref="H90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0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90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VTB</t>
        </r>
      </text>
    </comment>
    <comment ref="H90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0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TECH</t>
        </r>
      </text>
    </comment>
    <comment ref="H90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0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0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I910" authorId="0" shapeId="0">
      <text>
        <r>
          <rPr>
            <b/>
            <sz val="9"/>
            <color indexed="81"/>
            <rFont val="Tahoma"/>
            <charset val="163"/>
          </rPr>
          <t>HPZ400:</t>
        </r>
        <r>
          <rPr>
            <sz val="9"/>
            <color indexed="81"/>
            <rFont val="Tahoma"/>
            <charset val="163"/>
          </rPr>
          <t xml:space="preserve">
30/12 VTB</t>
        </r>
      </text>
    </comment>
    <comment ref="H91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H91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1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1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1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91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TECH</t>
        </r>
      </text>
    </comment>
    <comment ref="H91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1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92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  <comment ref="H92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TM</t>
        </r>
      </text>
    </comment>
    <comment ref="H92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2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19/12 VTB</t>
        </r>
      </text>
    </comment>
    <comment ref="H92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VTB</t>
        </r>
      </text>
    </comment>
    <comment ref="H92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VTB</t>
        </r>
      </text>
    </comment>
    <comment ref="H92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3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VTB</t>
        </r>
      </text>
    </comment>
    <comment ref="I93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3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04/12 TM</t>
        </r>
      </text>
    </comment>
    <comment ref="H93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H93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H93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08/12 VTB</t>
        </r>
      </text>
    </comment>
    <comment ref="I93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30/12 VTB</t>
        </r>
      </text>
    </comment>
    <comment ref="H93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09/12 TECH</t>
        </r>
      </text>
    </comment>
    <comment ref="H94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VTB</t>
        </r>
      </text>
    </comment>
    <comment ref="I94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VTB</t>
        </r>
      </text>
    </comment>
    <comment ref="H94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H94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16/12 TECH</t>
        </r>
      </text>
    </comment>
    <comment ref="H94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4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TECH</t>
        </r>
      </text>
    </comment>
    <comment ref="H945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17/12 VTB</t>
        </r>
      </text>
    </comment>
    <comment ref="H946" authorId="0" shapeId="0">
      <text>
        <r>
          <rPr>
            <b/>
            <sz val="9"/>
            <color indexed="81"/>
            <rFont val="Tahoma"/>
            <family val="2"/>
          </rPr>
          <t>HPZ400:
17/12 TM</t>
        </r>
      </text>
    </comment>
    <comment ref="H94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18/12 TM</t>
        </r>
      </text>
    </comment>
    <comment ref="H948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49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50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951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23/12 TECH</t>
        </r>
      </text>
    </comment>
    <comment ref="H95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TECH</t>
        </r>
      </text>
    </comment>
    <comment ref="H95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TM</t>
        </r>
      </text>
    </comment>
    <comment ref="H9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954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29/12 VTB</t>
        </r>
      </text>
    </comment>
    <comment ref="H95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56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H957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95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25/12 VTB</t>
        </r>
      </text>
    </comment>
    <comment ref="I95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VTB</t>
        </r>
      </text>
    </comment>
    <comment ref="H959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26/12 TECH</t>
        </r>
      </text>
    </comment>
    <comment ref="H960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28/12 TECH</t>
        </r>
      </text>
    </comment>
    <comment ref="H961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2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3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07/12 TECH</t>
        </r>
      </text>
    </comment>
    <comment ref="I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14/12 TECH</t>
        </r>
      </text>
    </comment>
    <comment ref="J9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66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10/12 VTB</t>
        </r>
      </text>
    </comment>
    <comment ref="H982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VTB</t>
        </r>
      </text>
    </comment>
    <comment ref="H98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21/12 TECH</t>
        </r>
      </text>
    </comment>
    <comment ref="H98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24/12 TM</t>
        </r>
      </text>
    </comment>
    <comment ref="H985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VTB</t>
        </r>
      </text>
    </comment>
    <comment ref="H998" authorId="0" shapeId="0">
      <text>
        <r>
          <rPr>
            <b/>
            <sz val="9"/>
            <color indexed="81"/>
            <rFont val="Tahoma"/>
            <charset val="1"/>
          </rPr>
          <t>HPZ400:</t>
        </r>
        <r>
          <rPr>
            <sz val="9"/>
            <color indexed="81"/>
            <rFont val="Tahoma"/>
            <charset val="1"/>
          </rPr>
          <t xml:space="preserve">
31/12 TECH</t>
        </r>
      </text>
    </comment>
  </commentList>
</comments>
</file>

<file path=xl/comments8.xml><?xml version="1.0" encoding="utf-8"?>
<comments xmlns="http://schemas.openxmlformats.org/spreadsheetml/2006/main">
  <authors>
    <author>HPZ400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TECH ( chuyển trả thêm 3.597.500 )
</t>
        </r>
      </text>
    </comment>
    <comment ref="F9" authorId="0" shapeId="0">
      <text>
        <r>
          <rPr>
            <sz val="9"/>
            <color indexed="81"/>
            <rFont val="Tahoma"/>
            <family val="2"/>
          </rPr>
          <t xml:space="preserve">18/06 VTB
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30/06/2020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14/07/20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26/05 VTB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30/05 TECH, chuyển cho Hoàng thi công thanh toán trực tiếp khi nhận hàng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06/06 TECH , tron tồng số tiền 14.100.000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13/06 TECH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18/06 TECH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11.436.000: HTMB t20
7.568.000: PAN ASIA &amp; LOCALIZE 13
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 xml:space="preserve">10/06 VTB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29/06 TECH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 xml:space="preserve">12/06 VTB
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25/05 VTB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04/07/2020 TECH</t>
        </r>
      </text>
    </comment>
    <comment ref="K35" authorId="0" shapeId="0">
      <text>
        <r>
          <rPr>
            <sz val="9"/>
            <color indexed="81"/>
            <rFont val="Tahoma"/>
            <family val="2"/>
          </rPr>
          <t xml:space="preserve">
xem lai thoi gian BH (thuong la 1 nam)
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14/07/2020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22/06 TCB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26/05 TM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28/05 TM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22/05 TECH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 xml:space="preserve">29/05 TECH
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28/07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 xml:space="preserve">20/06 TECH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01/06 TECH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06/06 VTB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25/06 VTB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09/06 TECH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 11.209.200 )
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 xml:space="preserve">10/06 TECH
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22/06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12/06 VTB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15/06 VTB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16/06 TECH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 xml:space="preserve">25/06 TECH
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03/07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04/07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 xml:space="preserve">15/07/20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TECH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10/07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23/07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28/07 TECH (TRONG TỔNG 500.000Đ)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20/06 TECH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 xml:space="preserve">15/05 TECH
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19/05 TECH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 xml:space="preserve">04/07/2020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 xml:space="preserve">21/05 TECH
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5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78" authorId="0" shapeId="0">
      <text>
        <r>
          <rPr>
            <b/>
            <sz val="9"/>
            <color indexed="81"/>
            <rFont val="Tahoma"/>
            <family val="2"/>
          </rPr>
          <t xml:space="preserve">30/05 VTB ( Nằm trong 3.300.000 )
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28/05 TECH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 xml:space="preserve">09/06 TECH ( TRONG 11.209.200 )
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 xml:space="preserve">22/06 TECH
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 xml:space="preserve">29/06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10/07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23/07/20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07/8 SHB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27/05 VTB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 xml:space="preserve">26/03 VTB
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23/07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17/04 VTB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14/05 VTB</t>
        </r>
      </text>
    </comment>
    <comment ref="H10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16/04 VTB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18/04 VTB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F107" authorId="0" shapeId="0">
      <text>
        <r>
          <rPr>
            <b/>
            <sz val="9"/>
            <color indexed="81"/>
            <rFont val="Tahoma"/>
            <family val="2"/>
          </rPr>
          <t>21/04 VTB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H107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22/4 TECH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10/06 TECH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Giài chi CK ngày 22/04 TECH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22/04 VTB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25/04 VTB
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22/05 VTB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04/05 VCB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09/05 TECH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26/05 TECH  CK cho Khoa thi công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16/06 VTB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22/06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25/06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01/07 TECH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13/07/2020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 xml:space="preserve">24/07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11/8 VTB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 xml:space="preserve">07/04 TECH
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 xml:space="preserve">27/04 TECH
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G138" authorId="0" shapeId="0">
      <text>
        <r>
          <rPr>
            <b/>
            <sz val="9"/>
            <color indexed="81"/>
            <rFont val="Tahoma"/>
            <family val="2"/>
          </rPr>
          <t>28/03 VTB</t>
        </r>
      </text>
    </comment>
    <comment ref="H138" authorId="0" shapeId="0">
      <text>
        <r>
          <rPr>
            <b/>
            <sz val="9"/>
            <color indexed="81"/>
            <rFont val="Tahoma"/>
            <family val="2"/>
          </rPr>
          <t>16/05 TECH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</rPr>
          <t>23/03 VTB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143" authorId="0" shapeId="0">
      <text>
        <r>
          <rPr>
            <b/>
            <sz val="9"/>
            <color indexed="81"/>
            <rFont val="Tahoma"/>
            <family val="2"/>
          </rPr>
          <t>12/05 VTB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26/03 VTB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27/04 VTB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145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27/03 TECH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27/03 VTB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06/05 VTB</t>
        </r>
      </text>
    </comment>
    <comment ref="H148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 xml:space="preserve">30/03 TECH
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30/03 TECH chuyển cho anh Đồng mua hộ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 xml:space="preserve">30/03 vtb
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>15/05 VTB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157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H157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06/04 TECH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07/04 TECH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11/01 TECH
Tổng thanh toán: 3.150.000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162" authorId="0" shapeId="0">
      <text>
        <r>
          <rPr>
            <b/>
            <sz val="9"/>
            <color indexed="81"/>
            <rFont val="Tahoma"/>
            <family val="2"/>
          </rPr>
          <t>29/04 TECH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Lấy số liệu tử bảng tổng hợp của Ms Trang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21/04 TECH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12/05 TECH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23/04 VTB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 xml:space="preserve">27/04 VTB
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25/04 VTB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 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05/05 VTB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</text>
    </comment>
    <comment ref="F172" authorId="0" shapeId="0">
      <text>
        <r>
          <rPr>
            <sz val="9"/>
            <color indexed="81"/>
            <rFont val="Tahoma"/>
            <family val="2"/>
          </rPr>
          <t xml:space="preserve">DUNG MỚI THÊM VÀO (KO RÕ THỜI GIAN THANH TOÁN)
</t>
        </r>
      </text>
    </comment>
    <comment ref="G17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04/04 VTB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13/04 VTB</t>
        </r>
      </text>
    </comment>
    <comment ref="F177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sô: 20.273.000 đã chuyển 
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09/04 TECH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09/014 TECH
chi hỗ trợ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Lấy số từ bảng tổng hợp của Ms Trang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11/04 VTB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01/07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04/07 TECH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 xml:space="preserve">18/03 vtb
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 xml:space="preserve">01/04 VTB
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01/04 TECH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31/03 VTB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 xml:space="preserve">06/03 VTB
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 xml:space="preserve">11/05 VTB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 xml:space="preserve">06/03 TM
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10/03 TECH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13/03 TECH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H200" authorId="0" shapeId="0">
      <text>
        <r>
          <rPr>
            <b/>
            <sz val="9"/>
            <color indexed="81"/>
            <rFont val="Tahoma"/>
            <family val="2"/>
          </rPr>
          <t>21/05 TECH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13/03 VTB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20/05 VTB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 xml:space="preserve">06/04 TECH
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trên PM
</t>
        </r>
      </text>
    </comment>
    <comment ref="F209" authorId="0" shapeId="0">
      <text>
        <r>
          <rPr>
            <b/>
            <sz val="9"/>
            <color indexed="81"/>
            <rFont val="Tahoma"/>
            <family val="2"/>
          </rPr>
          <t xml:space="preserve">01/04 VTB ( trong tồng số: 20.273.000 đã chuyển )
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08/04 TECH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14/04 TECH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 xml:space="preserve">14/04 TM
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Lấy số liệu từ bảng tổng hợp của Ms Trang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G217" authorId="0" shapeId="0">
      <text>
        <r>
          <rPr>
            <b/>
            <sz val="9"/>
            <color indexed="81"/>
            <rFont val="Tahoma"/>
            <family val="2"/>
          </rPr>
          <t xml:space="preserve">GiẢI chi ngày 16/06 ( hoàn trả lại công ty: 49.500 )
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 xml:space="preserve">18/06 TECH, GỒM                   
7.568.000: PAN ASIA &amp; LOCALIZE 13            11.436.000: HTMB t20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30/06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Gải chi từ 26/02 đến 03/03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11/03 VTB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30/03 TECH</t>
        </r>
      </text>
    </comment>
    <comment ref="H226" authorId="0" shapeId="0">
      <text>
        <r>
          <rPr>
            <b/>
            <sz val="9"/>
            <color indexed="81"/>
            <rFont val="Tahoma"/>
            <family val="2"/>
          </rPr>
          <t>26/05 tech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 xml:space="preserve">16/03 VTB
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10/06 VTB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09/04 VTB</t>
        </r>
      </text>
    </comment>
    <comment ref="H228" authorId="0" shapeId="0">
      <text>
        <r>
          <rPr>
            <b/>
            <sz val="9"/>
            <color indexed="81"/>
            <rFont val="Tahoma"/>
            <family val="2"/>
          </rPr>
          <t>10/07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11/04 TECH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230" authorId="0" shapeId="0">
      <text>
        <r>
          <rPr>
            <b/>
            <sz val="9"/>
            <color indexed="81"/>
            <rFont val="Tahoma"/>
            <family val="2"/>
          </rPr>
          <t xml:space="preserve">12/05 TECH
</t>
        </r>
      </text>
    </comment>
    <comment ref="H230" authorId="0" shapeId="0">
      <text>
        <r>
          <rPr>
            <b/>
            <sz val="9"/>
            <color indexed="81"/>
            <rFont val="Tahoma"/>
            <family val="2"/>
          </rPr>
          <t>12/06 TECH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28/03 TECH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08/04 VTB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29/05 TECH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18/03 TECH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21/03 tech</t>
        </r>
      </text>
    </comment>
    <comment ref="G234" authorId="0" shapeId="0">
      <text>
        <r>
          <rPr>
            <b/>
            <sz val="9"/>
            <color indexed="81"/>
            <rFont val="Tahoma"/>
            <family val="2"/>
          </rPr>
          <t>30/03 VTB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Lấy số liệu trên phần mềm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06/06 TECH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07/04 VTB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 xml:space="preserve">11/04 TM
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11/01 TECH
Tồng trả: 3.150.000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15/04 TECH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 xml:space="preserve">Lấy số liệu từ bảng tổng hợp của Ms Trang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18/04 TECH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30/05 TECH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24/04 TECH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17/04 TECH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17/04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28/04 TECH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06/02 TECH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02/06 TECH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08/06 VTB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30/06/20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 xml:space="preserve">17/02 TECH
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 xml:space="preserve">19/02 TECH
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21/02 TECH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25/02 TECH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trong để nghị thanh toán anh Đồng 25/02 giải chi ngày 26/02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03/03 TECH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28/02 TECH, Hoàng thi công trả tiền cho NCC rồi, kê toán chuyển trả lại cho Mr Hoàng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19/03 VTB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 xml:space="preserve">Giải chi ngày chứng từ 29/04  ( Tổng ứng 4tr )
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 xml:space="preserve">11/03 TECH
</t>
        </r>
      </text>
    </comment>
    <comment ref="H273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04/02 TECH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 xml:space="preserve">25/02 TECH
</t>
        </r>
      </text>
    </comment>
    <comment ref="H274" authorId="0" shapeId="0">
      <text>
        <r>
          <rPr>
            <b/>
            <sz val="9"/>
            <color indexed="81"/>
            <rFont val="Tahoma"/>
            <family val="2"/>
          </rPr>
          <t>23/03 TECH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 xml:space="preserve">11/02 VTB
</t>
        </r>
      </text>
    </comment>
    <comment ref="G27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276" authorId="0" shapeId="0">
      <text>
        <r>
          <rPr>
            <b/>
            <sz val="9"/>
            <color indexed="81"/>
            <rFont val="Tahoma"/>
            <family val="2"/>
          </rPr>
          <t>23/05 VTB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 xml:space="preserve">11/02 TECH
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 xml:space="preserve">13/03 VTB
</t>
        </r>
      </text>
    </comment>
    <comment ref="H277" authorId="0" shapeId="0">
      <text>
        <r>
          <rPr>
            <b/>
            <sz val="9"/>
            <color indexed="81"/>
            <rFont val="Tahoma"/>
            <family val="2"/>
          </rPr>
          <t>21/03 VTB</t>
        </r>
      </text>
    </comment>
    <comment ref="F278" authorId="0" shapeId="0">
      <text>
        <r>
          <rPr>
            <b/>
            <sz val="9"/>
            <color indexed="81"/>
            <rFont val="Tahoma"/>
            <family val="2"/>
          </rPr>
          <t>21/02 VTB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01/04 VTB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 xml:space="preserve">24/02 TECH
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 xml:space="preserve">
01/04 TECH
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04/03 TECH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31/03 TECH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29/02 TECH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06/03 TECH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17/03 TECH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04/04 TECH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07/03 TECH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09/03 TECH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 xml:space="preserve">04/07/20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12/03 VTB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16/03 TECH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 xml:space="preserve">20/03 VTB
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24/04 VTB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G291" authorId="0" shapeId="0">
      <text>
        <r>
          <rPr>
            <b/>
            <sz val="9"/>
            <color indexed="81"/>
            <rFont val="Tahoma"/>
            <family val="2"/>
          </rPr>
          <t>17/06 TECH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24/03 vtb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14/04 VTB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 xml:space="preserve">04/02 TECH
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08/02 TECH</t>
        </r>
      </text>
    </comment>
    <comment ref="H294" authorId="0" shapeId="0">
      <text>
        <r>
          <rPr>
            <b/>
            <sz val="9"/>
            <color indexed="81"/>
            <rFont val="Tahoma"/>
            <family val="2"/>
          </rPr>
          <t>13/02 TECH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Lấy số liệu trên PM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Giải chi ngày 23/04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Lấy số tử bảng tổng hợp của Ms Trang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22/04 TECH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29/05 VTB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30/06/20 TECH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08/07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10/07 TECH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11/03 TECH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11/02 VTB</t>
        </r>
      </text>
    </comment>
    <comment ref="F310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23/05 TECH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THANG 12/2019 TECH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19/03 TECH</t>
        </r>
      </text>
    </comment>
    <comment ref="H315" authorId="0" shapeId="0">
      <text>
        <r>
          <rPr>
            <b/>
            <sz val="9"/>
            <color indexed="81"/>
            <rFont val="Tahoma"/>
            <family val="2"/>
          </rPr>
          <t>27/04 TECH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 xml:space="preserve">22/02 VTB
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06/04 VTB</t>
        </r>
      </text>
    </comment>
    <comment ref="H316" authorId="0" shapeId="0">
      <text>
        <r>
          <rPr>
            <b/>
            <sz val="9"/>
            <color indexed="81"/>
            <rFont val="Tahoma"/>
            <family val="2"/>
          </rPr>
          <t>05/06 VTB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 xml:space="preserve">27/02 TECH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</rPr>
          <t>28/02 TECH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22/02 TECH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tạm ứng 22/02 TECH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18/03 VTB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17/03 TM</t>
        </r>
      </text>
    </comment>
    <comment ref="F324" authorId="0" shapeId="0">
      <text>
        <r>
          <rPr>
            <b/>
            <sz val="9"/>
            <color indexed="81"/>
            <rFont val="Tahoma"/>
            <family val="2"/>
          </rPr>
          <t xml:space="preserve">17/03 VTB
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25/03 TECH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 xml:space="preserve">30/06/2020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15/05 TECH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02/03 TECH</t>
        </r>
      </text>
    </comment>
    <comment ref="G327" authorId="0" shapeId="0">
      <text>
        <r>
          <rPr>
            <b/>
            <sz val="9"/>
            <color indexed="81"/>
            <rFont val="Tahoma"/>
            <family val="2"/>
          </rPr>
          <t>14/05 TECH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 xml:space="preserve">Giải chi ngày 23/04
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23/06/2020 SHB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 xml:space="preserve">19/06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04/07/20 TECH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22/06 TECH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04/07/2020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21/07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21/07 VTB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11/8/ TECH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 xml:space="preserve">16/07 TM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20/07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24/07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28/07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24/07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31/07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</rPr>
          <t>06/8 TECH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10/8 MSB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16/07 VTB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21/07 VTB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27/07 TECH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01/8 TECH
</t>
        </r>
      </text>
    </comment>
    <comment ref="F365" authorId="0" shapeId="0">
      <text>
        <r>
          <rPr>
            <b/>
            <sz val="9"/>
            <color indexed="81"/>
            <rFont val="Tahoma"/>
            <family val="2"/>
          </rPr>
          <t xml:space="preserve">04/08/20 tech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05/8 VTB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05/8 VTB</t>
        </r>
      </text>
    </comment>
    <comment ref="F368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F369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 xml:space="preserve">07/08 TECH
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07/8 TECH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07/08 TECH</t>
        </r>
      </text>
    </comment>
    <comment ref="F386" authorId="0" shapeId="0">
      <text>
        <r>
          <rPr>
            <b/>
            <sz val="9"/>
            <color indexed="81"/>
            <rFont val="Tahoma"/>
            <family val="2"/>
          </rPr>
          <t>10/08 MSB</t>
        </r>
      </text>
    </comment>
    <comment ref="F391" authorId="0" shapeId="0">
      <text>
        <r>
          <rPr>
            <b/>
            <sz val="9"/>
            <color indexed="81"/>
            <rFont val="Tahoma"/>
            <family val="2"/>
          </rPr>
          <t>11/08 VTB</t>
        </r>
      </text>
    </comment>
  </commentList>
</comments>
</file>

<file path=xl/sharedStrings.xml><?xml version="1.0" encoding="utf-8"?>
<sst xmlns="http://schemas.openxmlformats.org/spreadsheetml/2006/main" count="9970" uniqueCount="2164">
  <si>
    <t>TEAM</t>
  </si>
  <si>
    <t>DỰ ÁN 2019</t>
  </si>
  <si>
    <t xml:space="preserve"> </t>
  </si>
  <si>
    <t>HỢP ĐỒNG</t>
  </si>
  <si>
    <t>CÔNG TRÌNH</t>
  </si>
  <si>
    <t xml:space="preserve">STT </t>
  </si>
  <si>
    <t>HẠNG MỤC</t>
  </si>
  <si>
    <t>NCC</t>
  </si>
  <si>
    <t>BG/GTHĐ</t>
  </si>
  <si>
    <t>QUYẾT TOÁN</t>
  </si>
  <si>
    <t xml:space="preserve"> ĐỢT 1</t>
  </si>
  <si>
    <t>ĐỢT 2</t>
  </si>
  <si>
    <t xml:space="preserve">  ĐỢT 3</t>
  </si>
  <si>
    <t xml:space="preserve"> ĐỢT 4</t>
  </si>
  <si>
    <t>ĐÃ THANH TOÁN</t>
  </si>
  <si>
    <t>CÒN PHẢI TRẢ</t>
  </si>
  <si>
    <t>HÓA ĐƠN VAT</t>
  </si>
  <si>
    <t>SỐ HỢP ĐỒNG</t>
  </si>
  <si>
    <t>Ngày hợp đồng</t>
  </si>
  <si>
    <t>KVB</t>
  </si>
  <si>
    <t>3</t>
  </si>
  <si>
    <t>Chi mua vật tư công trình</t>
  </si>
  <si>
    <t>Mr Trí TC</t>
  </si>
  <si>
    <t>xong</t>
  </si>
  <si>
    <t>4</t>
  </si>
  <si>
    <t>Mr Kiên TC</t>
  </si>
  <si>
    <t>5</t>
  </si>
  <si>
    <t>Mr Đồng TC</t>
  </si>
  <si>
    <t>6</t>
  </si>
  <si>
    <t>Chi phí kỹ thuật tòa nhà</t>
  </si>
  <si>
    <t>7</t>
  </si>
  <si>
    <t>THẠCH CAO</t>
  </si>
  <si>
    <t>MR THƯƠNG</t>
  </si>
  <si>
    <t>8</t>
  </si>
  <si>
    <t>SÀN</t>
  </si>
  <si>
    <t>ĐƯƠNG ĐẠI</t>
  </si>
  <si>
    <t>HD000060</t>
  </si>
  <si>
    <t>SỐ 0422019/ASDD-VACONS</t>
  </si>
  <si>
    <t>Lượng thợ công trình KVB tính từ ngày 15/11/2019</t>
  </si>
  <si>
    <t>9</t>
  </si>
  <si>
    <t>ĐỒ ĐIỆN SẮT</t>
  </si>
  <si>
    <t>CÁT VẠN LỢI</t>
  </si>
  <si>
    <t>HD0003930</t>
  </si>
  <si>
    <t>15/11 đến 21/11</t>
  </si>
  <si>
    <t>10</t>
  </si>
  <si>
    <t>CHÂN BÀN</t>
  </si>
  <si>
    <t>PHÚC THỊNH PHÁT</t>
  </si>
  <si>
    <t>CÓ VAT</t>
  </si>
  <si>
    <t>22/11 đến 28/11</t>
  </si>
  <si>
    <t>11</t>
  </si>
  <si>
    <t>GHẾ</t>
  </si>
  <si>
    <t>RỒNG PHƯƠNG BẮC</t>
  </si>
  <si>
    <t>HD0030922</t>
  </si>
  <si>
    <t>2812521/19RPB-VA</t>
  </si>
  <si>
    <t>29/11 đến 05/11</t>
  </si>
  <si>
    <t>12</t>
  </si>
  <si>
    <t>THIẾT BỊ VỆ SINH</t>
  </si>
  <si>
    <t>HOÀNG VỸ</t>
  </si>
  <si>
    <t>20/12 đến 26/12</t>
  </si>
  <si>
    <t>13</t>
  </si>
  <si>
    <t>GHẾ TRAINING</t>
  </si>
  <si>
    <t>DFURNI</t>
  </si>
  <si>
    <t>27/12 đến 02/01</t>
  </si>
  <si>
    <t>14</t>
  </si>
  <si>
    <t>GHẾ XOAY + BÀN</t>
  </si>
  <si>
    <t>CHUNG HỒNG PHÚC</t>
  </si>
  <si>
    <t>02/01 đến 09/01</t>
  </si>
  <si>
    <t>15</t>
  </si>
  <si>
    <t>KHOAN SÀN TOILET</t>
  </si>
  <si>
    <t>QUANG MINH</t>
  </si>
  <si>
    <t>HD0000016</t>
  </si>
  <si>
    <t>10/01 đến 16/01</t>
  </si>
  <si>
    <t>16</t>
  </si>
  <si>
    <t>17/01 đến 23/01</t>
  </si>
  <si>
    <t>17</t>
  </si>
  <si>
    <t>SOFA</t>
  </si>
  <si>
    <t>Mr Tuấn</t>
  </si>
  <si>
    <t>03/02 đến 06/02</t>
  </si>
  <si>
    <t>18</t>
  </si>
  <si>
    <t>ĐÈN XUYÊN SÁNG</t>
  </si>
  <si>
    <t>MR BON</t>
  </si>
  <si>
    <t>HCM1861/2020/XS_VACONS</t>
  </si>
  <si>
    <t>07/02 đến 13/02</t>
  </si>
  <si>
    <t>19</t>
  </si>
  <si>
    <t>ĐÈN TRANG TRÍ</t>
  </si>
  <si>
    <t>BKS</t>
  </si>
  <si>
    <t>14/02 đến 20/02</t>
  </si>
  <si>
    <t>20</t>
  </si>
  <si>
    <t>GẠCH</t>
  </si>
  <si>
    <t>CÓ VAT ( 22.550.400 )</t>
  </si>
  <si>
    <t>21/02 đến 27/02</t>
  </si>
  <si>
    <t>21</t>
  </si>
  <si>
    <t>THẢM</t>
  </si>
  <si>
    <t>NHI LONG</t>
  </si>
  <si>
    <t>28/02 đền 05/03</t>
  </si>
  <si>
    <t>22</t>
  </si>
  <si>
    <t>GẠCH ( PHÁT SINH )</t>
  </si>
  <si>
    <t>06/03 đến 12/03</t>
  </si>
  <si>
    <t>23</t>
  </si>
  <si>
    <t>NỘI THẤT</t>
  </si>
  <si>
    <t>HỢP NHẤT</t>
  </si>
  <si>
    <t>13/03 đến 19/03</t>
  </si>
  <si>
    <t>24</t>
  </si>
  <si>
    <t>CÀN SÀN</t>
  </si>
  <si>
    <t>MR TÂM</t>
  </si>
  <si>
    <t>27/03 đến 02/04</t>
  </si>
  <si>
    <t>25</t>
  </si>
  <si>
    <t>SƠN NƯỚC</t>
  </si>
  <si>
    <t>MR ĐỒNG</t>
  </si>
  <si>
    <t>26</t>
  </si>
  <si>
    <t>VÁCH VỆ SINH COPACT</t>
  </si>
  <si>
    <t>HPL</t>
  </si>
  <si>
    <t>27</t>
  </si>
  <si>
    <t>PHỤ KIỆN B/S</t>
  </si>
  <si>
    <t>KHÁNH LINH</t>
  </si>
  <si>
    <t>28</t>
  </si>
  <si>
    <t>PHỄU THU SÀN</t>
  </si>
  <si>
    <t>29</t>
  </si>
  <si>
    <t>KÍNH</t>
  </si>
  <si>
    <t>MR HẢI</t>
  </si>
  <si>
    <t>30</t>
  </si>
  <si>
    <t>PHỤ KIÊN CỬA KÍNH</t>
  </si>
  <si>
    <t>31</t>
  </si>
  <si>
    <t>ĐÁ</t>
  </si>
  <si>
    <t>MR TUYỀN</t>
  </si>
  <si>
    <t>32</t>
  </si>
  <si>
    <t>KÉO CÁP CHỐNG CHÁY</t>
  </si>
  <si>
    <t>MR HÙNG</t>
  </si>
  <si>
    <t>33</t>
  </si>
  <si>
    <t>QUẠT HÚT</t>
  </si>
  <si>
    <t>MINH QUANG</t>
  </si>
  <si>
    <t>34</t>
  </si>
  <si>
    <t>ĐÈN</t>
  </si>
  <si>
    <t>GIA KHANG</t>
  </si>
  <si>
    <t>35</t>
  </si>
  <si>
    <t>GHẾ LƯỜI HẠT XỐP</t>
  </si>
  <si>
    <t>PHÚ MỸ</t>
  </si>
  <si>
    <t>36</t>
  </si>
  <si>
    <t>GHẾ CEO</t>
  </si>
  <si>
    <t>HOÀNG HỒNG PHÁT</t>
  </si>
  <si>
    <t>37</t>
  </si>
  <si>
    <t>MÀN CHIẾU, MÁY CHIẾU</t>
  </si>
  <si>
    <t>NHẬT THÀNH</t>
  </si>
  <si>
    <t>HD0000232 ( 27.498.000, 15/02 )</t>
  </si>
  <si>
    <t>38</t>
  </si>
  <si>
    <t>ĐỔ ĐIỆN</t>
  </si>
  <si>
    <t>QUỐC DUY</t>
  </si>
  <si>
    <t>39</t>
  </si>
  <si>
    <t>VÁCH NGĂN VỆ SINH</t>
  </si>
  <si>
    <t>40</t>
  </si>
  <si>
    <t>HD0000402</t>
  </si>
  <si>
    <t>41</t>
  </si>
  <si>
    <t>VÁCH ỐP TRANG TRÍ</t>
  </si>
  <si>
    <t>HOÀNG ANH</t>
  </si>
  <si>
    <t>42</t>
  </si>
  <si>
    <t>SƠN HIỆU ỨNG</t>
  </si>
  <si>
    <t>MR PHONG</t>
  </si>
  <si>
    <t>43</t>
  </si>
  <si>
    <t>VỆ SINH CÔNG TRÌNH</t>
  </si>
  <si>
    <t>HUỲNH GIA</t>
  </si>
  <si>
    <t>44</t>
  </si>
  <si>
    <t>NHÂN CÔNG ĐIỆN</t>
  </si>
  <si>
    <t>MR TRÀ</t>
  </si>
  <si>
    <t>45</t>
  </si>
  <si>
    <t>SẮT</t>
  </si>
  <si>
    <t>NHƯ PHONG</t>
  </si>
  <si>
    <t>46</t>
  </si>
  <si>
    <t>VLXD</t>
  </si>
  <si>
    <t>MR THƯỜNG</t>
  </si>
  <si>
    <t>47</t>
  </si>
  <si>
    <t>ĐỒ ĐIỆN</t>
  </si>
  <si>
    <t>126</t>
  </si>
  <si>
    <t>DECAL</t>
  </si>
  <si>
    <t>MR THẮNG</t>
  </si>
  <si>
    <t>48</t>
  </si>
  <si>
    <t>Bảo hiểm công trình</t>
  </si>
  <si>
    <t>QBE</t>
  </si>
  <si>
    <t>49</t>
  </si>
  <si>
    <t>Phí quản lý tòa nhà</t>
  </si>
  <si>
    <t>Bitexco</t>
  </si>
  <si>
    <t>50</t>
  </si>
  <si>
    <t>Chi hoa hồng ( Phiên dịch )</t>
  </si>
  <si>
    <t>Cương sale phụ trách</t>
  </si>
  <si>
    <t>51</t>
  </si>
  <si>
    <t>Chi hoa hồng môi giới</t>
  </si>
  <si>
    <t>52</t>
  </si>
  <si>
    <t>Chi hoa hồng môi giới (gói phát sinh)</t>
  </si>
  <si>
    <t>Chi hoa hồng ( chi thêm )</t>
  </si>
  <si>
    <t>Ms Hiền</t>
  </si>
  <si>
    <t>WIFI</t>
  </si>
  <si>
    <t>LIL QS</t>
  </si>
  <si>
    <t>53</t>
  </si>
  <si>
    <t>LƯƠNG THỢ PHỤ</t>
  </si>
  <si>
    <t>NAM THUẬN
T19 
( tòa nhà Đức )</t>
  </si>
  <si>
    <t>1</t>
  </si>
  <si>
    <t>MR DƯƠNG</t>
  </si>
  <si>
    <t>2</t>
  </si>
  <si>
    <t>HD0030925</t>
  </si>
  <si>
    <t>3112526-19 RPB-VA</t>
  </si>
  <si>
    <t>GIẤY PHÉP KÍNH CHỐNG CHÁY</t>
  </si>
  <si>
    <t>DUYÊN TÂN</t>
  </si>
  <si>
    <t>KÍNH CHỐNG CHÁY</t>
  </si>
  <si>
    <t>HD0001126</t>
  </si>
  <si>
    <t>Số 33/HĐKT/DT2019</t>
  </si>
  <si>
    <t>HOÀNG ANH HOME</t>
  </si>
  <si>
    <t>NHÂN VAT RỒI</t>
  </si>
  <si>
    <t xml:space="preserve">Lương thợ công trình Nam Thuận tình từ ngày 10/01/2020 </t>
  </si>
  <si>
    <t>Bảo hiểm bên thứ 3</t>
  </si>
  <si>
    <t>KÍNH CHỐNG CHÁY ( PS )</t>
  </si>
  <si>
    <t>HD0001127</t>
  </si>
  <si>
    <t>KÍNH CHỐNG CHÁY ( Giấy phép bộ CA )</t>
  </si>
  <si>
    <t xml:space="preserve">NỘI THẤT </t>
  </si>
  <si>
    <t>HD0000141; HD0000155; HD0000164</t>
  </si>
  <si>
    <t>ĐIỆN</t>
  </si>
  <si>
    <t>28/02 đến 05/03</t>
  </si>
  <si>
    <t>PCCC</t>
  </si>
  <si>
    <t>ĐỨC PHƯƠNG</t>
  </si>
  <si>
    <t>SỐ 191113-HD/DP/VS</t>
  </si>
  <si>
    <t>( Nam Thuận + TYME )</t>
  </si>
  <si>
    <t>Chi bao thư café Anh Đức</t>
  </si>
  <si>
    <t>Khoa thi công phụ trách</t>
  </si>
  <si>
    <t>Xong</t>
  </si>
  <si>
    <t>GHẾ RELAX</t>
  </si>
  <si>
    <t>HD8157600</t>
  </si>
  <si>
    <t>GHẾ PANTRY BAR</t>
  </si>
  <si>
    <t>MINH AND MORE</t>
  </si>
  <si>
    <t>KI LONG</t>
  </si>
  <si>
    <t>PHỤ KIỆN BẢN LỀ</t>
  </si>
  <si>
    <t>HỆ THỐNG ĐIỀU HOA</t>
  </si>
  <si>
    <t>TRUNG KIÊN</t>
  </si>
  <si>
    <t>HD0000082</t>
  </si>
  <si>
    <t>012020.HĐKT/TK-VA</t>
  </si>
  <si>
    <t>NHÂN CÔNG SƠN</t>
  </si>
  <si>
    <t>Mr PHÁT</t>
  </si>
  <si>
    <t>LEN NHÔM</t>
  </si>
  <si>
    <t>MR SÁU</t>
  </si>
  <si>
    <t>GHẾ PANTRY</t>
  </si>
  <si>
    <t>AN MỘC</t>
  </si>
  <si>
    <t>GHẾ LƯỜI</t>
  </si>
  <si>
    <t>GHẾ BAR</t>
  </si>
  <si>
    <t>CAPTA ( FURNI )</t>
  </si>
  <si>
    <t>HD0000690 NGÀY 24/02</t>
  </si>
  <si>
    <t>HOÀN HẢO</t>
  </si>
  <si>
    <t>BÀN CAFÉ</t>
  </si>
  <si>
    <t>BÀN LỄ TÂN</t>
  </si>
  <si>
    <t>HD0000693</t>
  </si>
  <si>
    <t>Vệ sinh công trình</t>
  </si>
  <si>
    <t>VSCN</t>
  </si>
  <si>
    <t>Môi Trường Việt Úc</t>
  </si>
  <si>
    <t>HD0000345</t>
  </si>
  <si>
    <t>VÁCH CỎ NHÂN TẠO</t>
  </si>
  <si>
    <t>VÂN BẮC</t>
  </si>
  <si>
    <t>HD0002052</t>
  </si>
  <si>
    <t>NHÂN CÔNG ĐIÊN</t>
  </si>
  <si>
    <t>KHUNG TREO TIVI</t>
  </si>
  <si>
    <t>DTH</t>
  </si>
  <si>
    <t>HD0000467</t>
  </si>
  <si>
    <t>Chi mua vật tư</t>
  </si>
  <si>
    <t>Anh Đồng phụ trách</t>
  </si>
  <si>
    <t>ok</t>
  </si>
  <si>
    <t>HỘP ĐÈN</t>
  </si>
  <si>
    <t>SÀN NÂNG</t>
  </si>
  <si>
    <t>GIA NGUYỄN</t>
  </si>
  <si>
    <t>Mr Khoa thi công</t>
  </si>
  <si>
    <t>Thi công Accesscontrol &amp; camera</t>
  </si>
  <si>
    <t>MR THÁI</t>
  </si>
  <si>
    <t>AQUA</t>
  </si>
  <si>
    <t>BẢO</t>
  </si>
  <si>
    <t>TƯỞNG</t>
  </si>
  <si>
    <t>DƯƠNG</t>
  </si>
  <si>
    <t>KÍNH ( PHÁT SINH )</t>
  </si>
  <si>
    <t>MÀU</t>
  </si>
  <si>
    <t>RÈM</t>
  </si>
  <si>
    <t>MR THIỆN</t>
  </si>
  <si>
    <t>HD0000732</t>
  </si>
  <si>
    <t>Số 0352019/ASDD-VACONS</t>
  </si>
  <si>
    <t>GIẤY DÁN TƯỜNG</t>
  </si>
  <si>
    <t>NỘI THẤT THÁI XUYÊN</t>
  </si>
  <si>
    <t>ĐỒ MỘC</t>
  </si>
  <si>
    <t>HD0000128 (221.944.800 VND )
'HD0000135 ( 295.926.400 )</t>
  </si>
  <si>
    <t>Số 16/2019-UP</t>
  </si>
  <si>
    <t>ĐỒ MỘC ( PHỤ LỤC HĐ )</t>
  </si>
  <si>
    <t>Số 01/PLHĐ ( SỐ 16/2019-UP )</t>
  </si>
  <si>
    <t>LÀM THẺ CÔNG TRÌNH</t>
  </si>
  <si>
    <t>THÀNH TC PHỤ TRÁCH</t>
  </si>
  <si>
    <t>Trang thiết bị, vật tư điện</t>
  </si>
  <si>
    <t>Mr Đồng phụ trách</t>
  </si>
  <si>
    <t>SIKA</t>
  </si>
  <si>
    <t>CTY THÀNH CÔNG</t>
  </si>
  <si>
    <t>BẢO HIỂM CÔNG TRÌNH</t>
  </si>
  <si>
    <t>KHANG GIANG</t>
  </si>
  <si>
    <t>Chi mua vật tư xi măng</t>
  </si>
  <si>
    <t>CÁN SÀN</t>
  </si>
  <si>
    <t>Chi mua vật tư trang thiết bị công trình</t>
  </si>
  <si>
    <t>DECAL ( VÁCH KÍNH )</t>
  </si>
  <si>
    <t>DECAL ( VÁCH PATITION )</t>
  </si>
  <si>
    <t>VẼ TƯỜNG</t>
  </si>
  <si>
    <t>MR KHANG</t>
  </si>
  <si>
    <t>NỘI THẤT ( bàn, biển tên ) Phát sinh</t>
  </si>
  <si>
    <t>MR HUY</t>
  </si>
  <si>
    <t>KÍNH CƯỜNG LỰC</t>
  </si>
  <si>
    <t>MR HOÀNG</t>
  </si>
  <si>
    <t>Mr Luyện ( SAO MAI )</t>
  </si>
  <si>
    <t>Hoàng thi công phụ trách</t>
  </si>
  <si>
    <t>ACCESSCONTROL</t>
  </si>
  <si>
    <t>TRÚC ANH</t>
  </si>
  <si>
    <t>TIẾN RÁC</t>
  </si>
  <si>
    <t xml:space="preserve"> Chi hoa hồng môi giới</t>
  </si>
  <si>
    <t>AN SALE PHỤ TRÁCH</t>
  </si>
  <si>
    <t>Chi hoa hồng cho khách Aqua</t>
  </si>
  <si>
    <t>Chi hoa hồng cho Ms Yến Aqua</t>
  </si>
  <si>
    <t>AQUA - SHOWRROM</t>
  </si>
  <si>
    <t xml:space="preserve">THẢM </t>
  </si>
  <si>
    <t>LOGO</t>
  </si>
  <si>
    <t>LOGO ( phát sinh )</t>
  </si>
  <si>
    <t>MR TRUNG</t>
  </si>
  <si>
    <t>CP Ban Quản Lý - Thu hồi cọc công trình</t>
  </si>
  <si>
    <t>VẬT LIỆU FILM</t>
  </si>
  <si>
    <t>BODAQ</t>
  </si>
  <si>
    <t>NHẬN VAT RỒI</t>
  </si>
  <si>
    <t>XIAMEN
( bitexco )</t>
  </si>
  <si>
    <t>SÀN GIÁ RẺ</t>
  </si>
  <si>
    <t>0000178; 0000180; 0000181; 0000182 ( Tổng 71.610.000 )</t>
  </si>
  <si>
    <t>RPB</t>
  </si>
  <si>
    <t>HD0030921</t>
  </si>
  <si>
    <t>Số 2810419/19RPB-VA</t>
  </si>
  <si>
    <t>VƯƠNG</t>
  </si>
  <si>
    <t>KÍNH PHÁT SINH</t>
  </si>
  <si>
    <t>PCCC&amp;LẠNH</t>
  </si>
  <si>
    <t>VŨ ( HOÀNG CUNG )</t>
  </si>
  <si>
    <t>HD0003243 NGÀY 22/11 ( 58.367.009 )</t>
  </si>
  <si>
    <t>HỒNG PHÚC</t>
  </si>
  <si>
    <t xml:space="preserve"> CTY THANH THIÊN</t>
  </si>
  <si>
    <t>BÀN VĂN PHÒNG</t>
  </si>
  <si>
    <t>MÁY CHIẾU</t>
  </si>
  <si>
    <t>CTY NHẬT THÀNH</t>
  </si>
  <si>
    <t>Trang thiết bị công trình</t>
  </si>
  <si>
    <t>Mr Thoan</t>
  </si>
  <si>
    <t>Mr Kiên</t>
  </si>
  <si>
    <t>THIÊN LỘC</t>
  </si>
  <si>
    <t>SƠN</t>
  </si>
  <si>
    <t>MR PHÁT</t>
  </si>
  <si>
    <t>AN KHANG</t>
  </si>
  <si>
    <t>HD0000006</t>
  </si>
  <si>
    <t>LEN CHÂN TƯỜNG</t>
  </si>
  <si>
    <t>6.683.000 ( GIÁ TRỊ BẢO HÀNH )</t>
  </si>
  <si>
    <t>Chi hoa hồng</t>
  </si>
  <si>
    <t>CHI TIỀN BAO THƯ - CAFÉ</t>
  </si>
  <si>
    <t>KHOA TC PHỤ TRÁCH</t>
  </si>
  <si>
    <t>TADIDI</t>
  </si>
  <si>
    <t>THÀNH CÔNG</t>
  </si>
  <si>
    <t>VNDD</t>
  </si>
  <si>
    <t>ENFORCE</t>
  </si>
  <si>
    <t>THANH</t>
  </si>
  <si>
    <t>THẢM SÀN</t>
  </si>
  <si>
    <t>PKCK</t>
  </si>
  <si>
    <t>LUÂN</t>
  </si>
  <si>
    <t>TÂM</t>
  </si>
  <si>
    <t>PHƯƠNG</t>
  </si>
  <si>
    <t>MỘC</t>
  </si>
  <si>
    <t>HD0000121 - 21/10/2019 - ĐỢT 1
HD0000131 - ĐỢT 2 NGÀY 27/11
HD0000133 - ( 120.730.874 ngày HĐ 07/12 )</t>
  </si>
  <si>
    <t>Số15/2019UP</t>
  </si>
  <si>
    <t>GIỮ 16.752.000 BẢO HÀNH</t>
  </si>
  <si>
    <t>MÀN SÁO</t>
  </si>
  <si>
    <t>VỆ SINH CÔNG NGHIỆP</t>
  </si>
  <si>
    <t>CTY SAO MAI VIỆT</t>
  </si>
  <si>
    <t>TRẦN XUYÊN SÁNG</t>
  </si>
  <si>
    <t>Trang thiết bị công trình ( cây lau sàn, máy bơm )</t>
  </si>
  <si>
    <t>MR BẢO</t>
  </si>
  <si>
    <t>Trang thiết bị vật tư công trình</t>
  </si>
  <si>
    <t>Mr Thành phụ trách</t>
  </si>
  <si>
    <t>DÁN NẸP FORMAS</t>
  </si>
  <si>
    <t>MR THẮNG DECAL</t>
  </si>
  <si>
    <t>CÔNG ANH</t>
  </si>
  <si>
    <t>HD0000023</t>
  </si>
  <si>
    <t xml:space="preserve">MR THẮNG </t>
  </si>
  <si>
    <t>BAO CHE</t>
  </si>
  <si>
    <t>TOÀN DIỆN</t>
  </si>
  <si>
    <t>CƯƠNG SALE phụ trách</t>
  </si>
  <si>
    <t>FUJITSU</t>
  </si>
  <si>
    <t>SỐ 15/2019-UP</t>
  </si>
  <si>
    <t>GIỮ 18.763.000 BẢO HÀNH</t>
  </si>
  <si>
    <t>MỘC ( PHÁT SINH )</t>
  </si>
  <si>
    <t>Mr Trí phụ trách</t>
  </si>
  <si>
    <t>MR HÀO</t>
  </si>
  <si>
    <t>CÔNG ÁNH</t>
  </si>
  <si>
    <t>MUA máy café tặng Fujitsu</t>
  </si>
  <si>
    <t>CÓ VAT ( Da nhận )</t>
  </si>
  <si>
    <t>Số 261119-01/HĐMB-ĐBP</t>
  </si>
  <si>
    <t>QUÀNG CÁO</t>
  </si>
  <si>
    <t>JACCS</t>
  </si>
  <si>
    <t>CƯỜNG - QST</t>
  </si>
  <si>
    <t>Số 0310/2019/HĐKT/QST-VACONS</t>
  </si>
  <si>
    <t>Mr phú phụ trách</t>
  </si>
  <si>
    <t>Nhân công điện</t>
  </si>
  <si>
    <t>THƯ</t>
  </si>
  <si>
    <t>HAFELE</t>
  </si>
  <si>
    <t>MR TUẤN</t>
  </si>
  <si>
    <t>CỬA CHỐNG CHÁY</t>
  </si>
  <si>
    <t>HD0001107</t>
  </si>
  <si>
    <t>TTH</t>
  </si>
  <si>
    <t>NỘI THẤT ( JACCS  15 )</t>
  </si>
  <si>
    <t>NHÂN CÔNG ĐIỆN + SON NƯỚC ( JACCS T 15 )</t>
  </si>
  <si>
    <t>MR ĐĂNG</t>
  </si>
  <si>
    <t>VẼ TƯỜNG PANTRY T15</t>
  </si>
  <si>
    <t>DECAL ( JACCS T2 )</t>
  </si>
  <si>
    <t>NỘI THẤT + CỬA ĐI</t>
  </si>
  <si>
    <t>BOMBUS</t>
  </si>
  <si>
    <t>ĐANG CÒN GIỮ 5% = 39.925.600 BẢO HÀNH</t>
  </si>
  <si>
    <t>ĐỒ GỖ - VÁCH NGĂN</t>
  </si>
  <si>
    <t>MR THANH</t>
  </si>
  <si>
    <t>Chi mua bột nền</t>
  </si>
  <si>
    <t xml:space="preserve">Số 30/HDKT/DT2019  </t>
  </si>
  <si>
    <t>Chi hoa hồng Minh Bombus</t>
  </si>
  <si>
    <t xml:space="preserve">Số 28/HĐKT/DT2019 </t>
  </si>
  <si>
    <t>BẢO HIỂM NCCT</t>
  </si>
  <si>
    <t>BẢO MINH</t>
  </si>
  <si>
    <t>HD0230874</t>
  </si>
  <si>
    <t>CTY ĐỨC PHƯƠNG</t>
  </si>
  <si>
    <t>Số 191113-HD/DP/VS</t>
  </si>
  <si>
    <t>HD0002789</t>
  </si>
  <si>
    <t>GIẤY PHÉP PCCC</t>
  </si>
  <si>
    <t>CTY DUYÊN TÂN</t>
  </si>
  <si>
    <t>BÀN GHẾ</t>
  </si>
  <si>
    <t>GUARDIAN - QUẬN 9</t>
  </si>
  <si>
    <t>ỐNG NƯỚC - PHỤ KIỆN</t>
  </si>
  <si>
    <t>MINH TUẤN</t>
  </si>
  <si>
    <t>HỆ THỐNG LẠNH</t>
  </si>
  <si>
    <t>Số 1211/2019-TK-VA</t>
  </si>
  <si>
    <t>GHẾ + KÉT SẮT + TỦ</t>
  </si>
  <si>
    <t>CTY TRONG TÍN</t>
  </si>
  <si>
    <t>HD0003992</t>
  </si>
  <si>
    <t>CTY LIÊN TÚ</t>
  </si>
  <si>
    <t>HD0000629</t>
  </si>
  <si>
    <t>Mr Huy phụ trách</t>
  </si>
  <si>
    <t>GIỮ BẢO HÀNH 5%</t>
  </si>
  <si>
    <t>Mr Thoan phụ trách</t>
  </si>
  <si>
    <t>GẠCH CÁT ĐÁ</t>
  </si>
  <si>
    <t>NGUYỄN PHÚ NGUYÊN</t>
  </si>
  <si>
    <t>ĐÈN LED, MICA</t>
  </si>
  <si>
    <t>Số 28112019/HĐTC/VA-QCLED</t>
  </si>
  <si>
    <t>MR LUYỆN</t>
  </si>
  <si>
    <t>CỬA CUỐN</t>
  </si>
  <si>
    <t>HƯNG THỊNH</t>
  </si>
  <si>
    <t>CÓ HỢP ĐỒNG ( HƯNG THỊNH )</t>
  </si>
  <si>
    <t>MR ĐÔNG</t>
  </si>
  <si>
    <t>CÁN SÀN ( phát sinh )</t>
  </si>
  <si>
    <t>MÁI TÔN</t>
  </si>
  <si>
    <t>MR GIANG</t>
  </si>
  <si>
    <t>XI MĂNG</t>
  </si>
  <si>
    <t>PHÚ NGUYÊN</t>
  </si>
  <si>
    <t>IN LATEX</t>
  </si>
  <si>
    <t>ECOGREEN</t>
  </si>
  <si>
    <t>Mr Phú phụ trách</t>
  </si>
  <si>
    <t>MÂM KỆ</t>
  </si>
  <si>
    <t>TOÀN MINH TUẤN</t>
  </si>
  <si>
    <t>Kính cường lực</t>
  </si>
  <si>
    <t>Mr Hoàng</t>
  </si>
  <si>
    <t>NHÂN CÔNG DIẸN9</t>
  </si>
  <si>
    <t>CHI PHÍ XIN PHÉP XÂY DỰNG TẠI ĐỊA PHƯƠNG</t>
  </si>
  <si>
    <t>CHÍNH QUYỀN ĐỊA PHƯƠNG</t>
  </si>
  <si>
    <t>Chi phí phường, café,..</t>
  </si>
  <si>
    <t>Mr Lil phụ trách</t>
  </si>
  <si>
    <t xml:space="preserve">Tủ Rack </t>
  </si>
  <si>
    <t>A THAI ACOSOTOL</t>
  </si>
  <si>
    <t xml:space="preserve">REE 
( Etown )
</t>
  </si>
  <si>
    <t>BÀN LÀM VIỆC</t>
  </si>
  <si>
    <t>HD0000136 ( 43.230.000 )</t>
  </si>
  <si>
    <t>GHẾ CHÂN QUỲ</t>
  </si>
  <si>
    <t>HD0030923</t>
  </si>
  <si>
    <t>GHẾ ( C.E.O )</t>
  </si>
  <si>
    <t xml:space="preserve">GUARDIAN Q4 - PCCC </t>
  </si>
  <si>
    <t>PHÚ HƯNG</t>
  </si>
  <si>
    <t>Số 2511-PH/XDVA/2019</t>
  </si>
  <si>
    <t>Số 2611-PH/XDVA/2019</t>
  </si>
  <si>
    <t>Chi phí nghiệm thu PCCC</t>
  </si>
  <si>
    <t>Xử lý tồn đọng hoàn công Guardian Q4  &amp; dự trù BQL tòa nhà</t>
  </si>
  <si>
    <t>MEDIKA</t>
  </si>
  <si>
    <t>MỘC PHỐ</t>
  </si>
  <si>
    <t>LOGO BẢNG HIÊU MEDIKA 3/2 QUẬN 10</t>
  </si>
  <si>
    <t>LOGO BẢNG HIÊU MEDIKA NI SƯ</t>
  </si>
  <si>
    <t>THẠCH CAO - VV</t>
  </si>
  <si>
    <t>THƯƠNG</t>
  </si>
  <si>
    <t>MR MÀU</t>
  </si>
  <si>
    <t>NHÂN CÔNG BẮN KEO</t>
  </si>
  <si>
    <t>Trang thiết bị  vật tư công trình</t>
  </si>
  <si>
    <t>Hoàng TC phụ trách</t>
  </si>
  <si>
    <t>QUẢNG CÁO - VV</t>
  </si>
  <si>
    <t>SƠN - VV</t>
  </si>
  <si>
    <t>NỘI THẤT - VV</t>
  </si>
  <si>
    <t>CỬA</t>
  </si>
  <si>
    <t>CAO PHÁT</t>
  </si>
  <si>
    <t>BÀN</t>
  </si>
  <si>
    <t>MỘC - VV</t>
  </si>
  <si>
    <t>MR TỶ</t>
  </si>
  <si>
    <t>Chiết khấu dự án giá trị gói Medika còn lại</t>
  </si>
  <si>
    <t>MR NHA</t>
  </si>
  <si>
    <t>GHẾ - VV</t>
  </si>
  <si>
    <t>HOÀNG PHÚC VL</t>
  </si>
  <si>
    <t>HOÀNG ÂN</t>
  </si>
  <si>
    <t>CHUYỂN GẠCH</t>
  </si>
  <si>
    <t xml:space="preserve">  </t>
  </si>
  <si>
    <t>SỬA CHỮA MÁY LẠNH</t>
  </si>
  <si>
    <t>Phí vận chuyển máy lạnh</t>
  </si>
  <si>
    <t>HOÀNG PHÚC TCV</t>
  </si>
  <si>
    <t>TRANG THIẾT BỊ CÔNG TRÌNH</t>
  </si>
  <si>
    <t>HUY TC PHỤ TRÁCH</t>
  </si>
  <si>
    <t>CTY THÀNH NGUYÊN</t>
  </si>
  <si>
    <t>HD0000215 (43.846.000 )</t>
  </si>
  <si>
    <t>QUẢNG CÁO LED</t>
  </si>
  <si>
    <t xml:space="preserve">Chi mua vật tư </t>
  </si>
  <si>
    <t>Mr Đồng Phụ trách</t>
  </si>
  <si>
    <t>KIÊN THÉP</t>
  </si>
  <si>
    <t>PHƯỚC ANH</t>
  </si>
  <si>
    <t>PHỤ KIỆN KÍNH</t>
  </si>
  <si>
    <t>MÁY LẠNH</t>
  </si>
  <si>
    <t>PHÁT ĐẠT</t>
  </si>
  <si>
    <t xml:space="preserve"> Hoa hồng môi giới  - Mr Nhã ( 3 shop )</t>
  </si>
  <si>
    <t xml:space="preserve"> Hoa hồng môi giới  - Mr Nhã ( Mạnh Thị Hảo) Shop Trần Cao Vân</t>
  </si>
  <si>
    <t>HỒ ĐẮC NHÃ</t>
  </si>
  <si>
    <t>Sơn</t>
  </si>
  <si>
    <t>Mr Phát</t>
  </si>
  <si>
    <t xml:space="preserve">BẢO HÀNH </t>
  </si>
  <si>
    <t>XLE  - T3</t>
  </si>
  <si>
    <t>SƠN LẠI LẦU 4</t>
  </si>
  <si>
    <t>Mr ĐỒng phụ trách</t>
  </si>
  <si>
    <t>Mr Trí thi công</t>
  </si>
  <si>
    <t>GUARDIAN - THỦ ĐỨC</t>
  </si>
  <si>
    <t>MR PHÚ</t>
  </si>
  <si>
    <t>LOGO, DECAL</t>
  </si>
  <si>
    <t>TYME</t>
  </si>
  <si>
    <t>SƠN NƯỚC ( Phát sinh )</t>
  </si>
  <si>
    <t>SÀN GỖ</t>
  </si>
  <si>
    <t>GIA HOÀNG</t>
  </si>
  <si>
    <t>QUẢNG CÁO ( phái sinh )</t>
  </si>
  <si>
    <t>THẠCH CAO ( phát sinh )</t>
  </si>
  <si>
    <t>TRẦN THẠCH CAO</t>
  </si>
  <si>
    <t>NHÂN CÔNG LẠNH</t>
  </si>
  <si>
    <t>Khoa TC phụ trách</t>
  </si>
  <si>
    <t>CỤM BÀN LÀM VIỆC ( phát sinh )</t>
  </si>
  <si>
    <t>DI DỜI PCCC, LẠNH</t>
  </si>
  <si>
    <t>ĐỒ ĐIỆN ( phát sinh )</t>
  </si>
  <si>
    <t>ĐIỆN ( phát sinh )</t>
  </si>
  <si>
    <t>Nguyễn Nam</t>
  </si>
  <si>
    <t>REETECH</t>
  </si>
  <si>
    <t>CHUNG THÀNH</t>
  </si>
  <si>
    <t>THẠCH  CAO</t>
  </si>
  <si>
    <t>Trang thiết bị, vật tư công trình</t>
  </si>
  <si>
    <t>ĐÓNG TIỀN PHẠT</t>
  </si>
  <si>
    <t>Trí thi công phụ trách</t>
  </si>
  <si>
    <t>PUBLICIS</t>
  </si>
  <si>
    <t>SƠN NƯỚC ( Gói phát sinh )</t>
  </si>
  <si>
    <t>Chi phí tòa nhà</t>
  </si>
  <si>
    <t>CA PHƯỜNG</t>
  </si>
  <si>
    <t>MR LINH</t>
  </si>
  <si>
    <t>ĐÁNH SÀN</t>
  </si>
  <si>
    <t>MR NAM</t>
  </si>
  <si>
    <t>ACCESS CONTROL</t>
  </si>
  <si>
    <t>GUARDIAN - VP</t>
  </si>
  <si>
    <t>PVD</t>
  </si>
  <si>
    <t>HD0000019 ( NGÀY 16/08 )</t>
  </si>
  <si>
    <t>LOGIVAN</t>
  </si>
  <si>
    <t>Lương thợ công trình Logivan tình từ tháng 01.2020</t>
  </si>
  <si>
    <t>CHI PHÍ KHÁC</t>
  </si>
  <si>
    <t>Chi hoa hồng ( MG= 4%, KH = 3% )</t>
  </si>
  <si>
    <t>T01 - tuần 1</t>
  </si>
  <si>
    <t>LƯƠNG THỢ</t>
  </si>
  <si>
    <t>tong</t>
  </si>
  <si>
    <t>XX</t>
  </si>
  <si>
    <t>SENDO</t>
  </si>
  <si>
    <t>Chi phí công tác Mr LiL ( nộp hồ sơ, xăng xe đì Sendo,.. )</t>
  </si>
  <si>
    <t>BWID</t>
  </si>
  <si>
    <t>BECKMAN Q7</t>
  </si>
  <si>
    <t>RICOH</t>
  </si>
  <si>
    <t>BẢO HÀNH HẠNG MỤC KÍNH</t>
  </si>
  <si>
    <t>NHÀ CHỊ KHUYẾN</t>
  </si>
  <si>
    <t>CÁC CÔNG TRÌNH</t>
  </si>
  <si>
    <t>MR THƯ</t>
  </si>
  <si>
    <t>KÍNH ( sữa chữa Vacons )</t>
  </si>
  <si>
    <t>Chi mua vật tư các công trình</t>
  </si>
  <si>
    <t>ĐIÊN5</t>
  </si>
  <si>
    <t>MR TÙNG</t>
  </si>
  <si>
    <t>CÓ VAT ( 25TR )</t>
  </si>
  <si>
    <t>MLL</t>
  </si>
  <si>
    <t>Chi hoa hồng khách MLL</t>
  </si>
  <si>
    <t>LAVIE</t>
  </si>
  <si>
    <t>CP THI CÔNG PHÁT SINH</t>
  </si>
  <si>
    <t>THÀNH THI CÔNG</t>
  </si>
  <si>
    <t>CA ADVANCE</t>
  </si>
  <si>
    <t>Di dời lắp đặt nội thất</t>
  </si>
  <si>
    <t>Nhân côn tháo lắp vận chuyển bàn</t>
  </si>
  <si>
    <t>BẢNG GIẢI CHI MUA VẬT TƯ ANH ĐỒNG</t>
  </si>
  <si>
    <t>THỜI GIAN</t>
  </si>
  <si>
    <t>SỐ TIỀN</t>
  </si>
  <si>
    <t>26/02 đến 03/03</t>
  </si>
  <si>
    <t>04/03 ĐẾN 18/03</t>
  </si>
  <si>
    <t>20/03 đến 26/03</t>
  </si>
  <si>
    <t>kho Vacons</t>
  </si>
  <si>
    <t>03/04 đến 09/04</t>
  </si>
  <si>
    <t>24/04 đến 30/04</t>
  </si>
  <si>
    <t>01/05 đến 07/05</t>
  </si>
  <si>
    <t>THI CÔNG TẠM ỨNG</t>
  </si>
  <si>
    <t>TÊN</t>
  </si>
  <si>
    <t>NGÀY ỨNG</t>
  </si>
  <si>
    <t>HÌNH THỨC THANH TOÁN</t>
  </si>
  <si>
    <t>GHI CHÚ</t>
  </si>
  <si>
    <t>MR TRÍ</t>
  </si>
  <si>
    <t>Chi phí công trình</t>
  </si>
  <si>
    <t>KIÊN</t>
  </si>
  <si>
    <t>Chi phí mua vật tư công trình</t>
  </si>
  <si>
    <t>VACONS</t>
  </si>
  <si>
    <t>ĐỒNG</t>
  </si>
  <si>
    <t>Mua đồ cúng khai trương và trả lương thợ những ngày cuối</t>
  </si>
  <si>
    <t xml:space="preserve">Mua hết : 4.952.000 CL 1.048.000 </t>
  </si>
  <si>
    <t xml:space="preserve">Mua sắm vật tư phụ </t>
  </si>
  <si>
    <t>NAM THUẬN</t>
  </si>
  <si>
    <t>KHOA</t>
  </si>
  <si>
    <t>Chi phí dự phòng công trình</t>
  </si>
  <si>
    <t>GUARDIAN MT</t>
  </si>
  <si>
    <t>PHÚ</t>
  </si>
  <si>
    <t>Giải chi tạm ứng</t>
  </si>
  <si>
    <t>Chưa hạch toán</t>
  </si>
  <si>
    <t>LOCALLIZE</t>
  </si>
  <si>
    <t xml:space="preserve">Đóng chi phí cắt nước </t>
  </si>
  <si>
    <t>SMART OSC</t>
  </si>
  <si>
    <t>Mua vật tư</t>
  </si>
  <si>
    <t>Mua hết : 4.635000 CL 365.000 k thấy hoàn</t>
  </si>
  <si>
    <t>Mua khung treo TV và chi phí dự phòng CT Localize</t>
  </si>
  <si>
    <t>HOÀNG PHÚC NGUYỄN HUỆ</t>
  </si>
  <si>
    <t>Chi phí thuê xe vận chuyển + thuê giàn giáo +vệ sinh + chi phí dự phòng công trình Hoàng Phúc Nguyễn Huệ</t>
  </si>
  <si>
    <t>TECH</t>
  </si>
  <si>
    <t>KHO VACONS</t>
  </si>
  <si>
    <t>Xem Lại</t>
  </si>
  <si>
    <t>TẠM ỨNG CÔNG TRÌNH</t>
  </si>
  <si>
    <t>STT</t>
  </si>
  <si>
    <t>NỘI DUNG</t>
  </si>
  <si>
    <t>NGƯỜI ĐỀ 
NGHỊ</t>
  </si>
  <si>
    <t>SỐ TIỀN 
ỨNG</t>
  </si>
  <si>
    <t>SỐ TIỀN HOÀN 
TẠM ỨNG</t>
  </si>
  <si>
    <t>NGÀY GIẢI CHI</t>
  </si>
  <si>
    <t>Gửi chuyển phát nhanh ra Hà Nội bảo hành 2 card</t>
  </si>
  <si>
    <t>Mr Đạm</t>
  </si>
  <si>
    <t>TM</t>
  </si>
  <si>
    <t>JACCS T15</t>
  </si>
  <si>
    <t>Xả nước hệ thống chửa cháy</t>
  </si>
  <si>
    <t>Mr Khoa</t>
  </si>
  <si>
    <t>TCB</t>
  </si>
  <si>
    <t>SRF</t>
  </si>
  <si>
    <t>Hồ sơ BQL</t>
  </si>
  <si>
    <t>Mr Thành</t>
  </si>
  <si>
    <t>Mua vật tư cải tạo sân thượng</t>
  </si>
  <si>
    <t>Nguyễn Huy Hoàng</t>
  </si>
  <si>
    <t>Chi phí bảo trì xe công ty</t>
  </si>
  <si>
    <t>Mr Trí</t>
  </si>
  <si>
    <t>CNT</t>
  </si>
  <si>
    <t>Chi cho bảo vệ</t>
  </si>
  <si>
    <t>TCB (K giải chi)</t>
  </si>
  <si>
    <t xml:space="preserve">Chi phí hoa hồng </t>
  </si>
  <si>
    <t>AWOT</t>
  </si>
  <si>
    <t>Trần Văn Phú</t>
  </si>
  <si>
    <t>UOA</t>
  </si>
  <si>
    <t>Dự phòng thi công</t>
  </si>
  <si>
    <t>Mr Thắng</t>
  </si>
  <si>
    <t>TM+TCB</t>
  </si>
  <si>
    <t>HTMB JACCS T2+ Cải tạo JACCS T15</t>
  </si>
  <si>
    <t>Chi phí dự phòng HTMB ,cải tạo Jaccs T15</t>
  </si>
  <si>
    <t>Lavie ( Hà Nội)</t>
  </si>
  <si>
    <t>Chi phí ăn uống tiếp khách</t>
  </si>
  <si>
    <t>Nguyễn Thị Diễm Thúy</t>
  </si>
  <si>
    <t>OM</t>
  </si>
  <si>
    <t>Lưu Quốc Thịnh</t>
  </si>
  <si>
    <t>SJ</t>
  </si>
  <si>
    <t>Dương Quang Mạnh Hùng</t>
  </si>
  <si>
    <t>VIETCREDIT T07+T08</t>
  </si>
  <si>
    <t>Trần Trung Kiên</t>
  </si>
  <si>
    <t>Chi phí mua vật tư định vị tim cọc</t>
  </si>
  <si>
    <t>Hồ Đắc Nhã</t>
  </si>
  <si>
    <t>Chi phí vật tư phụ và tiền nước công trình</t>
  </si>
  <si>
    <t>Chi phí mua bộ bàn tam giác</t>
  </si>
  <si>
    <t xml:space="preserve">Chi phí 05 chậu xi măng đá mài + 2 bao sỏi </t>
  </si>
  <si>
    <t>Chi phí mua 2 kệ sách hình cây</t>
  </si>
  <si>
    <t xml:space="preserve">UR </t>
  </si>
  <si>
    <t>Nguyễn Chơn Lạc</t>
  </si>
  <si>
    <t>BNP</t>
  </si>
  <si>
    <t>Lý Đăng Khoa</t>
  </si>
  <si>
    <t>Chi phí chuyển đổ xà bần đơn vị tòa nhà</t>
  </si>
  <si>
    <t>Lê Minh Trí</t>
  </si>
  <si>
    <t>Chi phí công trình ( đưa kỹ thuật)</t>
  </si>
  <si>
    <t>TỔNG:</t>
  </si>
  <si>
    <t>DỰ ÁN 2020</t>
  </si>
  <si>
    <t>HTMB SHINWON
T17 CENTEC</t>
  </si>
  <si>
    <t>Hoa hồng</t>
  </si>
  <si>
    <t>BẢO HIỂM</t>
  </si>
  <si>
    <t>Mr Hoàng thi công</t>
  </si>
  <si>
    <t>Thạch cao</t>
  </si>
  <si>
    <t>AIM</t>
  </si>
  <si>
    <t>HTMB - VA
T20 CENTEC</t>
  </si>
  <si>
    <t>ĐÃ NHẬN</t>
  </si>
  <si>
    <t>CCX/01860403</t>
  </si>
  <si>
    <t>Lương thợ HTMB VAL tính từ ngày 15/05</t>
  </si>
  <si>
    <t>I.S</t>
  </si>
  <si>
    <t>15/05 đến 21/05</t>
  </si>
  <si>
    <t>22/05 đến 28/05</t>
  </si>
  <si>
    <t>Spinter</t>
  </si>
  <si>
    <t>Mr Thái</t>
  </si>
  <si>
    <t>29/05 đến 04/06</t>
  </si>
  <si>
    <t xml:space="preserve">NHÂN CÔNG THÁO DỞ </t>
  </si>
  <si>
    <t>XE VẬN CHUYỂN</t>
  </si>
  <si>
    <t>MR TRƯỜNG</t>
  </si>
  <si>
    <t>THẠCH CAO - NHÂN CÔNG</t>
  </si>
  <si>
    <t>NHÂN CÔNG SƠN NƯỚC</t>
  </si>
  <si>
    <t>MR.PHÁT</t>
  </si>
  <si>
    <t>ĐIỆN ME</t>
  </si>
  <si>
    <t>Centec _ Ðang</t>
  </si>
  <si>
    <r>
      <t xml:space="preserve">VIETCREDIT
</t>
    </r>
    <r>
      <rPr>
        <b/>
        <sz val="15"/>
        <color theme="1"/>
        <rFont val="Times New Roman"/>
        <family val="1"/>
      </rPr>
      <t>( Điện Biên Phủ )</t>
    </r>
  </si>
  <si>
    <t>ĐƠN HÀNG LẠNH</t>
  </si>
  <si>
    <t>PHÚC HƯNG</t>
  </si>
  <si>
    <t>1405/2020-HĐDV/PH-VA</t>
  </si>
  <si>
    <t>Lương thợ Vietredit tính từ ngày 08/05</t>
  </si>
  <si>
    <t>08/05 đến 14/05</t>
  </si>
  <si>
    <t>CỬA SẮT</t>
  </si>
  <si>
    <t>KINGGROUP</t>
  </si>
  <si>
    <t>HD0000036</t>
  </si>
  <si>
    <t>VÁCH NGĂN DI ĐỘNG</t>
  </si>
  <si>
    <t>HD0000219</t>
  </si>
  <si>
    <t>CÓ HỢP ĐỒNG</t>
  </si>
  <si>
    <t>KHUNG SẮT TREO MÁY LẠNH</t>
  </si>
  <si>
    <t>Mr Phú thi công</t>
  </si>
  <si>
    <t>ĐÃ NHẬN VAT</t>
  </si>
  <si>
    <t>CCX/01859953</t>
  </si>
  <si>
    <t>ĐỈNH PHÚ</t>
  </si>
  <si>
    <t>MEGALINE</t>
  </si>
  <si>
    <t>Chi phí qản lý kỹ thuật cho Mr Cường: 0938.357.828</t>
  </si>
  <si>
    <t>Chi phí ban quản lý tòa nhà</t>
  </si>
  <si>
    <t>Mr Cương Sale</t>
  </si>
  <si>
    <t>TỦ SẮT</t>
  </si>
  <si>
    <t>TRỌNG TÍN</t>
  </si>
  <si>
    <t>HD0004745</t>
  </si>
  <si>
    <t>MR DUY</t>
  </si>
  <si>
    <t>Chi phí ngắt nước</t>
  </si>
  <si>
    <t>Phụ kiện Hafele</t>
  </si>
  <si>
    <t>GHẾ INOX</t>
  </si>
  <si>
    <t>190 SÀI GÒN</t>
  </si>
  <si>
    <t>CÁP QUANG VNPT</t>
  </si>
  <si>
    <t>MR PHI</t>
  </si>
  <si>
    <t>DÂY NHẢY</t>
  </si>
  <si>
    <t>SÁNG TẠO</t>
  </si>
  <si>
    <t>HDMI</t>
  </si>
  <si>
    <t>Dây vòi, Vặn khóa</t>
  </si>
  <si>
    <t>Đầu phun chữa cháy và đầu báo cháy</t>
  </si>
  <si>
    <t>ÁNH PHƯƠNG NAM</t>
  </si>
  <si>
    <r>
      <rPr>
        <b/>
        <sz val="28"/>
        <color theme="1"/>
        <rFont val="Times New Roman"/>
        <family val="1"/>
      </rPr>
      <t>WH</t>
    </r>
    <r>
      <rPr>
        <b/>
        <sz val="20"/>
        <color theme="1"/>
        <rFont val="Times New Roman"/>
        <family val="1"/>
      </rPr>
      <t xml:space="preserve">
</t>
    </r>
    <r>
      <rPr>
        <b/>
        <sz val="16"/>
        <color theme="1"/>
        <rFont val="Times New Roman"/>
        <family val="1"/>
      </rPr>
      <t>( tòa nhà Harmony, 47 PKK, Q1 )</t>
    </r>
  </si>
  <si>
    <t>Chi kỹ thuật công trinh</t>
  </si>
  <si>
    <t>Lương thợ WH tính từ ngày 08/05</t>
  </si>
  <si>
    <t>FURNI</t>
  </si>
  <si>
    <t>BẢN ĐỒ</t>
  </si>
  <si>
    <t>NGÔI NHÀ VIỆT</t>
  </si>
  <si>
    <t>Ms Ngân</t>
  </si>
  <si>
    <t>TÒA NHÀ ĐỨC</t>
  </si>
  <si>
    <t>TRẦN</t>
  </si>
  <si>
    <t>SAR200316/AIM-VA</t>
  </si>
  <si>
    <t>KHUNG XƯƠNG</t>
  </si>
  <si>
    <t>Nam Thuận MR ( T19 )</t>
  </si>
  <si>
    <t>Lương thợ công trình Nam Thuận MR</t>
  </si>
  <si>
    <t>Giấy phép KÍNH CHỐNG CHÁY</t>
  </si>
  <si>
    <t>17/04 đến 23/04</t>
  </si>
  <si>
    <t>HD0000095</t>
  </si>
  <si>
    <t>2004104/20RPB-VA</t>
  </si>
  <si>
    <t>VCONS-HAH/VINLY-THAM</t>
  </si>
  <si>
    <t>ĐIỆN LẠNH</t>
  </si>
  <si>
    <t>HD0000341</t>
  </si>
  <si>
    <t>ĐÈN LỒNG</t>
  </si>
  <si>
    <t>AN NGUYÊN</t>
  </si>
  <si>
    <t>CÂY XANH VĂN PHÒNG</t>
  </si>
  <si>
    <t>MÁY LẠNH ( SERVER )</t>
  </si>
  <si>
    <t>102020.HĐKT/TK-VA</t>
  </si>
  <si>
    <t>VẬT TƯ MÁY LẠNH ( SERVER )</t>
  </si>
  <si>
    <t>Chuyển xà bần</t>
  </si>
  <si>
    <t>Môi trường Việt Úc</t>
  </si>
  <si>
    <t>Kính Mr Trung</t>
  </si>
  <si>
    <t>An Thịnh</t>
  </si>
  <si>
    <t>PM</t>
  </si>
  <si>
    <r>
      <rPr>
        <b/>
        <sz val="20"/>
        <color theme="1"/>
        <rFont val="Times New Roman"/>
        <family val="1"/>
      </rPr>
      <t>SMARTOSC</t>
    </r>
    <r>
      <rPr>
        <b/>
        <sz val="15"/>
        <color theme="1"/>
        <rFont val="Times New Roman"/>
        <family val="1"/>
      </rPr>
      <t xml:space="preserve">
( Tầng 2 - tòa….
HVT, Phú Nhuận )</t>
    </r>
  </si>
  <si>
    <t>Lương thợ công trình SMArt</t>
  </si>
  <si>
    <t>PHÚC LONG</t>
  </si>
  <si>
    <t>Hoa hồng - Ms Ngọc</t>
  </si>
  <si>
    <t>HD0000044</t>
  </si>
  <si>
    <t>VÁCH DI ĐỘNG</t>
  </si>
  <si>
    <t>AT202003158/HĐKT.EG-VA</t>
  </si>
  <si>
    <t>10/04 đến 16/04</t>
  </si>
  <si>
    <t>HD0000090</t>
  </si>
  <si>
    <t>DẶM VÁ VÁCH</t>
  </si>
  <si>
    <t>THƯỜNG PHÁT</t>
  </si>
  <si>
    <t>HD0000482</t>
  </si>
  <si>
    <t>HD0000163 = 86.594.970
HD0000177 = 212.720.530</t>
  </si>
  <si>
    <t>BẠC SỌC</t>
  </si>
  <si>
    <t>HD0000091</t>
  </si>
  <si>
    <t>062020.HDKT/TK-VA</t>
  </si>
  <si>
    <t>BÀN TRÀ</t>
  </si>
  <si>
    <t>SANOTA</t>
  </si>
  <si>
    <t>NHÂN  CÔNG ĐIỆN</t>
  </si>
  <si>
    <t>1502-2020/HĐNC/VA-TVT )</t>
  </si>
  <si>
    <t>BẢO HIỀM</t>
  </si>
  <si>
    <t>BÀO MINH</t>
  </si>
  <si>
    <t>MR LONG</t>
  </si>
  <si>
    <t>BẢO HIỀM CÔNG TRÌNH</t>
  </si>
  <si>
    <t>VẼ TRANH TƯỜNG</t>
  </si>
  <si>
    <t>MS ĐIỂU</t>
  </si>
  <si>
    <t>NICE HOUSE</t>
  </si>
  <si>
    <t>BÀN SOFA</t>
  </si>
  <si>
    <t>SAPA</t>
  </si>
  <si>
    <t>MÀN CHIẾU</t>
  </si>
  <si>
    <r>
      <t xml:space="preserve">HTMB - SWE
</t>
    </r>
    <r>
      <rPr>
        <b/>
        <sz val="15"/>
        <color theme="1"/>
        <rFont val="Times New Roman"/>
        <family val="1"/>
      </rPr>
      <t>( T16 - tòa nhà Đức )</t>
    </r>
  </si>
  <si>
    <t>Lương thợ SWE T16 HTMB</t>
  </si>
  <si>
    <t>200210-HD/DP/VS</t>
  </si>
  <si>
    <t>Bảo Minh</t>
  </si>
  <si>
    <t>Vệ sinh chất thải công nghiệp</t>
  </si>
  <si>
    <t>ĐÃ nhận VAT</t>
  </si>
  <si>
    <t>ALU</t>
  </si>
  <si>
    <t>SOS200306/AIM-GMH</t>
  </si>
  <si>
    <t xml:space="preserve">LOCALIZE
( tòa nhà </t>
  </si>
  <si>
    <t>HD0126322</t>
  </si>
  <si>
    <t>Lương thợ LOCALIZE</t>
  </si>
  <si>
    <t>Bảo hiểm tai nạn</t>
  </si>
  <si>
    <t>Mr Thuận ( Vinh )</t>
  </si>
  <si>
    <t>MR KIÊN</t>
  </si>
  <si>
    <t>hd0000453</t>
  </si>
  <si>
    <t>Số 0603064/20 RPB-VA</t>
  </si>
  <si>
    <t>Tiếp khách</t>
  </si>
  <si>
    <t>Thảo NS phụ trách</t>
  </si>
  <si>
    <t>24/03 đến 02/04</t>
  </si>
  <si>
    <t>Chi phí cắt nước</t>
  </si>
  <si>
    <t>Tách làm 2 hóa đơn ( HĐ 1 = 15.285.000 )</t>
  </si>
  <si>
    <t>HD0000157 = 41.915.280; HD0000168 = 97.802.320</t>
  </si>
  <si>
    <t>RẺM</t>
  </si>
  <si>
    <t>KỆ SẮT</t>
  </si>
  <si>
    <t>QUANG ĐẠT</t>
  </si>
  <si>
    <t>HD0001410</t>
  </si>
  <si>
    <t>ĐÈN THẢ</t>
  </si>
  <si>
    <t>KỆ BẢNG</t>
  </si>
  <si>
    <t>BAVICO</t>
  </si>
  <si>
    <t>HD3641905</t>
  </si>
  <si>
    <t>Chi mua vật  tư</t>
  </si>
  <si>
    <t>HD0000084</t>
  </si>
  <si>
    <t>052020.HDKT/TK-VA</t>
  </si>
  <si>
    <t>BÁO KHÓI, LẠNH</t>
  </si>
  <si>
    <t>KỸ THUẬT CENTEC</t>
  </si>
  <si>
    <t>HD0000088</t>
  </si>
  <si>
    <t>HD002025</t>
  </si>
  <si>
    <t>TẤM TRẨN TIÊU ÂM</t>
  </si>
  <si>
    <t>NVG ( tòa nhà Viettel )</t>
  </si>
  <si>
    <t>NHÂN HÓA ĐƠN RỒI</t>
  </si>
  <si>
    <t>Lương thợ NVG</t>
  </si>
  <si>
    <t>HAWEE</t>
  </si>
  <si>
    <t>HD0000649</t>
  </si>
  <si>
    <t>MAI ANH</t>
  </si>
  <si>
    <t>01/VA/MA/18F</t>
  </si>
  <si>
    <t>Mr Đại Thành</t>
  </si>
  <si>
    <t>ĐÁ MÀI</t>
  </si>
  <si>
    <t>MR HẬU</t>
  </si>
  <si>
    <t>SỐ 19/03-2019/HĐNC/VA-LQH</t>
  </si>
  <si>
    <t>Chi mua mẫu catolog</t>
  </si>
  <si>
    <t>Mr Trí TK phụ trách</t>
  </si>
  <si>
    <t>Tiên TK phụ trách</t>
  </si>
  <si>
    <t>Mr tâm</t>
  </si>
  <si>
    <t>KNT</t>
  </si>
  <si>
    <t>VẬT TƯ ĐIỆN</t>
  </si>
  <si>
    <t>PKBL</t>
  </si>
  <si>
    <t>Mr Tuấn Hafele</t>
  </si>
  <si>
    <t>MIỆNG GIÓ LẠNH</t>
  </si>
  <si>
    <t>Mr Kiên thi công</t>
  </si>
  <si>
    <t>Mr Thành thi công</t>
  </si>
  <si>
    <t>Đồ điện</t>
  </si>
  <si>
    <t>Chi mua hoa mừng khai trương</t>
  </si>
  <si>
    <t>SHOP HOA TƯƠI</t>
  </si>
  <si>
    <t>VIỆT CLEAN</t>
  </si>
  <si>
    <t>HD0000108</t>
  </si>
  <si>
    <t>Kiên thi công</t>
  </si>
  <si>
    <t>HTMB - SPN
( Centec tầng 20 )</t>
  </si>
  <si>
    <t>Phú thi công phụ trách</t>
  </si>
  <si>
    <t>IS</t>
  </si>
  <si>
    <t>HD0011721</t>
  </si>
  <si>
    <t>Ngắt nước</t>
  </si>
  <si>
    <t>Sprinker</t>
  </si>
  <si>
    <t>Nhân công sơn</t>
  </si>
  <si>
    <t>Chi mua sơn, cọ ,vật tư</t>
  </si>
  <si>
    <t>Tháo dở vách trần sàn</t>
  </si>
  <si>
    <t>Mr Tâm</t>
  </si>
  <si>
    <t>HD0011874</t>
  </si>
  <si>
    <t>ỐNG GIÓ</t>
  </si>
  <si>
    <t>NHÂN CÔNG TRẦN</t>
  </si>
  <si>
    <t>Chi phi công trình</t>
  </si>
  <si>
    <t>DIAG 
 - Lê Văn Việt _Q9</t>
  </si>
  <si>
    <t>Lương thợ DIAG</t>
  </si>
  <si>
    <t>SẮT MÁI TÔN - LVV</t>
  </si>
  <si>
    <t>HD0125426</t>
  </si>
  <si>
    <t>( DIAG + HTMB )</t>
  </si>
  <si>
    <t>Mr Dương</t>
  </si>
  <si>
    <t>DIAG LVV + CT</t>
  </si>
  <si>
    <t>HỆ THỐNG ĐIỀU HÒA</t>
  </si>
  <si>
    <t>HD0000083</t>
  </si>
  <si>
    <t>022020.HĐKT/TK-VA</t>
  </si>
  <si>
    <t>phát sinh</t>
  </si>
  <si>
    <t>Hoài Thương</t>
  </si>
  <si>
    <t>XI MĂNG NHỚ LẤY HÓA ĐƠN</t>
  </si>
  <si>
    <t>Anh đổng phụ trách</t>
  </si>
  <si>
    <t>KOVA</t>
  </si>
  <si>
    <t>HOÀI THƯƠNG</t>
  </si>
  <si>
    <t>Gạch</t>
  </si>
  <si>
    <t>MR THUẬN</t>
  </si>
  <si>
    <t>Vnlite</t>
  </si>
  <si>
    <t>HD0001548</t>
  </si>
  <si>
    <t>HD0001613</t>
  </si>
  <si>
    <t>Chi phí phường, thanh tra</t>
  </si>
  <si>
    <t xml:space="preserve">Chi mua vật </t>
  </si>
  <si>
    <t>Mr Hùng</t>
  </si>
  <si>
    <t>Chi phí điện nước</t>
  </si>
  <si>
    <t>QUẠT HÚT MÙI</t>
  </si>
  <si>
    <t>ĐÃ NHẬN HĐ</t>
  </si>
  <si>
    <t>DIAG - TRẦN PHÚ - Q5</t>
  </si>
  <si>
    <t>LOGO QUẢNG CÁO</t>
  </si>
  <si>
    <t>Lương thợ tính từ ngày</t>
  </si>
  <si>
    <t>DIAG - CAO THẮNG - Q10</t>
  </si>
  <si>
    <t>Số 1712-2019/HĐNT/VA-TVT</t>
  </si>
  <si>
    <t>27/03 đến 02/04.</t>
  </si>
  <si>
    <t>HD0000167 ( 90.981.880 )</t>
  </si>
  <si>
    <t>NHÂN CÔNG THÁO DỞ VỆ SINH</t>
  </si>
  <si>
    <t>Sao Mai Việt</t>
  </si>
  <si>
    <t xml:space="preserve">Chi phí mua vật tư </t>
  </si>
  <si>
    <t>Chi mua mẫu sơn trình khách</t>
  </si>
  <si>
    <t>Quỳnh KD phụ trách</t>
  </si>
  <si>
    <t>HD0000080</t>
  </si>
  <si>
    <t xml:space="preserve">Nhân công sơn </t>
  </si>
  <si>
    <t xml:space="preserve">GIÁ TRỊ QUYẾT TOÁN </t>
  </si>
  <si>
    <t>TỔNG ĐÃ THANH TOÁN</t>
  </si>
  <si>
    <t>GIỮ BẢO HÀNH</t>
  </si>
  <si>
    <t>GIÁ TRỊ THANH TOÁN SAU BẢO HÀNH</t>
  </si>
  <si>
    <t>TỔNG SỐ TIỀN CÒN PHẢI TRẢ</t>
  </si>
  <si>
    <t>SỐ TIỀN HĐƠN (ĐÃ NHẬN HĐƠN)</t>
  </si>
  <si>
    <t xml:space="preserve"> NCC LÀ CTY</t>
  </si>
  <si>
    <t>GHI CHÚ LƯƠNG THỢ</t>
  </si>
  <si>
    <t xml:space="preserve">HTMB SHINWON T17 </t>
  </si>
  <si>
    <t>Lương thợ phụ tính từ T06.2020</t>
  </si>
  <si>
    <t>X</t>
  </si>
  <si>
    <t>T06 - tuần 3</t>
  </si>
  <si>
    <t>Nhân công sơn nước</t>
  </si>
  <si>
    <t>Di dời Sprinkler</t>
  </si>
  <si>
    <t>Lương thợ phụ</t>
  </si>
  <si>
    <t>Tổng</t>
  </si>
  <si>
    <t xml:space="preserve">TỔNG </t>
  </si>
  <si>
    <t>HTMB SHINWON T17 CENTEC</t>
  </si>
  <si>
    <t xml:space="preserve">HTMB -VALT20 </t>
  </si>
  <si>
    <t>Lương thợ phụ tính từ T05.2020</t>
  </si>
  <si>
    <t>T05 - tuần 3</t>
  </si>
  <si>
    <t>T05 - tuần 4</t>
  </si>
  <si>
    <t>T06 - tuần 1</t>
  </si>
  <si>
    <t>Centec _ Ðăng</t>
  </si>
  <si>
    <t>????</t>
  </si>
  <si>
    <t>VAL T20 CENTEC</t>
  </si>
  <si>
    <t xml:space="preserve">VIETCREDIT </t>
  </si>
  <si>
    <t>T05 - tuần 2</t>
  </si>
  <si>
    <t>T06 - tuần 2</t>
  </si>
  <si>
    <t>KO VAT</t>
  </si>
  <si>
    <t>T06 - tuần 4</t>
  </si>
  <si>
    <t>T06 - tuần 5</t>
  </si>
  <si>
    <t>T07 - tuần 1</t>
  </si>
  <si>
    <t>KÍNH (MR TRUNG)</t>
  </si>
  <si>
    <t>AN THỊNH</t>
  </si>
  <si>
    <t>???</t>
  </si>
  <si>
    <t>122020.HDKT/TK-VA</t>
  </si>
  <si>
    <t xml:space="preserve">GHẾ </t>
  </si>
  <si>
    <t>CLEAN HOUSE</t>
  </si>
  <si>
    <t>05/2020/HĐKT</t>
  </si>
  <si>
    <t>CP phát sinh tầng 9</t>
  </si>
  <si>
    <t>MR PHU</t>
  </si>
  <si>
    <t>THUY KD</t>
  </si>
  <si>
    <t>HOANG ANH HOME</t>
  </si>
  <si>
    <t>ko VAT</t>
  </si>
  <si>
    <t>Khác: CP phạt</t>
  </si>
  <si>
    <t>Xe vận chuyển</t>
  </si>
  <si>
    <t>MR THUONG</t>
  </si>
  <si>
    <t>Thùng carton</t>
  </si>
  <si>
    <t>Mâm kệ kho</t>
  </si>
  <si>
    <t>NGỌC TÍN</t>
  </si>
  <si>
    <t>VIETCREDIT (Điện Biên Phủ)</t>
  </si>
  <si>
    <t>WH</t>
  </si>
  <si>
    <t xml:space="preserve">WH </t>
  </si>
  <si>
    <t>Quảng cáo LED</t>
  </si>
  <si>
    <t>Giải chi công trình</t>
  </si>
  <si>
    <t>Mr Tri thi cong</t>
  </si>
  <si>
    <t>Thư bảo lãnh 5%</t>
  </si>
  <si>
    <t>WH (tòa nhà Harmony, 47 PKK, Q1 )</t>
  </si>
  <si>
    <t xml:space="preserve">Thi công và lắp đặt khung xương </t>
  </si>
  <si>
    <t>THACH CAO CONG ANH</t>
  </si>
  <si>
    <t xml:space="preserve">Xe trung chuyển tấm trần </t>
  </si>
  <si>
    <t>THAO QS</t>
  </si>
  <si>
    <t>Nhân công hoàn thiện tấm trần</t>
  </si>
  <si>
    <t>TỔNG</t>
  </si>
  <si>
    <t xml:space="preserve"> TÒA NHÀ ĐỨC</t>
  </si>
  <si>
    <t>T01 - tuần 2</t>
  </si>
  <si>
    <t>T02 - tuần 2</t>
  </si>
  <si>
    <t>T02 - tuần 3</t>
  </si>
  <si>
    <t>T02 - tuần 4</t>
  </si>
  <si>
    <t>T03 - tuần 1</t>
  </si>
  <si>
    <t>T03 - tuần 2</t>
  </si>
  <si>
    <t>T04 - tuần 3</t>
  </si>
  <si>
    <t>T04 - tuần 4</t>
  </si>
  <si>
    <t xml:space="preserve">ĐIỆN LẠNH </t>
  </si>
  <si>
    <t>T05 - tuần 1</t>
  </si>
  <si>
    <t>MÁY LẠNH (đồng hồ đo lưu lượng)</t>
  </si>
  <si>
    <t>Giải chi thi công</t>
  </si>
  <si>
    <t>MR KHOA</t>
  </si>
  <si>
    <t>MR PHAT</t>
  </si>
  <si>
    <t>Vách cỏ</t>
  </si>
  <si>
    <t>Nhân công thạch cao</t>
  </si>
  <si>
    <t>Lương thợ phụ tính từ tháng 1.2020</t>
  </si>
  <si>
    <t>T03 - tuần 5</t>
  </si>
  <si>
    <t>SMARTOSC (PNhuận)</t>
  </si>
  <si>
    <t>T03 - tuần 3</t>
  </si>
  <si>
    <t>T03 - tuần 4</t>
  </si>
  <si>
    <t>T04 - tuần 1</t>
  </si>
  <si>
    <t>T04 - tuần 2</t>
  </si>
  <si>
    <t>Bộ chuyển camera</t>
  </si>
  <si>
    <t>MR THÁI (LIL)</t>
  </si>
  <si>
    <t>Ngoc Bich</t>
  </si>
  <si>
    <t>SMARTOSC (Tầng 2 tòa nhà ...HVT, Phú Nhuận)</t>
  </si>
  <si>
    <t>HTMB - SWE (T16)</t>
  </si>
  <si>
    <t>Giai chi HTMB</t>
  </si>
  <si>
    <t>Khoa thi công</t>
  </si>
  <si>
    <t>Xe vận chuyển HTMB</t>
  </si>
  <si>
    <t>MR Đồng</t>
  </si>
  <si>
    <t>HTMB - SWE (T16 Tòa nhà Đức)</t>
  </si>
  <si>
    <t>LOCALIZE</t>
  </si>
  <si>
    <t>?????</t>
  </si>
  <si>
    <t>Chân bàn sắt</t>
  </si>
  <si>
    <t>MR LIL</t>
  </si>
  <si>
    <t>Decal, logo</t>
  </si>
  <si>
    <t xml:space="preserve">NVG </t>
  </si>
  <si>
    <t>THI CÔNG HỆ THỐNG VP: CẢM BIẾN VÂN TAY, THẺ KHÓA TỪ</t>
  </si>
  <si>
    <t>NAM LONG SG</t>
  </si>
  <si>
    <t>Chi hoa hồng cho Mr.Bình</t>
  </si>
  <si>
    <t>Mr.Bình</t>
  </si>
  <si>
    <t>Ms.Thúy KD</t>
  </si>
  <si>
    <t>HTMB - SPN (T20)</t>
  </si>
  <si>
    <t>HTMB - SPN (Centec tầng 20)</t>
  </si>
  <si>
    <t>DIAG - Q9</t>
  </si>
  <si>
    <t>Loa, camera</t>
  </si>
  <si>
    <t>DIAG - Lê Văn Việt Q9</t>
  </si>
  <si>
    <t>DIAG - Q5</t>
  </si>
  <si>
    <t>Lương thợ</t>
  </si>
  <si>
    <t>DIAG - Q10</t>
  </si>
  <si>
    <t>Lương thợ từ tuần 3 tháng 2 năm 2020</t>
  </si>
  <si>
    <t>(Q9+Q10)</t>
  </si>
  <si>
    <t>Thư bảo lãnh Diag Cao Thắng</t>
  </si>
  <si>
    <t>CT MS.QUỲNH</t>
  </si>
  <si>
    <t>Lương thợ từ tháng 6 năm 2020</t>
  </si>
  <si>
    <t>CP xây dựng</t>
  </si>
  <si>
    <t>Kính</t>
  </si>
  <si>
    <t xml:space="preserve">Chi phí sơn nước </t>
  </si>
  <si>
    <t>Lan can sắt</t>
  </si>
  <si>
    <t>NHA QS</t>
  </si>
  <si>
    <t>CẢI TẠO MS.QUỲNH</t>
  </si>
  <si>
    <t xml:space="preserve">Vật tư điện </t>
  </si>
  <si>
    <t>Giải chi mua vật tư</t>
  </si>
  <si>
    <t>Chi hoa hồng CT PANA,BUNGE,SHINWON</t>
  </si>
  <si>
    <t>TT vật tư sơn CT WH,VIETCREDIT,MS.QUYNH</t>
  </si>
  <si>
    <t>Mr.Đồng &amp; Vacons</t>
  </si>
  <si>
    <t>NHIỀU CÔNG TRÌNH</t>
  </si>
  <si>
    <t>IPS SALA</t>
  </si>
  <si>
    <t>Chi phí BQL</t>
  </si>
  <si>
    <t>Hào thi công</t>
  </si>
  <si>
    <t>Lương thợ tuần 3 tháng 06</t>
  </si>
  <si>
    <t>Chi phí dự phòng thi công</t>
  </si>
  <si>
    <t>Hoàng thi công</t>
  </si>
  <si>
    <t>Lương thợ từ 31/7-6/8/20</t>
  </si>
  <si>
    <t>Bảo Minh Bến Thành</t>
  </si>
  <si>
    <t>Lương thợ từ 07/8-13/8/20</t>
  </si>
  <si>
    <t>Lương thợ từ 14/8-20/8/20</t>
  </si>
  <si>
    <t>Máy lạnh</t>
  </si>
  <si>
    <t>Trung Kiên</t>
  </si>
  <si>
    <t>Đơn hàng ống nước</t>
  </si>
  <si>
    <t>Phuoc Thanh</t>
  </si>
  <si>
    <t>Thi công sắt</t>
  </si>
  <si>
    <t>Đội Mr.Giang</t>
  </si>
  <si>
    <t>Mr.Màu</t>
  </si>
  <si>
    <t>Thi công bê tông, cán sàn</t>
  </si>
  <si>
    <t>Vật liệu xây dựng</t>
  </si>
  <si>
    <t>Phụ kiện BLS VVP</t>
  </si>
  <si>
    <t>Khánh Linh</t>
  </si>
  <si>
    <t>Ống nước</t>
  </si>
  <si>
    <t>Phước Thành</t>
  </si>
  <si>
    <t>Đơn hàng ống nước,máy bơm</t>
  </si>
  <si>
    <t>Đèn trang trí</t>
  </si>
  <si>
    <t>Bon</t>
  </si>
  <si>
    <t xml:space="preserve">Dây HDMI </t>
  </si>
  <si>
    <t>Quốc Duy</t>
  </si>
  <si>
    <t>JACCS T19</t>
  </si>
  <si>
    <t>Cọc thi công</t>
  </si>
  <si>
    <t>SAO PHƯƠNG NAM</t>
  </si>
  <si>
    <t>Ghế</t>
  </si>
  <si>
    <t>Hồ sơ bản vẽ</t>
  </si>
  <si>
    <t>Thành TC</t>
  </si>
  <si>
    <t>Ván ép</t>
  </si>
  <si>
    <t>Giấy cuộn</t>
  </si>
  <si>
    <t>Vật tư điện</t>
  </si>
  <si>
    <t>Bảo Hiểm công trình</t>
  </si>
  <si>
    <t>Bảo Hiểm tai nạn</t>
  </si>
  <si>
    <t>Căng Holding</t>
  </si>
  <si>
    <t>THẮNG QC</t>
  </si>
  <si>
    <t>Thảm</t>
  </si>
  <si>
    <t>Vinafloor</t>
  </si>
  <si>
    <t>Ghế Pantry</t>
  </si>
  <si>
    <t xml:space="preserve">Đại Thuận </t>
  </si>
  <si>
    <t>Minh Thiện (Mr.Quân)</t>
  </si>
  <si>
    <t>Đơn hàng lạnh,máy hút khói</t>
  </si>
  <si>
    <t xml:space="preserve">Trần thạch cao </t>
  </si>
  <si>
    <t>Cửa chống cháy</t>
  </si>
  <si>
    <t>Nội thất</t>
  </si>
  <si>
    <t>Hợp Nhất</t>
  </si>
  <si>
    <t>The mia</t>
  </si>
  <si>
    <t>Mr.Thuận</t>
  </si>
  <si>
    <t>vách và trần thạch cao</t>
  </si>
  <si>
    <t>Mr.Thường</t>
  </si>
  <si>
    <t>thi công nền</t>
  </si>
  <si>
    <t>Mr.Tâm</t>
  </si>
  <si>
    <t>Dfurni</t>
  </si>
  <si>
    <t>VIETCREDIT T7</t>
  </si>
  <si>
    <t>căng Holding+Decal+Nhân công</t>
  </si>
  <si>
    <t xml:space="preserve">Logo </t>
  </si>
  <si>
    <t>Nam Thuận ENEGRY- CT Năm 2019</t>
  </si>
  <si>
    <t>NAM THUẬN ENEGRY</t>
  </si>
  <si>
    <t>AQUA SONATUS-CT Năm 2019</t>
  </si>
  <si>
    <t>Nam Thuận T19 - CT Năm 2019</t>
  </si>
  <si>
    <t>TỔNG CÁC CÔNG TRÌNH</t>
  </si>
  <si>
    <t>SUBTOTAL</t>
  </si>
  <si>
    <t>Chênh lệch công trình</t>
  </si>
  <si>
    <t>OK</t>
  </si>
  <si>
    <t>GIẢI CHI TẠM ỨNG CÔNG TRÌNH</t>
  </si>
  <si>
    <t>SỐ TIỀN CHI THÊM</t>
  </si>
  <si>
    <t>Nam Thuận</t>
  </si>
  <si>
    <t>Nguyễn Văn Đồng</t>
  </si>
  <si>
    <t>Bombus</t>
  </si>
  <si>
    <t>Chi phí mua cây xanh giả</t>
  </si>
  <si>
    <t>Vacons</t>
  </si>
  <si>
    <t>Chi phí cúng tất niên</t>
  </si>
  <si>
    <t>Aqua</t>
  </si>
  <si>
    <t>Chi phí đồ dùng văn phòng</t>
  </si>
  <si>
    <t>HTMB T20 Centec</t>
  </si>
  <si>
    <t>Diag  Lê Văn Việt Q.9</t>
  </si>
  <si>
    <t>Diag Cao Thắng Q.10</t>
  </si>
  <si>
    <t>Localize</t>
  </si>
  <si>
    <t>Smart OSC</t>
  </si>
  <si>
    <t>NVG</t>
  </si>
  <si>
    <t>HPI</t>
  </si>
  <si>
    <t>Đồ dùng văn phòng</t>
  </si>
  <si>
    <t>Mua hoa ,đất,phân</t>
  </si>
  <si>
    <t>Mua khẩu trang y tế ,hóa chất diệt khuẩn</t>
  </si>
  <si>
    <t>Mua cát ,xi măng ,đá</t>
  </si>
  <si>
    <t>Bạc ,ván, keo</t>
  </si>
  <si>
    <t>SWE HTMB T16</t>
  </si>
  <si>
    <t>Huỳnh Kim Thành</t>
  </si>
  <si>
    <t>Dư tiền cty giải chi tiếp 30/05/2020</t>
  </si>
  <si>
    <t>Vật tư ,trang thiết bị</t>
  </si>
  <si>
    <t>Mua dầu nhớt bảo dưỡng giàn giáo</t>
  </si>
  <si>
    <t>Nam Thuận MR T19</t>
  </si>
  <si>
    <t>Vật tư công trình</t>
  </si>
  <si>
    <t>Dư tiền cty giải chi tiếp 01/07/2020</t>
  </si>
  <si>
    <t>VCB Dư tiền cty giải chi tiếp 27/07/2020</t>
  </si>
  <si>
    <t>Vật tư thi công</t>
  </si>
  <si>
    <t>Hoàng Phúc</t>
  </si>
  <si>
    <t>Đem tiền CT Locallize sang Hoàng Phúc chi</t>
  </si>
  <si>
    <t>VAL</t>
  </si>
  <si>
    <t>GUANDIAN Q4</t>
  </si>
  <si>
    <t>Xử lý công việc tồn động</t>
  </si>
  <si>
    <t>Mr Lil</t>
  </si>
  <si>
    <t>TM (Ko giải chi)</t>
  </si>
  <si>
    <t>VIETCREDIT</t>
  </si>
  <si>
    <t>Mr Phú</t>
  </si>
  <si>
    <t>IPS (KHU ĐÔ THỊ SALA)</t>
  </si>
  <si>
    <t>Mr Hào</t>
  </si>
  <si>
    <t>Thi công PCCC</t>
  </si>
  <si>
    <t>Bên kỹ thuật</t>
  </si>
  <si>
    <t>TCB (Ko giải chi)</t>
  </si>
  <si>
    <t>DIAG Q10 (TẦNG TRÊN CÙNG)</t>
  </si>
  <si>
    <t>Tạm ứng chi phí gạch men lát nền và dự phòng</t>
  </si>
  <si>
    <t>NHA CHỊ KHUYẾN</t>
  </si>
  <si>
    <t>Nhân công sơn 2, thợ xây 1.5</t>
  </si>
  <si>
    <t>Mr Thảo TK</t>
  </si>
  <si>
    <t>TM (K giải chi)</t>
  </si>
  <si>
    <t xml:space="preserve">NAM THUẬN </t>
  </si>
  <si>
    <t>Qùa biếu khách hàng SWE - NT</t>
  </si>
  <si>
    <t>VIETCREDIT T9</t>
  </si>
  <si>
    <t>Lắp đồng hồ điện</t>
  </si>
  <si>
    <t>Vật tư thi công phát sinh</t>
  </si>
  <si>
    <t>NAM THUẬN MR T19</t>
  </si>
  <si>
    <t>Tạm ứng chi phí tiếp khách</t>
  </si>
  <si>
    <t>JACCS (VĂN PHÒNG T20-21)</t>
  </si>
  <si>
    <t>TCB Dư tiền cty giải chi tiếp 09/12/2020</t>
  </si>
  <si>
    <t xml:space="preserve">Mua vật tư phụ </t>
  </si>
  <si>
    <t>MÃ CÔNG TRÌNH</t>
  </si>
  <si>
    <t>HĐ VAT</t>
  </si>
  <si>
    <t>THỜI GIAN BH</t>
  </si>
  <si>
    <t>HTMB SHINWON T17</t>
  </si>
  <si>
    <t>NC Thạch cao</t>
  </si>
  <si>
    <t>BẢO TRÌ ĐL</t>
  </si>
  <si>
    <t>HTMB -VALT20 (Buge - SAO PHƯƠNG NAM)</t>
  </si>
  <si>
    <t>TUẦN 2/9</t>
  </si>
  <si>
    <t>Chi phí công trình (Sao Phương Nam )</t>
  </si>
  <si>
    <t>Vãng Lai (Lý Đăng Khoa)</t>
  </si>
  <si>
    <t>THI CÔNG VÁCH CENTEC - NC</t>
  </si>
  <si>
    <t>THẠCH CAO ( gói Phát sinh)</t>
  </si>
  <si>
    <t>Lương thợ từ 21/8-27/8/20</t>
  </si>
  <si>
    <t>SƠN NƯỚC ( GÓI PHÁT SINH)</t>
  </si>
  <si>
    <t>Phí bồi dưỡng khách hàng</t>
  </si>
  <si>
    <t>Mr An ( Ms Thúy gửi tiền mặt trực tiếp)</t>
  </si>
  <si>
    <t>Chi phí duyệt hồ sơ tòa nhà</t>
  </si>
  <si>
    <t>Vãng Lai ( CK Mr Thành TC)</t>
  </si>
  <si>
    <t>Trả khoản thu hộ cho khách hàng</t>
  </si>
  <si>
    <t>Nguyễn Ngọc An</t>
  </si>
  <si>
    <t>Chi phí bồi dưỡng cho khách hàng</t>
  </si>
  <si>
    <t>Phát sinh sau HD</t>
  </si>
  <si>
    <t>Lá chắn thép</t>
  </si>
  <si>
    <t>Cp máy lạnh server và thu lại 60%</t>
  </si>
  <si>
    <t>MR Hoàng - Trung Kiên</t>
  </si>
  <si>
    <t>thu lại TM 22/9</t>
  </si>
  <si>
    <t>Thi công sơn nước</t>
  </si>
  <si>
    <t>MS Ngoc Bich</t>
  </si>
  <si>
    <t>Quà biếu khách hàng SWE - Nam Thuận</t>
  </si>
  <si>
    <t>Nguyễn Thị Thúy Diễm</t>
  </si>
  <si>
    <t>Lê Minh Trí (Thi Công)</t>
  </si>
  <si>
    <t>Chi phí đồ mộc (phát sinh)</t>
  </si>
  <si>
    <t>Hợp Nhẩt</t>
  </si>
  <si>
    <t>Huỳnh Kim Thành (TC)</t>
  </si>
  <si>
    <t>Tạm ứng xử lý sàn đợt 1 (25%)</t>
  </si>
  <si>
    <t>Mr Nguyên (Lê Xuân Nguyên)</t>
  </si>
  <si>
    <t>NC sơn nước</t>
  </si>
  <si>
    <t>Chi phí đèn dowlight</t>
  </si>
  <si>
    <t>Công Ty TNHH MTV TM Ánh Sáng Tuấn Khương</t>
  </si>
  <si>
    <t>Thi công lắp đặt khung sắt cho kính</t>
  </si>
  <si>
    <t>Cán nền + xây tô</t>
  </si>
  <si>
    <t>Tuần 1/9</t>
  </si>
  <si>
    <t>Tuần 2/9</t>
  </si>
  <si>
    <t>Tuần 3/9</t>
  </si>
  <si>
    <t>Tuần 4/9</t>
  </si>
  <si>
    <t>Tuần 5/9</t>
  </si>
  <si>
    <t>Tuần 1/10</t>
  </si>
  <si>
    <t>NGÂN HÀNG</t>
  </si>
  <si>
    <t>Bảo hiểm công trình Tầng 6</t>
  </si>
  <si>
    <t>Thi công khung sắt</t>
  </si>
  <si>
    <t>CTY KH VIỆT ( Sanota)</t>
  </si>
  <si>
    <t>Thiết bị máy lạnh</t>
  </si>
  <si>
    <t>vtu + nc</t>
  </si>
  <si>
    <t>Cung cấp và thi công lắp đặt trần nhôm</t>
  </si>
  <si>
    <t>TRẦN NHÔM</t>
  </si>
  <si>
    <t>Trần gỗ tiêu âm</t>
  </si>
  <si>
    <t>Cung cấp và thi công tấm nhựa ốp tường</t>
  </si>
  <si>
    <t>MS THỜI ( HOÀNG ANH HOME)</t>
  </si>
  <si>
    <t xml:space="preserve">Đèn </t>
  </si>
  <si>
    <t>Chi phí ngoại giao</t>
  </si>
  <si>
    <t>Đồ mộc</t>
  </si>
  <si>
    <t>Cung cấp và thi công lắp đặt rèm</t>
  </si>
  <si>
    <t>Mr Thiện</t>
  </si>
  <si>
    <t xml:space="preserve">Cung cấp và thi công lắp đặt kính </t>
  </si>
  <si>
    <t>Cung cấp và thi công lắp đặt thạch cao</t>
  </si>
  <si>
    <t>Mr Công Ánh</t>
  </si>
  <si>
    <t>Giải chi chi phí công trình</t>
  </si>
  <si>
    <t>Mr Trà</t>
  </si>
  <si>
    <t>Công Ty TNHH MTV Thương Mại Ánh Sáng Tuấn Khương</t>
  </si>
  <si>
    <t>Chi phí cung cấp và thi công lắp đặt đồ mộc</t>
  </si>
  <si>
    <t>Chi phí cung cấp và thi công sơn nước</t>
  </si>
  <si>
    <t>Mr Hiểu Phong</t>
  </si>
  <si>
    <t>Thi công điện</t>
  </si>
  <si>
    <t>Chi phí công trình (Nam Thuận,Bombus,Vacons)</t>
  </si>
  <si>
    <t>Chi phí công trình (KVB)</t>
  </si>
  <si>
    <t>Chi phí mua đồ dùng văn phòng</t>
  </si>
  <si>
    <t>Chi phí vật tư ,thiết bị</t>
  </si>
  <si>
    <t>Chi phí mua dầu nhớt bảo dưỡng giàn giáo</t>
  </si>
  <si>
    <t>Chi phí công trình (NVG,HPI)</t>
  </si>
  <si>
    <t>Chi phí công trình (NVG,KVB)</t>
  </si>
  <si>
    <t>Trần Trung Kiên (TC)</t>
  </si>
  <si>
    <t>Tạm ứng đơn hàng đèn CT Jaccs+IPS</t>
  </si>
  <si>
    <t>BẢO TRÌ ĐL VP TYME</t>
  </si>
  <si>
    <t>PUB,GUARDIAN,TYME,BOMBUS</t>
  </si>
  <si>
    <t>DỰ ÁN CMC</t>
  </si>
  <si>
    <t>CTY CMC</t>
  </si>
  <si>
    <t>Đèn trình mẫu</t>
  </si>
  <si>
    <t>chi phí BQL (GUARDIAN)</t>
  </si>
  <si>
    <t>TÒA NHÀ GUARDIAN</t>
  </si>
  <si>
    <t>Vật tư nhập kho Vacons</t>
  </si>
  <si>
    <t>Tiến Trường,Miền Tây,An Lợi Phát</t>
  </si>
  <si>
    <t>Access Control,camera (WH,VIETCREDIT,LOCALIZE)</t>
  </si>
  <si>
    <t>Nam Long ( Anh Thái)</t>
  </si>
  <si>
    <t>Vận chuyển vật tư,rác (JACCS,IPS,DIAG,UOA)</t>
  </si>
  <si>
    <t>Tạm ứng trả tiền nhân công (NHÀ CHỊ KHUYẾN)</t>
  </si>
  <si>
    <t>Lê Công Thảo (Thiết Kế)</t>
  </si>
  <si>
    <t>Vệ sinh máy lạnh ,sửa máy lạnh (TYME,NTMK,JACCS)</t>
  </si>
  <si>
    <t>TRUNG KIÊN (Hoàng Lạnh)</t>
  </si>
  <si>
    <t>Cung cấp sơn (DIAG ,JACCS,NTMK,IPS)</t>
  </si>
  <si>
    <t>Chung Thành</t>
  </si>
  <si>
    <t>Chi hoa hồng shop Trần Cao Vân (Hoàng Phúc Quốc Tế)</t>
  </si>
  <si>
    <t>Mạnh Thị Hảo</t>
  </si>
  <si>
    <t>Vận chuyển vật tư,rác (NTMK,SRF,UOA,JACCS)</t>
  </si>
  <si>
    <t>Chi phí cho bên kỹ thuật CT REETECH</t>
  </si>
  <si>
    <t>Kỹ thuật CT REETECH</t>
  </si>
  <si>
    <t>Miền Tây</t>
  </si>
  <si>
    <t>Thi công PCCC (VP GUARDIAN - Tòa nhà Phượng Long)</t>
  </si>
  <si>
    <t>Vãng Lai</t>
  </si>
  <si>
    <t>Tạm ứng đợt 1 50%  tủ đựng vật dụng công trình (Nhập kho)</t>
  </si>
  <si>
    <t xml:space="preserve"> Mr Giang</t>
  </si>
  <si>
    <t>Guardian (Thủ Đức)</t>
  </si>
  <si>
    <t>Vận chuyển rác (SRF,JACCS,LOCALLIZE,REE,UOA,LAVIE)</t>
  </si>
  <si>
    <t>Camera ,phát sóng wifi 3G (VP Cty)</t>
  </si>
  <si>
    <t>Mr Thái Access control</t>
  </si>
  <si>
    <t>Chi phí công trình (đồng hồ điện kho vacons)</t>
  </si>
  <si>
    <t>Bảo trì &amp; cải tạo (TYME)</t>
  </si>
  <si>
    <t>Nhân công điện (TYME)</t>
  </si>
  <si>
    <t>Mr Thuận</t>
  </si>
  <si>
    <t>Vật tư nhập kho Vacons (Bạt che 2 mặt)</t>
  </si>
  <si>
    <t>Vận chuyển rác (CNT,JACCS,HTMB,VIETCREDIT,SRF)</t>
  </si>
  <si>
    <t>Mr Trường</t>
  </si>
  <si>
    <t>Chi phí dây HDMI (Nhập kho Vacons)</t>
  </si>
  <si>
    <t>Công Ty TNHH TM Công Nghệ KTC</t>
  </si>
  <si>
    <t>18 tháng</t>
  </si>
  <si>
    <t>Lấy hóa đơn</t>
  </si>
  <si>
    <t>Chi phí nhân công điện (Lavie,Bombus,NVG)</t>
  </si>
  <si>
    <t>Nguyễn Thế Thuận</t>
  </si>
  <si>
    <t>Chi phí đơn hàng hệ thống lạnh (Guardian Q.4)</t>
  </si>
  <si>
    <t>Vật tư điện (Kho vacons)</t>
  </si>
  <si>
    <t>Chi phí hoa hồng shop Trần Cao Vân (Hoàng Phúc Quốc Tế)</t>
  </si>
  <si>
    <t>Trần Thanh Nhã</t>
  </si>
  <si>
    <t>Chi phí nhân công điện (Guardian Q.4)</t>
  </si>
  <si>
    <t>Mai Đình Hân</t>
  </si>
  <si>
    <t>Chi phí vật tư sơn (SRF,Jaccs T15,CNT,UOA,NVG)</t>
  </si>
  <si>
    <t>Chi phí quản lý giới thiệu (Ree)</t>
  </si>
  <si>
    <t xml:space="preserve">A.Hà </t>
  </si>
  <si>
    <t>Chi phí vận chuyển đồ (Nhà chị Phụng)</t>
  </si>
  <si>
    <t>Mr Cường (vận chuyển)</t>
  </si>
  <si>
    <t>Chi phí đơn hàng lạnh ,PCCC ( HTMB T2,Jaccs T15,T7)</t>
  </si>
  <si>
    <t>Mr Đăng - Kỹ Thuật Centec</t>
  </si>
  <si>
    <t>Chi phí mừng đám cưới Agency toàn nhà Centec</t>
  </si>
  <si>
    <t>Đặng Thế Mỹ</t>
  </si>
  <si>
    <t>Chi phí vật tư (Kho Vacons)</t>
  </si>
  <si>
    <t>Tiến Trường,Miền Tây ,Lê Hùng ,Khai Trí</t>
  </si>
  <si>
    <t>Chi phí mua ruột tượng (Kho Vacons)</t>
  </si>
  <si>
    <t>Công Ty TNHH MTV Thương Mại Kỹ Thuật Điện Thúy Nhi</t>
  </si>
  <si>
    <t>Chi phí cung cấp và thi công lắp đặt kính</t>
  </si>
  <si>
    <t>Chi phí đơn hàng ổ cắm HDMI (Kho Vacons)</t>
  </si>
  <si>
    <t>Công Ty TNHH Thương Mại Công Nghệ KTC</t>
  </si>
  <si>
    <t>Chi phí đơn hàng vòi nước (TYME)</t>
  </si>
  <si>
    <t>Công Ty TNHH XNK DV TM XD Hoàng Hùng</t>
  </si>
  <si>
    <t>Chi phí đơn hàng nhãn in (Kho Vacons)</t>
  </si>
  <si>
    <t>Công Ty TNHH TM DV Viễn Thông Miền Nam</t>
  </si>
  <si>
    <t>Chi phí thay đèn led (TYME)</t>
  </si>
  <si>
    <t>Chi phí cung cấp và thi công lắp đặt mâm ghế bar (Fujitsu bảo hành)</t>
  </si>
  <si>
    <t>Công Ty TNHH SX TM DV Chung Hồng Phúc</t>
  </si>
  <si>
    <t>Vận chuyển vật tư ,rác ( Jaccs T15,CNT,Vietcredit T07 &amp; T08,Awot,SJ,OM,Diag,SJ,UR)</t>
  </si>
  <si>
    <t>Chi phí đơn hàng máy lạnh (TYME,JACCS T15)</t>
  </si>
  <si>
    <t>Công Ty TNHH Thương Mại Dịch Vụ Kỹ Thuật Cơ Điện Lạnh Trung Kiên</t>
  </si>
  <si>
    <t>Vận chuyển vật tư ,rác ( Awot,HTMB T2 centec,Sala,Vietcredit T07 &amp; T08,UOA,Diag Nguyễn Du,BNP,Diag Cao Thắng,CNT,OM)</t>
  </si>
  <si>
    <t>Giải chi , chi phí dự phòng thi công , mua gạch men</t>
  </si>
  <si>
    <t xml:space="preserve">Chi phí nhân công và phụ kiện </t>
  </si>
  <si>
    <t>Tấm sợi tiêu âm trần</t>
  </si>
  <si>
    <t>cty CP I.S</t>
  </si>
  <si>
    <t>MR ĐỨC ( HOCHIKI)</t>
  </si>
  <si>
    <t xml:space="preserve">Bảo hành 12 tháng </t>
  </si>
  <si>
    <t>Số báo giá PC2 -040820 ngày báo giá 10/09/2020</t>
  </si>
  <si>
    <t>rèm</t>
  </si>
  <si>
    <t>Thiên Lộc</t>
  </si>
  <si>
    <t>Thuận Hưng</t>
  </si>
  <si>
    <t>Thi công mài sàn</t>
  </si>
  <si>
    <t>MR NAM - Nam Phát</t>
  </si>
  <si>
    <t>Thi công thạch cao</t>
  </si>
  <si>
    <t>MR Thường</t>
  </si>
  <si>
    <t xml:space="preserve">Kính  + khoản đền bù </t>
  </si>
  <si>
    <t>Lắp đặt đá - MS Tuyền</t>
  </si>
  <si>
    <t>MS Tuyền</t>
  </si>
  <si>
    <t>Thi công VSCN</t>
  </si>
  <si>
    <t>Mr.Luyện</t>
  </si>
  <si>
    <t>Cung cấp và thi công màn sáo cuộn</t>
  </si>
  <si>
    <t>Chi phí vật liệu xây dựng</t>
  </si>
  <si>
    <t>Phạm Tường</t>
  </si>
  <si>
    <t>Sao Phương Nam</t>
  </si>
  <si>
    <t>Trọng Tín</t>
  </si>
  <si>
    <t>Mr.Giàu ( Cty TNHH GIẢI PHÁP AN TOÀN SG)</t>
  </si>
  <si>
    <t>VnLite ( TUẤN KHƯƠNG)</t>
  </si>
  <si>
    <t>Thi công vách kính</t>
  </si>
  <si>
    <t>An Thịnh (Mr.Trung)</t>
  </si>
  <si>
    <t>Thi công vách ngăn di động</t>
  </si>
  <si>
    <t>Enforce</t>
  </si>
  <si>
    <t>0000250</t>
  </si>
  <si>
    <t>Phụ kiện VVP</t>
  </si>
  <si>
    <t xml:space="preserve">Mua máy bơm nước </t>
  </si>
  <si>
    <t>Giường xếp</t>
  </si>
  <si>
    <t>Đức Lợi</t>
  </si>
  <si>
    <t xml:space="preserve">Phụ kiện cửa </t>
  </si>
  <si>
    <t>Mr Tuan - HELEFE</t>
  </si>
  <si>
    <t xml:space="preserve">VLXD </t>
  </si>
  <si>
    <t>Rèm</t>
  </si>
  <si>
    <t>Dây cáp mạng</t>
  </si>
  <si>
    <t>Vách thạch cao</t>
  </si>
  <si>
    <t>Mr Thường</t>
  </si>
  <si>
    <t>Cáp quang</t>
  </si>
  <si>
    <t>Mr Phi (VNPT)</t>
  </si>
  <si>
    <t>CHÉN CHỤP PCCC</t>
  </si>
  <si>
    <t>Mr Nam</t>
  </si>
  <si>
    <t>Phụ kiện cửa kính Halefe</t>
  </si>
  <si>
    <t xml:space="preserve"> VIETCREDIT 1051 T7 &amp;T8</t>
  </si>
  <si>
    <t>Tuần 2/11</t>
  </si>
  <si>
    <t>Tuần 3/11</t>
  </si>
  <si>
    <t>Đặt cọc bảo đảm dự thầu</t>
  </si>
  <si>
    <t>Công Ty Tài Chính Cổ Phần Tín Việt</t>
  </si>
  <si>
    <t>Tuần 4/11</t>
  </si>
  <si>
    <t>Tuần 01/12</t>
  </si>
  <si>
    <t>Đặt cọc ký quỹ thi công</t>
  </si>
  <si>
    <t>Công Ty Cổ Phần Đầu Tư An Thùy Anh</t>
  </si>
  <si>
    <t>Tuần 02/12</t>
  </si>
  <si>
    <t>Chi phí cung cấp và thi công lắp đặt thảm</t>
  </si>
  <si>
    <t>12 tháng</t>
  </si>
  <si>
    <t>Tuần 03/12</t>
  </si>
  <si>
    <t xml:space="preserve">Tạm ứng đợt 1 đơn hàng máy lạnh </t>
  </si>
  <si>
    <t>Phúc Hưng</t>
  </si>
  <si>
    <t>Tuần 04/12</t>
  </si>
  <si>
    <t>Chi phí cung cấp và lắp đặt kính</t>
  </si>
  <si>
    <t>Mr Trung</t>
  </si>
  <si>
    <t xml:space="preserve">Chi phí cung cấp và thi công lắp đặt máy lạnh </t>
  </si>
  <si>
    <t>Công Ty TNHH TM DV Kỹ Thuật Cơ Điện Lạnh Trung Kiên</t>
  </si>
  <si>
    <t>Chi phí đơn hàng máy lạnh</t>
  </si>
  <si>
    <t>Chi phí đơn hàng đèn</t>
  </si>
  <si>
    <t>Công Ty TNHH Công Nghệ Và Thương Mại Megaline</t>
  </si>
  <si>
    <t>Chi phí cung cấp và thi công đơn hàng Accesscontrol - Camera</t>
  </si>
  <si>
    <t>Công Ty TNHH TM Dịch Vụ Nam Long SG</t>
  </si>
  <si>
    <t>Chi phí cung cấp và thi công cửa chống cháy</t>
  </si>
  <si>
    <t>Công Ty TNHH Giải Pháp An Toàn Sài Gòn</t>
  </si>
  <si>
    <t xml:space="preserve">Chi phí cung cấp và thi công cán nền </t>
  </si>
  <si>
    <t>Chi phí cung cấp và  thi công khung sàn thép bảo vệ giàn nóng máy lạnh</t>
  </si>
  <si>
    <t>Mr Giang</t>
  </si>
  <si>
    <t>Chi phí cung cấp đơn hàng phụ kiện VVP</t>
  </si>
  <si>
    <t>Nguyễn Quang</t>
  </si>
  <si>
    <t>Chi phí đơn hàng thạch cao</t>
  </si>
  <si>
    <t>Chi phí đơn hàng ghế gấp</t>
  </si>
  <si>
    <t>Công Ty TNHH SX &amp; TM 190 Sài Gòn</t>
  </si>
  <si>
    <t>0030652</t>
  </si>
  <si>
    <t>Đã lấy hóa đơn : 11/12/2020</t>
  </si>
  <si>
    <t xml:space="preserve">Chi phí tiếp khách </t>
  </si>
  <si>
    <t>Chi phí đơn hàng PCCC</t>
  </si>
  <si>
    <t>Công Ty TNHH - XD - TM - Kỹ Thuật - Ánh Phương Nam</t>
  </si>
  <si>
    <t>Đặng Thế Mỹ (nhận tiền mặt) đưa Mr An</t>
  </si>
  <si>
    <t>Chi phí nhân công điện</t>
  </si>
  <si>
    <t>Công Ty TNHH TM DV TT NT Lê Phong</t>
  </si>
  <si>
    <t>Chi phí vận chuyển</t>
  </si>
  <si>
    <t>Chi phí vệ sinh công nghiệp</t>
  </si>
  <si>
    <t>Công Ty TNHH Thương Mại Dịch Vụ Đầu Tư Sao Mai Việt Clean House</t>
  </si>
  <si>
    <t>Chi phí cung cấp và thi công lắp đặt màn sáo</t>
  </si>
  <si>
    <t>Công Ty TNHH SX Trang Trí Nội Thất Thiên Lộc</t>
  </si>
  <si>
    <t>Tuần 4/10</t>
  </si>
  <si>
    <t>Chi phí vật tư</t>
  </si>
  <si>
    <t>Chi phí cung cấp và thi công lắp đặt nội thất</t>
  </si>
  <si>
    <t>Chi phí đơn hàng kệ kho</t>
  </si>
  <si>
    <t>Công Ty TNHH MTV Cơ Khí Như Phong</t>
  </si>
  <si>
    <t>Bảo lãnh</t>
  </si>
  <si>
    <t xml:space="preserve">Vietin </t>
  </si>
  <si>
    <t>Đức Phương</t>
  </si>
  <si>
    <t xml:space="preserve">Đèn xuyên sáng </t>
  </si>
  <si>
    <t>Công Ty TNHH Xây Dựng Vận Tải Kiến An</t>
  </si>
  <si>
    <t>Đặt cọc tòa nhà Centec</t>
  </si>
  <si>
    <t>Công Ty Cổ Phần Sao Phương Nam</t>
  </si>
  <si>
    <t>Tuần 5/09</t>
  </si>
  <si>
    <t>đồ mộc</t>
  </si>
  <si>
    <t>CP xả nước hệ thống chữa cháy</t>
  </si>
  <si>
    <t>Mr Khoa Thi Công</t>
  </si>
  <si>
    <t>Tuần 2/12</t>
  </si>
  <si>
    <t>Mr Thương</t>
  </si>
  <si>
    <t>Di dời đầu Prinkler</t>
  </si>
  <si>
    <t>Mr Thái Prinkler</t>
  </si>
  <si>
    <t>Thi công báo khói ,hệ thống lạnh</t>
  </si>
  <si>
    <t>Đăng Kỹ Thuật Centec</t>
  </si>
  <si>
    <t>Chi phí đơn hàng ghế</t>
  </si>
  <si>
    <t>Công Ty Cổ Phần Nội Thất Furni</t>
  </si>
  <si>
    <t>Đặt cọc tòa nhà Centec cải tạo Jaccs T15</t>
  </si>
  <si>
    <t>Chi phí bảo hiểm công trình (cải tạo Jaccs T09)</t>
  </si>
  <si>
    <t>Công Ty Bảo Minh Bến Thành</t>
  </si>
  <si>
    <t>Chi phí bảo hiểm công trình (cải tạo Jaccs T11)</t>
  </si>
  <si>
    <t>Decal cải tạo Jaccs T15</t>
  </si>
  <si>
    <t>Chi phí vách ngăn di động</t>
  </si>
  <si>
    <t>Công Ty TNHH Xây Dưng Enforce</t>
  </si>
  <si>
    <t xml:space="preserve">Chi phí đơn hàng thảm </t>
  </si>
  <si>
    <t>Công Ty TNHH Vinafloor</t>
  </si>
  <si>
    <t xml:space="preserve">Lấy hóa đơn </t>
  </si>
  <si>
    <t>Chi phí nhân công sơn nước</t>
  </si>
  <si>
    <t xml:space="preserve">Chi phí đơn hàng logo,decal </t>
  </si>
  <si>
    <t>Chi phí bảo trì máy lạnh</t>
  </si>
  <si>
    <t>JACCS T20+21</t>
  </si>
  <si>
    <t>Nội thất gói ps tủ di động</t>
  </si>
  <si>
    <t>Tủ điện</t>
  </si>
  <si>
    <t>Hưng Thịnh</t>
  </si>
  <si>
    <t>Tuần 2/10</t>
  </si>
  <si>
    <t>thiết bị vòi nước</t>
  </si>
  <si>
    <t>Mr Minh Tuấn</t>
  </si>
  <si>
    <t>Tuần 3/10</t>
  </si>
  <si>
    <t>DI DỜI MÁY LẠNH</t>
  </si>
  <si>
    <t xml:space="preserve">Mr Minh </t>
  </si>
  <si>
    <t>Nhân công điện t19 &amp; T20+21</t>
  </si>
  <si>
    <t>Bế tách mỡ lắp pantry Jaccs</t>
  </si>
  <si>
    <t>Cty Việt Cường Thịnh</t>
  </si>
  <si>
    <t>DÂY CÁP MẠNG</t>
  </si>
  <si>
    <t>Mr Quốc Duy</t>
  </si>
  <si>
    <t>Chung Hồng Phúc (Mr Vũ) - Đại Thuận</t>
  </si>
  <si>
    <t>Tín Phát</t>
  </si>
  <si>
    <t>Tạm ứng thi công lắp đặt kính</t>
  </si>
  <si>
    <t>Mr.Trung</t>
  </si>
  <si>
    <t>Chi phí Grab chuyển hồ sơ hoàn công PCCC</t>
  </si>
  <si>
    <t>Phan Như Quỳnh KD</t>
  </si>
  <si>
    <t>Nhân công sơn nước,cứu hỏa</t>
  </si>
  <si>
    <t>Tạm ứng 40% đơn hàng FM200</t>
  </si>
  <si>
    <t>Công Ty TNHH Thiết Kế Phòng Cháy Chữa Cháy Phú Hưng</t>
  </si>
  <si>
    <t>Thùng carton , màng xốp hơi</t>
  </si>
  <si>
    <t>Vietbox</t>
  </si>
  <si>
    <t>Đơn hàng kính</t>
  </si>
  <si>
    <t>Mr Trung Kính</t>
  </si>
  <si>
    <t>In thiệp chúc mừng dự án</t>
  </si>
  <si>
    <t>Phan Như Quỳnh</t>
  </si>
  <si>
    <t>Bàn</t>
  </si>
  <si>
    <t>Tạm ứng đợt 1 gói vận chuyển nội thất</t>
  </si>
  <si>
    <t>Trương Văn Trường</t>
  </si>
  <si>
    <t>Cửa chống cháy thoát hiểm tòa nhà</t>
  </si>
  <si>
    <t>Ban Quản Lý Tòa Nhà</t>
  </si>
  <si>
    <t>Kệ sắt</t>
  </si>
  <si>
    <t>Phú Hưng</t>
  </si>
  <si>
    <t>Vệ sinh công nghiệp</t>
  </si>
  <si>
    <t>Ms Châu (Dịch Vụ Vệ Sinh Công Nghiệp Ánh Sao)</t>
  </si>
  <si>
    <t>Nhân công lắp đồ mộc</t>
  </si>
  <si>
    <t>Mr Ngân</t>
  </si>
  <si>
    <t>Đơn hàng cáp quang</t>
  </si>
  <si>
    <t>Nhân công vận chuyển</t>
  </si>
  <si>
    <t>Nhân công vận chuyển,sắp xếp tủ bàn</t>
  </si>
  <si>
    <t>Chi phí thay bánh xe ghế nhân viên</t>
  </si>
  <si>
    <t>Công Ty CP Thiết Bị Công Nghệ Trọng Tín</t>
  </si>
  <si>
    <t>Trần Văn Phú (Thi công)</t>
  </si>
  <si>
    <t>Chi phí cung cấp và thi công lắp đặt logo</t>
  </si>
  <si>
    <t>Chi phí cung cấp và thi công lắp đặt hệ thống PCCC</t>
  </si>
  <si>
    <t>Chi phí vận chuyển (đợt 3)</t>
  </si>
  <si>
    <t>Chi phí vận chuyển (đợt 4)</t>
  </si>
  <si>
    <t>JACCS T20+21 - CTR 2020 OPAL</t>
  </si>
  <si>
    <t>VIETCREDIT ps</t>
  </si>
  <si>
    <t>Sơn nước</t>
  </si>
  <si>
    <t>VIETCREDIT PS (Điện Biên Phủ)</t>
  </si>
  <si>
    <t>HTMB -UOAT</t>
  </si>
  <si>
    <t>Đội tháo dỡ  HTMB</t>
  </si>
  <si>
    <t>Mr Tuấn ( THÀNH TC)</t>
  </si>
  <si>
    <t>Chuyển nội thất VP UOAT</t>
  </si>
  <si>
    <t>HTMB UOAT</t>
  </si>
  <si>
    <t xml:space="preserve"> SRF 1049 (MAYORA)</t>
  </si>
  <si>
    <t>Đặt cọc thi công dự án SRF 1049 - Tầng 1</t>
  </si>
  <si>
    <t>Công Ty Cổ Phần Xây Dựng Cơ Điện Hoa Hồng</t>
  </si>
  <si>
    <t>Tạm ứng đợt 1 (50%) CC và thi công vách ngăn di động</t>
  </si>
  <si>
    <t>Ms Hiền - Enforce</t>
  </si>
  <si>
    <t xml:space="preserve">Tạm ứng đợt 1&amp;2 (70%) CC và thi công lắp đặt thảm </t>
  </si>
  <si>
    <t>Mr Nam - Vinafloor</t>
  </si>
  <si>
    <t>Cung cấp lắp đặt ,di dời đầu phun chữa cháy,di dời đầu báo khói</t>
  </si>
  <si>
    <t xml:space="preserve"> 0000037</t>
  </si>
  <si>
    <t xml:space="preserve">Bảo hiểm công trình </t>
  </si>
  <si>
    <t xml:space="preserve">Đặt cọc 50% đơn hàng đôn ngồi </t>
  </si>
  <si>
    <t>Công Ty TNHH Nội Thất Metropole Hà Nội</t>
  </si>
  <si>
    <t>Tạm ứng đợt 1 (50%) đồ mộc</t>
  </si>
  <si>
    <t>MR Nguyễn Quang -PK-VVP</t>
  </si>
  <si>
    <t>CPTOANHA SRF</t>
  </si>
  <si>
    <t>Tạm ứng đợt 1 (50%) nhân công điện</t>
  </si>
  <si>
    <t>Tạm ứng 70% chi phí cung cấp và thi công sơn nước</t>
  </si>
  <si>
    <t>Nguyễn Văn Liên</t>
  </si>
  <si>
    <t>Khung tranh 50x50</t>
  </si>
  <si>
    <t>Khung ảnh giá rẻ</t>
  </si>
  <si>
    <t>Gối tựa</t>
  </si>
  <si>
    <t>Aura</t>
  </si>
  <si>
    <t>Cung cấp và thi công cáp quang</t>
  </si>
  <si>
    <t>Anh Phi - VNPT</t>
  </si>
  <si>
    <t>Công Ty TNHH Tư Vấn &amp; Đầu Tư Kế Hoạch Việt -Sanota</t>
  </si>
  <si>
    <t>Khung treo ti vi ,máy chiếu</t>
  </si>
  <si>
    <t>Công Ty TNHH Thương Mại Dịch Vụ Công Nghệ Nhật Thành</t>
  </si>
  <si>
    <t>Sửa lại màn cũ</t>
  </si>
  <si>
    <t xml:space="preserve">Tạm ứng đợt 1 (70%) cung cấp và lắp đặt kính </t>
  </si>
  <si>
    <t>Vận chuyển đồ từ tầng 8 xuống tầng 1</t>
  </si>
  <si>
    <t>Cung cấp và thi công logo decal</t>
  </si>
  <si>
    <t xml:space="preserve">Lý Đăng Khoa </t>
  </si>
  <si>
    <t>Đèn led panel</t>
  </si>
  <si>
    <t>Cáp HDMI</t>
  </si>
  <si>
    <t>Mr Luyện</t>
  </si>
  <si>
    <t>Hoàng Anh Home</t>
  </si>
  <si>
    <t>Chi phí thi công vách trần thạch cao</t>
  </si>
  <si>
    <t>HTMB HOÀNG ANH GIA LAI (T1)</t>
  </si>
  <si>
    <t>Trần Thạch Cao</t>
  </si>
  <si>
    <t xml:space="preserve">Cắt nước HTMB </t>
  </si>
  <si>
    <t>Nhân công đập phá,di dời báo khói</t>
  </si>
  <si>
    <t>Thi công Sprinkler</t>
  </si>
  <si>
    <t>Chi phí môi giới CĐT</t>
  </si>
  <si>
    <t>Phan Trọng Lil</t>
  </si>
  <si>
    <t>Nhân công trần thạch cao,vật tư thi công vách</t>
  </si>
  <si>
    <t>HOÀNG ANH GIA LAI T1</t>
  </si>
  <si>
    <t>V.P TÒA NHÀ UOA Q.7</t>
  </si>
  <si>
    <t>Gạch 800x800mm</t>
  </si>
  <si>
    <t>Mr Sử - TPS</t>
  </si>
  <si>
    <t>Lấy hóa đơn ,NCC nợ hợp đồng</t>
  </si>
  <si>
    <t>Tạm ứng chi phí công trình</t>
  </si>
  <si>
    <t>Lê Quang Thắng</t>
  </si>
  <si>
    <t>Cung cấp và thi công lắp đặt holding</t>
  </si>
  <si>
    <t>Chi phí cung cấp và lắp đặt vách thạch cao</t>
  </si>
  <si>
    <t>Công Ánh</t>
  </si>
  <si>
    <t>Đặng Thế Mỹ (nhận tiền mặt)</t>
  </si>
  <si>
    <t>Mr .Hoàng</t>
  </si>
  <si>
    <t>Chi phí cung cấp nhân công và vật tư phụ</t>
  </si>
  <si>
    <t>Công Ty TNHH TM DV KT Cơ Điện Lạnh Trung Kiên</t>
  </si>
  <si>
    <t>Chi phí đơn hàng ghế văn phòng</t>
  </si>
  <si>
    <t>Công Ty TNHH Thương Mại Rồng Phương Bắc</t>
  </si>
  <si>
    <t>Chi phí cung cấp và thi công lắp đặt cửa thép ngăn cháy ,vách kính ngăn cháy</t>
  </si>
  <si>
    <t>BẤT ĐỘNG SẢN R.E.E</t>
  </si>
  <si>
    <t>Cung cấp và thi công sơn sàn</t>
  </si>
  <si>
    <t>BNP 1055 (JLL)</t>
  </si>
  <si>
    <t>In hồ sơ thầu dự án BNP 1055</t>
  </si>
  <si>
    <t>Gửi bao thư tòa nhà duyệt hồ sơ</t>
  </si>
  <si>
    <t>Lý Đăng Khoa nhận qua TK</t>
  </si>
  <si>
    <t>Chi phí đặt cọc tòa nhà</t>
  </si>
  <si>
    <t>Công Ty TNHH Ascendas Saigon Bund</t>
  </si>
  <si>
    <t>Chi phí cung cấp và thi công hệ thống PCCC</t>
  </si>
  <si>
    <t>Công Ty TNHH Thiết Bị Phòng Cháy Và Chữa Cháy Thăng Long</t>
  </si>
  <si>
    <t>Chi phí cung cấp và thi công camera,hệ thống báo động</t>
  </si>
  <si>
    <t>Công Ty TNHH TM DV Minh Trung Đạt</t>
  </si>
  <si>
    <t>Bảo hiểm công nhân</t>
  </si>
  <si>
    <t>0003173</t>
  </si>
  <si>
    <t>Đã lấy hóa đơn : 24/11/2020</t>
  </si>
  <si>
    <t>0003151</t>
  </si>
  <si>
    <t>Công Ty TNHH Thảm Và Nội Thất KNT</t>
  </si>
  <si>
    <t>0000880</t>
  </si>
  <si>
    <t>Đã lấy hóa đơn : 31/12/2020</t>
  </si>
  <si>
    <t>Chi phí cung cấp và thi công lắp đặt ghế</t>
  </si>
  <si>
    <t>36 tháng</t>
  </si>
  <si>
    <t>Chi phí cung cấp và thi công lắp dặt hệ thống cáp mạng</t>
  </si>
  <si>
    <t>Công Ty TNHH Lantro (Việt Nam)</t>
  </si>
  <si>
    <t>Chi phí đơn hàng ghế quầy bar bọc vải</t>
  </si>
  <si>
    <t>Chi phí cung cấp và thi công lắp đặt vách + cửa chống cháy</t>
  </si>
  <si>
    <t>Chi phí cung cấp và thi công lắp đặt hệ thống thông gió</t>
  </si>
  <si>
    <t>Công Ty TNHH Kỹ Thuật Nhất Xanh</t>
  </si>
  <si>
    <t>Chi phí cung cấp và thi công lắp đặt bàn ghế ,tủ hồ sơ</t>
  </si>
  <si>
    <t>Chi phí cung cấp và thi công lắp đặt thạch cao</t>
  </si>
  <si>
    <t>Chi phí gửi xe T11+T12/2020 cho thi công tại tòa nhà</t>
  </si>
  <si>
    <t>Bảo hiểm công nhân đợt 2</t>
  </si>
  <si>
    <t>0002425</t>
  </si>
  <si>
    <t>Đã lấy hóa đơn</t>
  </si>
  <si>
    <t>Bảo hiểm công nhân đợt 3</t>
  </si>
  <si>
    <t>0002445</t>
  </si>
  <si>
    <t>Chi phí cung cấp gỗ tiêu âm</t>
  </si>
  <si>
    <t>Công Ty TNHH TM TK Và DV XD Hoàng Gia</t>
  </si>
  <si>
    <t>Chi phí đơn hàng cảm biến hồng ngoại</t>
  </si>
  <si>
    <t>Công Ty TNHH Thương Mại Kỹ Thuật Điện Liên Minh Nguyễn</t>
  </si>
  <si>
    <t>Chi phí cửa thép chống cháy</t>
  </si>
  <si>
    <t>Công Ty TNHH SX TM Duyên Tân</t>
  </si>
  <si>
    <t>0000021</t>
  </si>
  <si>
    <t>Đã lấy hóa đơn : 19/12/2020</t>
  </si>
  <si>
    <t>Chi phí in ấn bản vẽ A1</t>
  </si>
  <si>
    <t>In Minh Tiến</t>
  </si>
  <si>
    <t>Bảo hiểm công nhân đợt 4</t>
  </si>
  <si>
    <t>0002690;0002632</t>
  </si>
  <si>
    <t>Đã lấy hóa đơn : 09+10/12/2020</t>
  </si>
  <si>
    <t>Chi phí khung treo tivi</t>
  </si>
  <si>
    <t>Công Ty Cổ Phần Dịch Vụ Và Phát Triển Thương Mại Gia Hưng</t>
  </si>
  <si>
    <t>0000926</t>
  </si>
  <si>
    <t>Công Ty TNHH Sản Xuất Trang Trí Nội Thất Thiên Lộc</t>
  </si>
  <si>
    <t xml:space="preserve">Chi phí đơn hàng đèn exit </t>
  </si>
  <si>
    <t>CN TP.HCM Công Ty Cổ Phần Hochiki Việt Nam</t>
  </si>
  <si>
    <t>Bảo hiểm công nhân đợt 5</t>
  </si>
  <si>
    <t>0002819</t>
  </si>
  <si>
    <t>Đã lấy hóa đơn : 09/12/2020</t>
  </si>
  <si>
    <t>Bảo hiểm công nhân đợt 6</t>
  </si>
  <si>
    <t>0003360</t>
  </si>
  <si>
    <t>Đã lấy hóa đơn : 28/12/2020</t>
  </si>
  <si>
    <t>Chi phí đơn hàng đồ điện gia dụng</t>
  </si>
  <si>
    <t>Công Ty TNHH Thương Mại Điện Máy Sài Gòn</t>
  </si>
  <si>
    <t>Chi phí đơn hàng len chân tường,vận chuyển</t>
  </si>
  <si>
    <t>Chi phí đơn hàng sàn nâng</t>
  </si>
  <si>
    <t>Công Ty Cổ Phần Xây Dựng Hoàn Thiện &amp; Thương Mại Hoàng Nguyên</t>
  </si>
  <si>
    <t>Chi phí in bản vẽ</t>
  </si>
  <si>
    <t>Vãng Lai ( Trần Xuân Hòa)</t>
  </si>
  <si>
    <t>BNP 1055</t>
  </si>
  <si>
    <t>Nam Thuận T19 MR 72m2</t>
  </si>
  <si>
    <t>Chi phí cung cấp và thi công lắp đặt PCCC</t>
  </si>
  <si>
    <t>Công Ty Cổ Phần Thương Mại Đức Phương</t>
  </si>
  <si>
    <t xml:space="preserve">Tuần </t>
  </si>
  <si>
    <t>Chi phí đặt cọc thi công</t>
  </si>
  <si>
    <t>Công Ty TNHH Ngôi Nhà Đức Thành Phố Hồ Chí Minh</t>
  </si>
  <si>
    <t>HTMB JACCS T2</t>
  </si>
  <si>
    <t>Đặt cọc thi công</t>
  </si>
  <si>
    <t>Tuần 1/11</t>
  </si>
  <si>
    <t>Đơn hàng trần</t>
  </si>
  <si>
    <t>Công Ty Cổ Phần I.S</t>
  </si>
  <si>
    <t>Tuần 1/12</t>
  </si>
  <si>
    <t>Chi phí lột sàn,trét bột,thay tấm trần ,thay bóng đèn,tháo kính</t>
  </si>
  <si>
    <t>Chi phí đơn hàng trần thạch cao</t>
  </si>
  <si>
    <t>Chi phí đơn hàng phụ kiện VVP</t>
  </si>
  <si>
    <t>Cửa Hàng Phụ Kiện Nguyễn Quang</t>
  </si>
  <si>
    <t>Chi phí nhân công xử lý sàn</t>
  </si>
  <si>
    <t xml:space="preserve">Mr Tâm </t>
  </si>
  <si>
    <t>Chi phí tháo dỡ</t>
  </si>
  <si>
    <t>HTMB SRF 1049 T8</t>
  </si>
  <si>
    <t>Công Ty TNHH American Indochina Management Vietnam</t>
  </si>
  <si>
    <t>Tạm ứng 50% thi công ME - Điện lạnh - Hệ Thống Phòng Cháy Chữa Cháy</t>
  </si>
  <si>
    <t>Nguyễn Hoàng Kiệt</t>
  </si>
  <si>
    <t>Tháo dở trọn gói ,cán sàn</t>
  </si>
  <si>
    <t>Chi phí thi công thạch cao</t>
  </si>
  <si>
    <t>HTMB SRF 1048 T8</t>
  </si>
  <si>
    <t>CT MR.TUẤN (NHÀ PHỐ)</t>
  </si>
  <si>
    <t>Tạm ứng đợt 1 (50%) gói XPXD nhà Mr Tuấn</t>
  </si>
  <si>
    <t>Trần Chánh Tín</t>
  </si>
  <si>
    <t>Tuần 3/12</t>
  </si>
  <si>
    <t>Mr Tín</t>
  </si>
  <si>
    <t>Chi phí đăng ký đo đạc</t>
  </si>
  <si>
    <t>Trung Tâm Đo Đạc Bản Đồ</t>
  </si>
  <si>
    <t>CT MR .TUẤN (NHÀ PHỐ)</t>
  </si>
  <si>
    <t>AWOT GLOBAL LOGISTICS VN T19</t>
  </si>
  <si>
    <t>Công Ty TNHH Vietnam Land SSG</t>
  </si>
  <si>
    <t>Giấy carton bao che khung kính,vận chuyển</t>
  </si>
  <si>
    <t>Chi phí cung cấp và thi công lắp đặt phụ kiện</t>
  </si>
  <si>
    <t>Chi phí bảo vệ và kỹ thuật tòa nhà</t>
  </si>
  <si>
    <t>Tuần 4/12</t>
  </si>
  <si>
    <t>Chi phí cung cấp và thi công đơn hàng máy lạnh</t>
  </si>
  <si>
    <t xml:space="preserve">Chi phí cung cấp và thi công PCCC </t>
  </si>
  <si>
    <t>0002508</t>
  </si>
  <si>
    <t>Đã lấy hóa đơn : 28/11/2020</t>
  </si>
  <si>
    <t>Chi phí đơn hàng ghế Pantry</t>
  </si>
  <si>
    <t>Công Ty CP Thiết Bị CN Trọng Tín</t>
  </si>
  <si>
    <t>Chi phí thi công cán nền</t>
  </si>
  <si>
    <t>Mr .Trường</t>
  </si>
  <si>
    <t>Chi phí đơn hàng đèn nhôm định hình</t>
  </si>
  <si>
    <t>Công Ty TNHH Kỹ Thuật BKS</t>
  </si>
  <si>
    <t>Chi phí đơn hàng ghế nhân viên &amp; tủ hồ sơ</t>
  </si>
  <si>
    <t>Chi phí đơn hàng gạch</t>
  </si>
  <si>
    <t>Công Ty TNHH Gốm Sứ Quốc Tế TPS</t>
  </si>
  <si>
    <t>Chi phí thi công lắp đặt PCCC và di dời đầu báo</t>
  </si>
  <si>
    <t>Hoàng Anh Đức</t>
  </si>
  <si>
    <t>Huỳnh Kim Thành (TC) (nhận qua TK )</t>
  </si>
  <si>
    <t>Chi phí thi công sơn nước</t>
  </si>
  <si>
    <t>Mr.Phát</t>
  </si>
  <si>
    <t>Mr.Hưng - DKO</t>
  </si>
  <si>
    <t>Chi phí cung cấp phụ kiện VVP</t>
  </si>
  <si>
    <t>Chi phí bồn rửa pantry</t>
  </si>
  <si>
    <t>Công Ty TNHH MTV Toàn Minh Tuấn</t>
  </si>
  <si>
    <t>Chi phí bẩy mở inox</t>
  </si>
  <si>
    <t>Vãng Lai (Huỳnh Hải Cương)</t>
  </si>
  <si>
    <t>Chi phí đơn hàng ghế sofa</t>
  </si>
  <si>
    <t>Công Ty TNHH Sản Xuất - Thương Mại - Dịch Vụ Linh Hoàng Gia (Zsofa)</t>
  </si>
  <si>
    <t xml:space="preserve">Chi phí đơn hàng thùng carton ,bọc nilon </t>
  </si>
  <si>
    <t>Chi phí thùng carton</t>
  </si>
  <si>
    <t>Chi phí đơn hàng đá</t>
  </si>
  <si>
    <t>Công Ty TNHH Thương Mại Dịch Vụ Trang Trí Nhà Xinh</t>
  </si>
  <si>
    <t>Chi phí cung cấp và thi công đơn hàng màn sáo</t>
  </si>
  <si>
    <t>0002953</t>
  </si>
  <si>
    <t>Đã lấy hóa đơn : 30/11/2020</t>
  </si>
  <si>
    <t>Công Ty TNHH TM Điện Máy Sài Gòn</t>
  </si>
  <si>
    <t>0000695</t>
  </si>
  <si>
    <t xml:space="preserve">Chi phí đơn hàng đèn </t>
  </si>
  <si>
    <t>Công Ty TNHH Đèn Sợi Quang Việt</t>
  </si>
  <si>
    <t>Chi phí đơn hàng gạch thẻ ốp tường</t>
  </si>
  <si>
    <t>Công Ty TNHH Thương Mại Khánh Hội</t>
  </si>
  <si>
    <t>Chi phí mua kệ sách hình cây có hộc</t>
  </si>
  <si>
    <t>Tiki</t>
  </si>
  <si>
    <t>Chi phí mua chậu xi măng đen đá mài</t>
  </si>
  <si>
    <t>Chi phí mua 1 cây hoa lan ý giả trình mẫu</t>
  </si>
  <si>
    <t>Shopee</t>
  </si>
  <si>
    <t>Chi phí cung cấp và thi công lắp đặt cửa</t>
  </si>
  <si>
    <t>Công Ty CP TM DV Và KT Win - Saigon door</t>
  </si>
  <si>
    <t>Chi phí đơn hàng bàn làm việc lượn chữ L</t>
  </si>
  <si>
    <t>0005498</t>
  </si>
  <si>
    <t xml:space="preserve">Chi phí cây lan ý giả </t>
  </si>
  <si>
    <t>Bi Shop Hà Nội</t>
  </si>
  <si>
    <t>Chi phí mua sỏi trang trí</t>
  </si>
  <si>
    <t>Chi phí cung cấp và thi công lắp đặt đơn hàng bàn ,tủ hồ sơ,bàn lễ tân,kệ bếp</t>
  </si>
  <si>
    <t>0005497</t>
  </si>
  <si>
    <t>Chi phí cung cấp và thi công lắp đặt cửa (gói PS)</t>
  </si>
  <si>
    <t xml:space="preserve">Công Ty CP TM DV Và KT Win </t>
  </si>
  <si>
    <t>Chi phí cung cấp sơn và sửa lại 2 bộ cửa</t>
  </si>
  <si>
    <t>Nguyễn Văn Cường</t>
  </si>
  <si>
    <t>Chi phí cung cấp và thi công lắp đặt bảng đèn</t>
  </si>
  <si>
    <t>Chi phí cung cấp và thi công lắp đặt cửa sắt lùa</t>
  </si>
  <si>
    <t>Chi phí đơn hàng bồn rửa chén</t>
  </si>
  <si>
    <t>Công Ty TNHH Hoàng Anh Home</t>
  </si>
  <si>
    <t>Chi phí cung cấp và thi công lắp đặt cửa (gói PS) lần 2</t>
  </si>
  <si>
    <t>Công Ty CP TM DV Và KT Win</t>
  </si>
  <si>
    <t>Chi phí đơn hàng xốp trang trí chậu cây lan</t>
  </si>
  <si>
    <t>Hoa Đăng Đức Lương</t>
  </si>
  <si>
    <t>Chi phí đặt mua 4 bộ ghế sofa</t>
  </si>
  <si>
    <t>Công Ty TNHH SX TM &amp; DV Đông Ngàn</t>
  </si>
  <si>
    <t>Công Ty TNHH Thương Mại Dịch Vụ Đầu Tư Sao Mai Việt</t>
  </si>
  <si>
    <t>Chi phí thi công lắp đặt vách cỏ ,vách rêu nhân tạo</t>
  </si>
  <si>
    <t>Công Ty TNHH Dịch Vụ Thương Mại Trang Thương</t>
  </si>
  <si>
    <t>HSC</t>
  </si>
  <si>
    <t>Thi công gia công đồ mộc (HSC)</t>
  </si>
  <si>
    <t>Đồ mộc (HSC)</t>
  </si>
  <si>
    <t>Cung cấp và thi công lắp đặt decal (HSC)</t>
  </si>
  <si>
    <t>DIAG NGUYẾN DU</t>
  </si>
  <si>
    <t>Chi phí tiếp khách Diag Nguyễn Du</t>
  </si>
  <si>
    <t>Chi phí điện công trình</t>
  </si>
  <si>
    <t>Công Ty Điện Lực Sài Gòn</t>
  </si>
  <si>
    <t>Chi phí đơn hàng vật tư nước</t>
  </si>
  <si>
    <t>Chi phí cung cấp và thi công lắp đặt cửa cuốn</t>
  </si>
  <si>
    <t>Công Ty TNHH Cửa Hưng Thịnh Phát</t>
  </si>
  <si>
    <t>Chi phí cung cấp và thi công đục ,cán sàn</t>
  </si>
  <si>
    <t>Chi phí nhân công và vật tư phụ</t>
  </si>
  <si>
    <t>Chi phí bồi dưỡng đào đường nước đô thị</t>
  </si>
  <si>
    <t>Chi phí mua mẫu tấm ốp</t>
  </si>
  <si>
    <t>Công Ty TNHH TM DV Lâm Quang Phát</t>
  </si>
  <si>
    <t>Chi phí cung cấp và thi công lắp đặt alu + kính</t>
  </si>
  <si>
    <t xml:space="preserve">Chi phí đơn hàng gạch </t>
  </si>
  <si>
    <t>Chi phí đơn hàng thiết bị vệ sinh</t>
  </si>
  <si>
    <t>Chi phí mua tấm ốp PVC 3D</t>
  </si>
  <si>
    <t>0000435</t>
  </si>
  <si>
    <t>DIAG NGUYỄN DU</t>
  </si>
  <si>
    <t>In bản vẽ xin phép thi công</t>
  </si>
  <si>
    <t>Công Ty TNHH Thư Quán Sinh Viên</t>
  </si>
  <si>
    <t>Chi phí in proposal cho dự án SJ 1062</t>
  </si>
  <si>
    <t>Chi phí tiếp khách</t>
  </si>
  <si>
    <t>Công Ty TNHH Mr.Beef Steak</t>
  </si>
  <si>
    <t>Công Ty Cổ Phần Đầu Tư Địa Ốc Đại Quang Minh</t>
  </si>
  <si>
    <t>Chi phí quản lý và tư vấn kỹ thuật</t>
  </si>
  <si>
    <t>Công Ty TNHH TM Và DV PCCC Tân Long Hải</t>
  </si>
  <si>
    <t>Chi phí bảo hiểm công trình</t>
  </si>
  <si>
    <t>0003324</t>
  </si>
  <si>
    <t xml:space="preserve">Chi phí bảo hiểm công nhân </t>
  </si>
  <si>
    <t>0003390</t>
  </si>
  <si>
    <t>Chi phí cung cấp và thi công lắp đặt rèm</t>
  </si>
  <si>
    <t>Công Ty TNHH Trung Dương</t>
  </si>
  <si>
    <t>Chi phí hồ sơ công trình</t>
  </si>
  <si>
    <t xml:space="preserve">Chi phí in bản vẽ xin phép thi công </t>
  </si>
  <si>
    <t>Công Ty TNHH MTV Dịch Vụ In Photo</t>
  </si>
  <si>
    <t xml:space="preserve">Chi phí grab </t>
  </si>
  <si>
    <t>Grab ( Nguyễn Đặng Thảo Tiên)</t>
  </si>
  <si>
    <t>Chi phí giấy cuộn carton</t>
  </si>
  <si>
    <t>Chi phí cung cấp và thi công lắp đặt cán nền</t>
  </si>
  <si>
    <t>Chi phí cung cấp và thi công lắp đặt vách ngăn di động</t>
  </si>
  <si>
    <t>Chi phí gạch lát sàn</t>
  </si>
  <si>
    <t>Công Ty CP Ánh Sáng Đương Đại</t>
  </si>
  <si>
    <t xml:space="preserve">Lấy hóa đơn NCC </t>
  </si>
  <si>
    <t>Chi phí đơn hàng bạt nhựa tái sinh</t>
  </si>
  <si>
    <t>Lê Thuận Thành</t>
  </si>
  <si>
    <t>Chi phí đơn hàng bàn họp di động</t>
  </si>
  <si>
    <t>Công Ty TNHH TM Rồng Phương Bắc</t>
  </si>
  <si>
    <t>Chi phí in ấn và đặt xe chuyển bản vẽ xuống Đồng Nai</t>
  </si>
  <si>
    <t>Bèo 3</t>
  </si>
  <si>
    <t>Công Ty TNHH Ifurni</t>
  </si>
  <si>
    <t>Chi phí cung cấp và thi công đơn hàng mộc</t>
  </si>
  <si>
    <t>Chi phí đơn hàng nước</t>
  </si>
  <si>
    <t>Chi phí đơn hàng bàn ,ghế bar</t>
  </si>
  <si>
    <t xml:space="preserve">Chi phí đơn hàng bàn ,ghế </t>
  </si>
  <si>
    <t>06 tháng</t>
  </si>
  <si>
    <t>Chi phí đơn hàng thanh dẫn hướng rèm</t>
  </si>
  <si>
    <t>Công Ty TNHH Thiết Kế Cuộc Sống</t>
  </si>
  <si>
    <t>Chi phí đơn hàng len chân tường</t>
  </si>
  <si>
    <t>Chi phí đơn hàng máy bơm chìm</t>
  </si>
  <si>
    <t>Phước Huệ</t>
  </si>
  <si>
    <t>Chi phí đơn hàng bồn nước ,vòi nước</t>
  </si>
  <si>
    <t>Chi phí đơn hàng gạch lát sàn</t>
  </si>
  <si>
    <t>Công Ty Cổ Phần Ánh Sáng Đương Đại</t>
  </si>
  <si>
    <t>Chi phí cung cấp và thi công lắp đặt đơn hàng máy lạnh</t>
  </si>
  <si>
    <t>Chi phí in bản vẽ ,gửi grab</t>
  </si>
  <si>
    <t>MJ</t>
  </si>
  <si>
    <t xml:space="preserve">Công Ty TNHH Dịch Vụ Bất Động Sản D&amp;P </t>
  </si>
  <si>
    <t>Chi phí cung cấp và thi công lắp đặt cửa và vách chống cháy</t>
  </si>
  <si>
    <t>QBE Insurance (Vietnam) Company Limited</t>
  </si>
  <si>
    <t>Chi phí cung cấp và thi công tấm trải sàn</t>
  </si>
  <si>
    <t>Công Ty TNHH Linh Cầm</t>
  </si>
  <si>
    <t>60 tháng</t>
  </si>
  <si>
    <t>Chi phí mua mẫu đá cubic</t>
  </si>
  <si>
    <t>Chi phí cung cấp và thi công lắp đặt hệ đèn xuyên sáng</t>
  </si>
  <si>
    <t>Công Ty TNHH MTV Xuyên Sáng</t>
  </si>
  <si>
    <t>Công Ty TNHH SX TM DV Cơ Điện Lạnh Việt Tiệp</t>
  </si>
  <si>
    <t>Chi phí đục sàn và vận chuyển xà bần</t>
  </si>
  <si>
    <t xml:space="preserve">Chi phí cung cấp và thi công lắp đặt đơn hàng thảm </t>
  </si>
  <si>
    <t>Công Ty TNHH Thương Mại Ánh Ngọc Thanh</t>
  </si>
  <si>
    <t>Chi phí cung cấp nhân công và vật tư phụ hệ thống điều hòa không khí</t>
  </si>
  <si>
    <t>Công Ty TNHH DV Kỹ Thuật Cơ Điện Lạnh Trung Kiên</t>
  </si>
  <si>
    <t>Chi phí cung cấp và lắp đặt khung thép</t>
  </si>
  <si>
    <t>Chi phí đơn hàng ống nước</t>
  </si>
  <si>
    <t xml:space="preserve">Chi phí thi công thạch cao </t>
  </si>
  <si>
    <t>Chi phí đơn hàng gạch kính</t>
  </si>
  <si>
    <t xml:space="preserve">Chi phí photo bản vẽ </t>
  </si>
  <si>
    <t>Thiên Ấn</t>
  </si>
  <si>
    <t>Chi phí in hồ sơ A1 trình đơn vị PCCC</t>
  </si>
  <si>
    <t>Vãng Lai ( Phạm Nguyễn Bảo Ngọc )</t>
  </si>
  <si>
    <t xml:space="preserve">Khóa điện tử </t>
  </si>
  <si>
    <t>Công Ty TNHH SX TM Hoàng Duy Phát</t>
  </si>
  <si>
    <t>Chi phí thi công film 3M</t>
  </si>
  <si>
    <t>Công Ty TNHH Thương Mại Xây Dựng Sài Gòn Quốc Tế Tiên Phong</t>
  </si>
  <si>
    <t>Chi phí cung cấp và thi công cán sàn</t>
  </si>
  <si>
    <t>Chi phí đơn hàng cáp bu lông treo đèn máng</t>
  </si>
  <si>
    <t>Quốc Lương</t>
  </si>
  <si>
    <t>Chi phí nhận mẫu rèm Acacia</t>
  </si>
  <si>
    <t>Chi phí đơn hàng máy lọc nước nóng lạnh</t>
  </si>
  <si>
    <t>0001063</t>
  </si>
  <si>
    <t>Đã lấy hóa đơn : 29/12/2020</t>
  </si>
  <si>
    <t>0003188</t>
  </si>
  <si>
    <t>Đã lấy hóa đơn : 25/12/2020</t>
  </si>
  <si>
    <t>Chi phí bảo hiểm trách nhiệm người sử dụng lao động</t>
  </si>
  <si>
    <t>0003187</t>
  </si>
  <si>
    <t>Công Ty Cổ Phần ĐT TM DV &amp; SX Hợp Nhất</t>
  </si>
  <si>
    <t>Chi phí đơn hàng tủ rack ,thiết bị</t>
  </si>
  <si>
    <t>Công Ty TNHH TM DV Tin Học Nhân Sinh Phúc</t>
  </si>
  <si>
    <t>Chi phí đơn hàng phụ kiện Hafele</t>
  </si>
  <si>
    <t>Công Ty TNHH PTKITCHEN VIET NAM</t>
  </si>
  <si>
    <t>HTMB AWOT</t>
  </si>
  <si>
    <t>Chi phí tháo dở bàn giao mặt công ty Awot</t>
  </si>
  <si>
    <t>Công Ty TNHH KT Và Xây Dựng CID</t>
  </si>
  <si>
    <t>UR</t>
  </si>
  <si>
    <t>0003063</t>
  </si>
  <si>
    <t>Đã lấy hóa đơn : 18/12/2020</t>
  </si>
  <si>
    <t>Chi phí grab nhận bản vẽ từ công trường gửi về</t>
  </si>
  <si>
    <t>Vãng Lai (Phạm Nguyễn Bảo Ngọc)</t>
  </si>
  <si>
    <t xml:space="preserve">Chi phí cung cấp và thi công lắp đặt thảm </t>
  </si>
  <si>
    <t>HTMB JACCS T19</t>
  </si>
  <si>
    <t>Chi phí vận chuyển nội thất ,tủ bàn ,chuyển hồ sơ</t>
  </si>
  <si>
    <t>TỔNG CÔNG NỢ CÒN PHẢI TRẢ</t>
  </si>
  <si>
    <t>NGÀY THANH TOÁN</t>
  </si>
  <si>
    <t>PHÂN LOẠI</t>
  </si>
  <si>
    <t xml:space="preserve">Chi phí quản lý </t>
  </si>
  <si>
    <t>VPCTY</t>
  </si>
  <si>
    <t>DV RÁC</t>
  </si>
  <si>
    <t>Vật tư</t>
  </si>
  <si>
    <t>In A3</t>
  </si>
  <si>
    <t>CP thi công</t>
  </si>
  <si>
    <t>VỆ SINH CTY</t>
  </si>
  <si>
    <t>PHỤ CẤP THÊM</t>
  </si>
  <si>
    <t>Chiết khấu</t>
  </si>
  <si>
    <t>CÚNG RẰM</t>
  </si>
  <si>
    <t>CP VP, CP khác,…</t>
  </si>
  <si>
    <t xml:space="preserve">CÚNG ÔNG </t>
  </si>
  <si>
    <t>TRÔNG XE</t>
  </si>
  <si>
    <t>MBVP</t>
  </si>
  <si>
    <t>máy cân</t>
  </si>
  <si>
    <t>thước laze</t>
  </si>
  <si>
    <t xml:space="preserve">tiền điện </t>
  </si>
  <si>
    <t>BAO LỤA SẤY</t>
  </si>
  <si>
    <t>Nguyễn Thanh Đạm</t>
  </si>
  <si>
    <t>DV NH</t>
  </si>
  <si>
    <t>phí NH</t>
  </si>
  <si>
    <t>PHÍ GAB</t>
  </si>
  <si>
    <t>IN HỒ SƠ</t>
  </si>
  <si>
    <t>LẮP ĐỒNG HỒ KHO</t>
  </si>
  <si>
    <t>NẠP GAS ML</t>
  </si>
  <si>
    <t>PHÍ GIAO DỊCH TẶNG KH</t>
  </si>
  <si>
    <t>PHÍ TIẾP KHÁCH</t>
  </si>
  <si>
    <t>MS THÚY</t>
  </si>
  <si>
    <t xml:space="preserve">PHÍ KHẢO SÁT </t>
  </si>
  <si>
    <t>BÚT TRÌNH CHIẾU</t>
  </si>
  <si>
    <t>DỤNG CỤ PANTRY</t>
  </si>
  <si>
    <t>Companytrip</t>
  </si>
  <si>
    <t>tạm ứng</t>
  </si>
  <si>
    <t xml:space="preserve">ĐTDĐ </t>
  </si>
  <si>
    <t>Tặng TIVI Thảo TK</t>
  </si>
  <si>
    <t>ủng hộ trẻ em khuyết tật</t>
  </si>
  <si>
    <t xml:space="preserve">Cước phí VNPT </t>
  </si>
  <si>
    <t xml:space="preserve">Tiền lãi + vốn xe ô tô </t>
  </si>
  <si>
    <t>BHXH T9</t>
  </si>
  <si>
    <t>cá nhân</t>
  </si>
  <si>
    <t>Tiền nhà của sêp</t>
  </si>
  <si>
    <t>CHI HỘ</t>
  </si>
  <si>
    <t>Kho Vacons</t>
  </si>
  <si>
    <t>CÔNG ĐOÀN</t>
  </si>
  <si>
    <t>CÁ</t>
  </si>
  <si>
    <t>PANTRY</t>
  </si>
  <si>
    <t>PHÚC LƠI</t>
  </si>
  <si>
    <t>MS TIÊN TK</t>
  </si>
  <si>
    <t>phí  companytrip</t>
  </si>
  <si>
    <t>tổng</t>
  </si>
  <si>
    <t>bánh sn  Thành TC</t>
  </si>
  <si>
    <t>Đặt cuốn catalogue</t>
  </si>
  <si>
    <t>PHÍ BẢO TRÌ PM</t>
  </si>
  <si>
    <t>Mua bảng học english</t>
  </si>
  <si>
    <t>Phí gab team sale</t>
  </si>
  <si>
    <t>In name card</t>
  </si>
  <si>
    <t>Hoa ,chậu,túi giấy</t>
  </si>
  <si>
    <t>Phạm Thị Thanh Hiền</t>
  </si>
  <si>
    <t>Chiết khấu ,quà tặng</t>
  </si>
  <si>
    <t>Phí gửi xe T09/2020</t>
  </si>
  <si>
    <t>Nguyễn Ngọc Bạch</t>
  </si>
  <si>
    <t>Hoàng Thị Dung</t>
  </si>
  <si>
    <t>Gửi xe</t>
  </si>
  <si>
    <t>Phí vệ sinh T09/2020</t>
  </si>
  <si>
    <t>Công Ty TNHH Việt Clean</t>
  </si>
  <si>
    <t>VTB</t>
  </si>
  <si>
    <t>Vệ sinh VP</t>
  </si>
  <si>
    <t>Bánh trung thu nhân viên</t>
  </si>
  <si>
    <t>CP khác</t>
  </si>
  <si>
    <t>Bồi dưỡng cô Thu dọn dẹp văn phòng</t>
  </si>
  <si>
    <t>BDDVVSVP</t>
  </si>
  <si>
    <t>Mua ACCAI (phòng thiết kế)</t>
  </si>
  <si>
    <t>Nguyễn Thị Huệ Quyên</t>
  </si>
  <si>
    <t>Công cụ dụng cụ</t>
  </si>
  <si>
    <t>Cây kiểng cho văn phòng</t>
  </si>
  <si>
    <t>Thuê VP T09/2020</t>
  </si>
  <si>
    <t>Thuê VP+Kho</t>
  </si>
  <si>
    <t>Trần Thị Ánh Tuyết</t>
  </si>
  <si>
    <t>Thuê VP</t>
  </si>
  <si>
    <t>Tiền nước VP</t>
  </si>
  <si>
    <t>Công Ty Cấp Nước Gia Định</t>
  </si>
  <si>
    <t>Nước VP</t>
  </si>
  <si>
    <t>Thiết bị chuyển đổi Audio + Ổ cắm điện</t>
  </si>
  <si>
    <t>Thuê VP Hà Nội (10/10-09/04/2021)</t>
  </si>
  <si>
    <t>Thuê VP Hà Nội</t>
  </si>
  <si>
    <t>Xăng xe,gửi xe</t>
  </si>
  <si>
    <t>Công tác phí</t>
  </si>
  <si>
    <t>Thực phẩm</t>
  </si>
  <si>
    <t>Điện thoại VNPT T09/2020</t>
  </si>
  <si>
    <t>Trung Tâm Kinh Doanh VNPT Thành Phố Hồ Chí Minh</t>
  </si>
  <si>
    <t>Điện thoại</t>
  </si>
  <si>
    <t xml:space="preserve">Chi phí ăn uống tiếp khách </t>
  </si>
  <si>
    <t>Grab doanh nghiệp T09/2020</t>
  </si>
  <si>
    <t>Công Ty TNHH Grap</t>
  </si>
  <si>
    <t>Grab</t>
  </si>
  <si>
    <t>Khung treo ti vi ,công lắp</t>
  </si>
  <si>
    <t>Chi phí văn phòng phẩm cho Vacons</t>
  </si>
  <si>
    <t>Công Ty TNHH Thương Mại Dịch Vụ Văn Phòng Phẩm Fast</t>
  </si>
  <si>
    <t>Chi Nhánh 7 Công Ty Cổ Phần Niso</t>
  </si>
  <si>
    <t>Nguyễn Huỳnh Lộc</t>
  </si>
  <si>
    <t>Phí đóng bảo hiểm thay còi xe ,vá lớp xe</t>
  </si>
  <si>
    <t>Thuê văn phòng ( Tầng 5 tòa nhà 132-134 Điện Biên Phủ ,Phường Đa Kao ,Quận 1,Tp.HCM</t>
  </si>
  <si>
    <t>Công Ty TNHH Tư Vấn Phát Triển Nam Việt Luật</t>
  </si>
  <si>
    <t>Thuê VP Điện Biên Phủ</t>
  </si>
  <si>
    <t>Phí 3 tháng Mail Server</t>
  </si>
  <si>
    <t>Công Ty TNHH P.A Việt Nam</t>
  </si>
  <si>
    <t>Internet</t>
  </si>
  <si>
    <t>Tặng quà cho khách</t>
  </si>
  <si>
    <t>Phạm Thị Thương</t>
  </si>
  <si>
    <t>Phí dịch vụ nhập hàng T07+T08+T09+T10</t>
  </si>
  <si>
    <t>Hưng Spec</t>
  </si>
  <si>
    <t>Nguyễn Thị Bích Ngọc</t>
  </si>
  <si>
    <t>Dịch Vụ VAT</t>
  </si>
  <si>
    <t xml:space="preserve">Hoa tặng khách hàng của Anh Mỹ  ngày 20/10 </t>
  </si>
  <si>
    <t>Cửa Hàng Bán Lẻ Hoa &amp; Dịch Vụ Hoa ( Dalat Hasfarm)</t>
  </si>
  <si>
    <t>Phí ngân hàng</t>
  </si>
  <si>
    <t>Ngân Hàng TMCP Công Thương Việt Nam</t>
  </si>
  <si>
    <t>Vay mua xe</t>
  </si>
  <si>
    <t>BHXH T10</t>
  </si>
  <si>
    <t>Bảo Hiểm Xã Hội Quận Bình Thạnh</t>
  </si>
  <si>
    <t>BHXH</t>
  </si>
  <si>
    <t>Chi hộ</t>
  </si>
  <si>
    <t>Thuê kho</t>
  </si>
  <si>
    <t>Phí giao hoa tặng KH ngày 20/10/2020</t>
  </si>
  <si>
    <t>Nguyễn Đặng Thảo Tiên</t>
  </si>
  <si>
    <t>LALAMOVE</t>
  </si>
  <si>
    <t>Phan Thanh Sáng</t>
  </si>
  <si>
    <t xml:space="preserve">Lẵng hoa + chậu </t>
  </si>
  <si>
    <t>Reset Main máy EPSON L1800</t>
  </si>
  <si>
    <t>Công Ty TNHH Đầu Tư Công Nghệ Nguyễn Phan</t>
  </si>
  <si>
    <t>Sữa chữa máy móc , thiết bị</t>
  </si>
  <si>
    <t>Xăng xe</t>
  </si>
  <si>
    <t>Công Ty Cổ Phần Cơ Khí Xăng Dầu</t>
  </si>
  <si>
    <t>Tiến Khoa</t>
  </si>
  <si>
    <t>TT kết hợp nhân ngày 20/10, sinh nhật nhân viên tháng 10/2020 
và chúc mừng trúng thầu các dự án mới (DIAG, MAYORA, UOA)</t>
  </si>
  <si>
    <t>CP phúc lợi</t>
  </si>
  <si>
    <t>Quỹ từ thiện hướng về đồng bào miền Trung</t>
  </si>
  <si>
    <t>Hội từ thiện Thiện Tâm</t>
  </si>
  <si>
    <t>Từ thiện</t>
  </si>
  <si>
    <t>Thay bản lề laptop DELL</t>
  </si>
  <si>
    <t>Sửa Iphone x ĐT Laptop Surface Macbook Đồng Hồ Tivi</t>
  </si>
  <si>
    <t>Bút Laze trình chiếu</t>
  </si>
  <si>
    <t>Công cụ , dụng cụ</t>
  </si>
  <si>
    <t>Bổ sung thuế GTGT</t>
  </si>
  <si>
    <t>Chi Cục Thuế Quận Bình Thạnh</t>
  </si>
  <si>
    <t>Thuế GTGT</t>
  </si>
  <si>
    <t>Nạp điện thoại cho Sếp 0902 987 998</t>
  </si>
  <si>
    <t>Mobi</t>
  </si>
  <si>
    <t>Máy lọc không khí Samsung AX34R3020WW/SW</t>
  </si>
  <si>
    <t>Lazada</t>
  </si>
  <si>
    <t>Chi phúc lợi mừng đám cưới nhân viên (Mr Lộc)</t>
  </si>
  <si>
    <t>Phí dịch vụ ngân hàng</t>
  </si>
  <si>
    <t>SHB</t>
  </si>
  <si>
    <t>In thiệp chúc mừng khai trương văn phòng SRF</t>
  </si>
  <si>
    <t>In ấn</t>
  </si>
  <si>
    <t>Hồ cá thủy sinh phòng Sếp</t>
  </si>
  <si>
    <t>Tiền rác T10/2020</t>
  </si>
  <si>
    <t>Rác</t>
  </si>
  <si>
    <t>Tạm ứng đợt 1(50%) thủ tục xin cấp chứng chỉ năng lực hoạt động xây dựng</t>
  </si>
  <si>
    <t>Công Ty CP - TVTK - ĐT TM Xây Dựng An Thịnh Phát</t>
  </si>
  <si>
    <t>Thêm cây vào hồ cá thủy sinh</t>
  </si>
  <si>
    <t>Phí gửi xe T10/2020</t>
  </si>
  <si>
    <t>Hoa trái cây cúng ông địa + chìa khóa thêm cho cổng công ty</t>
  </si>
  <si>
    <t>Tiếp khách  - team Hoàng Phúc</t>
  </si>
  <si>
    <t>Gongcha</t>
  </si>
  <si>
    <t>Giải ngân quỹ phúc lợi năm 2019 - Huỳnh Kim Thành</t>
  </si>
  <si>
    <t>ln</t>
  </si>
  <si>
    <t>Đổi ga T10/2020</t>
  </si>
  <si>
    <t>Thay bóng đèn toilet văn phòng công ty</t>
  </si>
  <si>
    <t>Sữa chữa văn phòng</t>
  </si>
  <si>
    <t>Phí giáo viên lớp học Tiếng Anh Vacons từ 28/09-30/10/2020</t>
  </si>
  <si>
    <t>Nguyễn Thị Mỹ Hạnh</t>
  </si>
  <si>
    <t>In bao thư thiệp</t>
  </si>
  <si>
    <t>Công Ty TNHH TM DV In Ấn Trí Đạt</t>
  </si>
  <si>
    <t>Nguyễn Ngọc Khánh Đoan</t>
  </si>
  <si>
    <t>Thuê VP T11/2020</t>
  </si>
  <si>
    <t>Cước chuyển phát T07+T08/2020</t>
  </si>
  <si>
    <t>Tổng công ty cổ phần bưu chính Viettel</t>
  </si>
  <si>
    <t>CPN</t>
  </si>
  <si>
    <t>Cước chuyển phát T09/2020</t>
  </si>
  <si>
    <t>Phí vệ sinh T10/2020</t>
  </si>
  <si>
    <t>Số 49 Đặng Thùy Trâm</t>
  </si>
  <si>
    <t>Phụ cấp cô dọn dẹp</t>
  </si>
  <si>
    <t>Chân máy chiếu phòng A.Mỹ</t>
  </si>
  <si>
    <t>Chia buồn cùng gia đình Mr Đặng Ngọc Thắng</t>
  </si>
  <si>
    <t>Vòng hoa chia buồn cùng gia đình Mr Đặng Ngọc Thắng</t>
  </si>
  <si>
    <t>Hội phí tham gia hiệp hội thiết kế VDAS</t>
  </si>
  <si>
    <t>Hiệp Hội Thiết Kế Mẫu Và Sáng Tạo Mỹ Thuật VN - VP Phía Nam</t>
  </si>
  <si>
    <t>Chi phí điện thoại T10/2020</t>
  </si>
  <si>
    <t>Trung Tâm Kinh Doanh VNPT Thành Phố Hồ Chí Minh - Chi Nhánh Tổng Công Ty Dịch Vụ Viễn Thông</t>
  </si>
  <si>
    <t>CP điện thoại</t>
  </si>
  <si>
    <t>Chi phí điện thoại T10/2020 (Mr Trí sử dụng)</t>
  </si>
  <si>
    <t>Chi phí Grab T10/2020</t>
  </si>
  <si>
    <t>Công Ty TNHH Grab</t>
  </si>
  <si>
    <t>CP Grab</t>
  </si>
  <si>
    <t>Chi phí Grab T10/2020 (Sếp Mỹ)</t>
  </si>
  <si>
    <t>Bánh kem sinh nhật T11/2020</t>
  </si>
  <si>
    <t>Chi phí thực phẩm</t>
  </si>
  <si>
    <t>Mực in màu Inktec</t>
  </si>
  <si>
    <t>Tiền rác T11/2020</t>
  </si>
  <si>
    <t>Cước chuyển phát T10/2020</t>
  </si>
  <si>
    <t>Chi phí mua máy in màu Epson 7710</t>
  </si>
  <si>
    <t>Mực in Ricoh</t>
  </si>
  <si>
    <t>Phí nạp mực máy in ,mua hộp mực</t>
  </si>
  <si>
    <t>Chi phí cước internet 06 tháng kho công ty</t>
  </si>
  <si>
    <t>VNPT</t>
  </si>
  <si>
    <t>Chi phí đăng ký hệ thống mạng đấu thầu quốc gia</t>
  </si>
  <si>
    <t>Trung Tâm Đấu Thầu Qua Mạng Quốc Gia</t>
  </si>
  <si>
    <t xml:space="preserve">Phí giáo viên lớp học Tiếng Anh Vacons 07 buổi </t>
  </si>
  <si>
    <t>Phí gửi xe T11/2020</t>
  </si>
  <si>
    <t>Trần Thị Huyền Trân</t>
  </si>
  <si>
    <t>Chi phí mua trái cây,công chứng ,photo</t>
  </si>
  <si>
    <t>Chi phí dịch vụ giấy phép kinh doanh công ty mới</t>
  </si>
  <si>
    <t>Nguyễn Thanh Tùng</t>
  </si>
  <si>
    <t>Chi phí mua cây ,hoa tặng đối tác</t>
  </si>
  <si>
    <t xml:space="preserve">CN Cty TNHH Dalat Hasfarm </t>
  </si>
  <si>
    <t>Chi phí gia hạn phần mềm BKAV</t>
  </si>
  <si>
    <t>Chi phí mua tên miền Vaconsreal.com.vn &amp; nâng cấp hosting</t>
  </si>
  <si>
    <t>Chi phí thay mực máy in A3</t>
  </si>
  <si>
    <t>Chi phí điện thoại T11/2020</t>
  </si>
  <si>
    <t>Chi phí điện thoại T11/2020 (Mr Trí sử dụng)</t>
  </si>
  <si>
    <t>Cước chuyển phát T11/2020</t>
  </si>
  <si>
    <t>Chi phí Grab T11/2020</t>
  </si>
  <si>
    <t>Lê Nguyễn Ngọc Nhung</t>
  </si>
  <si>
    <t>Chi phí mua lẵng hoa (RI 1075)</t>
  </si>
  <si>
    <t>Mua bìa dựng hồ sơ thầu</t>
  </si>
  <si>
    <t>Công Ty TNHH TM DV PT Phúc Thịnh</t>
  </si>
  <si>
    <t>Phạm Nguyễn Bảo Ngọc</t>
  </si>
  <si>
    <t>Chi phí mua hoa tặng khách hàng</t>
  </si>
  <si>
    <t>Hoa Tươi Cỏ Xuân</t>
  </si>
  <si>
    <t>Tiền rác T12/2020</t>
  </si>
  <si>
    <t xml:space="preserve">Chi phí mua USB ,ổ cắm điện </t>
  </si>
  <si>
    <t>Phí gửi xe T12/2020</t>
  </si>
  <si>
    <t>Nguyễn Hoàng Luân</t>
  </si>
  <si>
    <t>Chi phí mua vé tham gia Event VDAS</t>
  </si>
  <si>
    <t>Công Ty TNHH PT Thiết Kế Việt Nam</t>
  </si>
  <si>
    <t>Phí giáo viên lớp học Tiếng Anh Vacons từ 01+03+08+15+22/12</t>
  </si>
  <si>
    <t>Trần Gia Minh</t>
  </si>
  <si>
    <t>Chi phí mua hoa và trái cây,đồ dùng Vacons</t>
  </si>
  <si>
    <t>Tổng cộng</t>
  </si>
  <si>
    <t xml:space="preserve">Nam Thuận ENEGRY </t>
  </si>
  <si>
    <t>AQUA SONATUS</t>
  </si>
  <si>
    <t>Nam Thuận T19</t>
  </si>
  <si>
    <t>Số đã tt 2020</t>
  </si>
  <si>
    <t>TỔNG ĐÃ THANH TOÁN 2021</t>
  </si>
  <si>
    <t>đã trả (2020+2021)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</si>
</sst>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\ _₫_-;\-* #,##0\ _₫_-;_-* &quot;-&quot;??\ _₫_-;_-@_-"/>
    <numFmt numFmtId="165" formatCode="_-* #,##0.0\ _₫_-;\-* #,##0.0\ _₫_-;_-* &quot;-&quot;??\ _₫_-;_-@_-"/>
    <numFmt numFmtId="166" formatCode="_(* #,##0_);_(* \(#,##0\);_(* &quot;-&quot;??_);_(@_)"/>
    <numFmt numFmtId="167" formatCode="_(* #,##0.0_);_(* \(#,##0.0\);_(* &quot;-&quot;??_);_(@_)"/>
  </numFmts>
  <fonts count="7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20"/>
      <color theme="1"/>
      <name val="Times New Roman"/>
      <family val="1"/>
    </font>
    <font>
      <b/>
      <sz val="9"/>
      <color indexed="81"/>
      <name val="Tahoma"/>
      <family val="2"/>
    </font>
    <font>
      <b/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sz val="15"/>
      <color theme="1"/>
      <name val="Times New Roman"/>
      <family val="1"/>
    </font>
    <font>
      <sz val="15"/>
      <color rgb="FF000000"/>
      <name val="Arial"/>
      <family val="2"/>
    </font>
    <font>
      <b/>
      <i/>
      <sz val="15"/>
      <color theme="1"/>
      <name val="Times New Roman"/>
      <family val="1"/>
    </font>
    <font>
      <i/>
      <sz val="15"/>
      <color theme="1"/>
      <name val="Times New Roman"/>
      <family val="1"/>
    </font>
    <font>
      <sz val="15"/>
      <color rgb="FFFF0000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rgb="FF000000"/>
      <name val="Times New Roman"/>
      <family val="1"/>
    </font>
    <font>
      <i/>
      <sz val="13"/>
      <color theme="1"/>
      <name val="Times New Roman"/>
      <family val="1"/>
    </font>
    <font>
      <i/>
      <sz val="13"/>
      <name val="Times New Roman"/>
      <family val="1"/>
    </font>
    <font>
      <i/>
      <sz val="12"/>
      <color theme="1"/>
      <name val="Times New Roman"/>
      <family val="1"/>
    </font>
    <font>
      <b/>
      <u val="singleAccounting"/>
      <sz val="17"/>
      <color theme="1"/>
      <name val="Times New Roman"/>
      <family val="1"/>
    </font>
    <font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sz val="30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sz val="13"/>
      <color rgb="FFFF0000"/>
      <name val="Times New Roman"/>
      <family val="1"/>
    </font>
    <font>
      <b/>
      <sz val="50"/>
      <color theme="1"/>
      <name val="Times New Roman"/>
      <family val="1"/>
    </font>
    <font>
      <b/>
      <sz val="50"/>
      <color rgb="FFFF0000"/>
      <name val="Times New Roman"/>
      <family val="1"/>
    </font>
    <font>
      <sz val="13"/>
      <name val="Times New Roman"/>
      <family val="1"/>
    </font>
    <font>
      <b/>
      <sz val="20"/>
      <color rgb="FFFF0000"/>
      <name val="Times New Roman"/>
      <family val="1"/>
    </font>
    <font>
      <i/>
      <sz val="12"/>
      <name val="Times New Roman"/>
      <family val="1"/>
    </font>
    <font>
      <b/>
      <i/>
      <sz val="12"/>
      <color rgb="FFFF0000"/>
      <name val="Times New Roman"/>
      <family val="1"/>
    </font>
    <font>
      <b/>
      <i/>
      <sz val="12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charset val="163"/>
      <scheme val="minor"/>
    </font>
    <font>
      <sz val="12"/>
      <color theme="1"/>
      <name val="Times New Roman"/>
      <family val="1"/>
    </font>
    <font>
      <i/>
      <sz val="13"/>
      <color rgb="FFFF0000"/>
      <name val="Times New Roman"/>
      <family val="1"/>
    </font>
    <font>
      <i/>
      <sz val="15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28"/>
      <color theme="1"/>
      <name val="Times New Roman"/>
      <family val="1"/>
    </font>
    <font>
      <b/>
      <sz val="13"/>
      <color rgb="FFFF0000"/>
      <name val="Times New Roman"/>
      <family val="1"/>
    </font>
    <font>
      <sz val="9"/>
      <color indexed="81"/>
      <name val="Tahoma"/>
      <family val="2"/>
    </font>
    <font>
      <b/>
      <sz val="36"/>
      <color rgb="FFFF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20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.5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63"/>
    </font>
    <font>
      <b/>
      <sz val="9"/>
      <color indexed="81"/>
      <name val="Tahoma"/>
      <charset val="163"/>
    </font>
  </fonts>
  <fills count="2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8CC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/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25">
    <xf numFmtId="0" fontId="0" fillId="0" borderId="0" xfId="0"/>
    <xf numFmtId="164" fontId="6" fillId="0" borderId="0" xfId="1" applyNumberFormat="1" applyFont="1" applyAlignment="1">
      <alignment horizontal="center" vertical="center"/>
    </xf>
    <xf numFmtId="43" fontId="6" fillId="0" borderId="0" xfId="1" applyFont="1" applyAlignment="1">
      <alignment horizontal="center" vertical="center" wrapText="1"/>
    </xf>
    <xf numFmtId="43" fontId="6" fillId="0" borderId="0" xfId="1" applyFont="1" applyAlignment="1">
      <alignment horizontal="center"/>
    </xf>
    <xf numFmtId="43" fontId="6" fillId="0" borderId="0" xfId="1" applyFont="1" applyAlignment="1">
      <alignment horizontal="center" vertical="center"/>
    </xf>
    <xf numFmtId="43" fontId="6" fillId="0" borderId="0" xfId="1" applyFont="1"/>
    <xf numFmtId="164" fontId="7" fillId="0" borderId="0" xfId="0" applyNumberFormat="1" applyFont="1" applyAlignment="1">
      <alignment horizontal="center"/>
    </xf>
    <xf numFmtId="164" fontId="8" fillId="0" borderId="0" xfId="1" applyNumberFormat="1" applyFont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43" fontId="4" fillId="3" borderId="2" xfId="1" applyFont="1" applyFill="1" applyBorder="1" applyAlignment="1">
      <alignment horizontal="center" vertical="center" wrapText="1"/>
    </xf>
    <xf numFmtId="43" fontId="4" fillId="3" borderId="2" xfId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4" borderId="2" xfId="1" applyNumberFormat="1" applyFont="1" applyFill="1" applyBorder="1" applyAlignment="1">
      <alignment horizontal="center" vertical="center" wrapText="1"/>
    </xf>
    <xf numFmtId="164" fontId="4" fillId="5" borderId="2" xfId="1" applyNumberFormat="1" applyFont="1" applyFill="1" applyBorder="1" applyAlignment="1">
      <alignment horizontal="center" vertical="center" wrapText="1"/>
    </xf>
    <xf numFmtId="43" fontId="4" fillId="6" borderId="3" xfId="1" applyFont="1" applyFill="1" applyBorder="1" applyAlignment="1">
      <alignment horizontal="center" vertical="center"/>
    </xf>
    <xf numFmtId="43" fontId="4" fillId="3" borderId="4" xfId="1" applyFont="1" applyFill="1" applyBorder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64" fontId="6" fillId="0" borderId="6" xfId="1" applyNumberFormat="1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 wrapText="1"/>
    </xf>
    <xf numFmtId="43" fontId="6" fillId="0" borderId="6" xfId="1" applyFont="1" applyBorder="1" applyAlignment="1">
      <alignment horizontal="center"/>
    </xf>
    <xf numFmtId="164" fontId="10" fillId="0" borderId="6" xfId="1" applyNumberFormat="1" applyFont="1" applyBorder="1" applyAlignment="1">
      <alignment horizontal="center" vertical="center"/>
    </xf>
    <xf numFmtId="43" fontId="6" fillId="0" borderId="7" xfId="1" applyFont="1" applyBorder="1" applyAlignment="1">
      <alignment horizontal="center" vertical="center"/>
    </xf>
    <xf numFmtId="43" fontId="6" fillId="0" borderId="8" xfId="1" applyFont="1" applyBorder="1" applyAlignment="1">
      <alignment horizontal="center" vertical="center"/>
    </xf>
    <xf numFmtId="43" fontId="6" fillId="0" borderId="9" xfId="1" applyFont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6" fillId="0" borderId="11" xfId="1" applyFont="1" applyBorder="1" applyAlignment="1">
      <alignment horizontal="center"/>
    </xf>
    <xf numFmtId="164" fontId="10" fillId="0" borderId="11" xfId="1" applyNumberFormat="1" applyFont="1" applyBorder="1" applyAlignment="1">
      <alignment horizontal="center" vertical="center"/>
    </xf>
    <xf numFmtId="43" fontId="6" fillId="0" borderId="12" xfId="1" applyFont="1" applyBorder="1" applyAlignment="1">
      <alignment horizontal="center" vertical="center"/>
    </xf>
    <xf numFmtId="43" fontId="6" fillId="0" borderId="13" xfId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/>
    </xf>
    <xf numFmtId="43" fontId="6" fillId="0" borderId="15" xfId="1" applyFont="1" applyBorder="1" applyAlignment="1">
      <alignment horizontal="center" vertical="center"/>
    </xf>
    <xf numFmtId="43" fontId="6" fillId="0" borderId="16" xfId="1" applyFont="1" applyBorder="1" applyAlignment="1">
      <alignment horizontal="center" vertical="center"/>
    </xf>
    <xf numFmtId="14" fontId="6" fillId="0" borderId="11" xfId="1" applyNumberFormat="1" applyFont="1" applyBorder="1" applyAlignment="1">
      <alignment horizontal="center" vertical="center"/>
    </xf>
    <xf numFmtId="43" fontId="6" fillId="0" borderId="11" xfId="1" applyFont="1" applyFill="1" applyBorder="1" applyAlignment="1">
      <alignment horizontal="center" vertical="center" wrapText="1"/>
    </xf>
    <xf numFmtId="43" fontId="6" fillId="0" borderId="11" xfId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 vertical="center"/>
    </xf>
    <xf numFmtId="43" fontId="6" fillId="0" borderId="16" xfId="1" applyFont="1" applyFill="1" applyBorder="1" applyAlignment="1">
      <alignment horizontal="center" vertical="center"/>
    </xf>
    <xf numFmtId="43" fontId="6" fillId="0" borderId="15" xfId="1" applyFont="1" applyFill="1" applyBorder="1" applyAlignment="1">
      <alignment horizontal="center" vertical="center"/>
    </xf>
    <xf numFmtId="43" fontId="6" fillId="0" borderId="11" xfId="1" applyFont="1" applyFill="1" applyBorder="1" applyAlignment="1">
      <alignment horizontal="center" vertical="center"/>
    </xf>
    <xf numFmtId="43" fontId="6" fillId="0" borderId="0" xfId="1" applyFont="1" applyFill="1"/>
    <xf numFmtId="43" fontId="6" fillId="0" borderId="16" xfId="1" quotePrefix="1" applyFont="1" applyBorder="1" applyAlignment="1">
      <alignment horizontal="center" vertical="center" wrapText="1"/>
    </xf>
    <xf numFmtId="43" fontId="6" fillId="0" borderId="16" xfId="1" quotePrefix="1" applyFont="1" applyBorder="1" applyAlignment="1">
      <alignment horizontal="center" vertical="center"/>
    </xf>
    <xf numFmtId="43" fontId="6" fillId="0" borderId="14" xfId="1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/>
    </xf>
    <xf numFmtId="43" fontId="10" fillId="0" borderId="11" xfId="1" applyFont="1" applyBorder="1" applyAlignment="1">
      <alignment horizontal="center" vertical="center" wrapText="1"/>
    </xf>
    <xf numFmtId="43" fontId="10" fillId="0" borderId="11" xfId="1" applyFont="1" applyBorder="1" applyAlignment="1">
      <alignment horizontal="center" wrapText="1"/>
    </xf>
    <xf numFmtId="43" fontId="10" fillId="0" borderId="16" xfId="1" applyFont="1" applyBorder="1" applyAlignment="1">
      <alignment horizontal="center" vertical="center"/>
    </xf>
    <xf numFmtId="43" fontId="10" fillId="0" borderId="15" xfId="1" applyFont="1" applyBorder="1" applyAlignment="1">
      <alignment horizontal="center" vertical="center"/>
    </xf>
    <xf numFmtId="43" fontId="10" fillId="0" borderId="11" xfId="1" applyFont="1" applyBorder="1" applyAlignment="1">
      <alignment horizontal="center" vertical="center"/>
    </xf>
    <xf numFmtId="43" fontId="10" fillId="0" borderId="0" xfId="1" applyFont="1"/>
    <xf numFmtId="43" fontId="10" fillId="0" borderId="14" xfId="1" applyFont="1" applyBorder="1" applyAlignment="1">
      <alignment horizontal="center" vertical="center" wrapText="1"/>
    </xf>
    <xf numFmtId="43" fontId="10" fillId="0" borderId="14" xfId="1" applyFont="1" applyBorder="1" applyAlignment="1">
      <alignment horizontal="center" wrapText="1"/>
    </xf>
    <xf numFmtId="43" fontId="6" fillId="0" borderId="20" xfId="1" applyFont="1" applyBorder="1" applyAlignment="1">
      <alignment horizontal="center" vertical="center"/>
    </xf>
    <xf numFmtId="164" fontId="11" fillId="4" borderId="20" xfId="1" applyNumberFormat="1" applyFont="1" applyFill="1" applyBorder="1" applyAlignment="1">
      <alignment horizontal="center" vertical="center"/>
    </xf>
    <xf numFmtId="164" fontId="5" fillId="5" borderId="20" xfId="1" applyNumberFormat="1" applyFont="1" applyFill="1" applyBorder="1" applyAlignment="1">
      <alignment horizontal="center" vertical="center"/>
    </xf>
    <xf numFmtId="43" fontId="6" fillId="0" borderId="21" xfId="1" applyFont="1" applyBorder="1" applyAlignment="1">
      <alignment horizontal="center" vertical="center"/>
    </xf>
    <xf numFmtId="43" fontId="6" fillId="0" borderId="22" xfId="1" applyFont="1" applyBorder="1" applyAlignment="1">
      <alignment horizontal="center" vertical="center"/>
    </xf>
    <xf numFmtId="43" fontId="6" fillId="0" borderId="23" xfId="1" applyFont="1" applyBorder="1" applyAlignment="1">
      <alignment horizontal="center" vertical="center"/>
    </xf>
    <xf numFmtId="164" fontId="6" fillId="7" borderId="17" xfId="1" applyNumberFormat="1" applyFont="1" applyFill="1" applyBorder="1" applyAlignment="1">
      <alignment horizontal="center" vertical="center"/>
    </xf>
    <xf numFmtId="43" fontId="6" fillId="7" borderId="17" xfId="1" applyFont="1" applyFill="1" applyBorder="1" applyAlignment="1">
      <alignment horizontal="center" vertical="center" wrapText="1"/>
    </xf>
    <xf numFmtId="43" fontId="6" fillId="7" borderId="17" xfId="1" applyFont="1" applyFill="1" applyBorder="1" applyAlignment="1">
      <alignment horizontal="center"/>
    </xf>
    <xf numFmtId="43" fontId="6" fillId="7" borderId="24" xfId="1" applyFont="1" applyFill="1" applyBorder="1" applyAlignment="1">
      <alignment horizontal="center" vertical="center"/>
    </xf>
    <xf numFmtId="43" fontId="6" fillId="7" borderId="25" xfId="1" applyFont="1" applyFill="1" applyBorder="1" applyAlignment="1">
      <alignment horizontal="center" vertical="center"/>
    </xf>
    <xf numFmtId="43" fontId="6" fillId="7" borderId="5" xfId="1" applyFont="1" applyFill="1" applyBorder="1" applyAlignment="1">
      <alignment horizontal="center" vertical="center"/>
    </xf>
    <xf numFmtId="43" fontId="6" fillId="0" borderId="9" xfId="1" applyFont="1" applyBorder="1" applyAlignment="1">
      <alignment horizontal="center" vertical="center" wrapText="1"/>
    </xf>
    <xf numFmtId="43" fontId="6" fillId="0" borderId="9" xfId="1" applyFont="1" applyBorder="1" applyAlignment="1">
      <alignment horizontal="center"/>
    </xf>
    <xf numFmtId="164" fontId="6" fillId="0" borderId="9" xfId="1" applyNumberFormat="1" applyFont="1" applyBorder="1" applyAlignment="1">
      <alignment horizontal="center" vertical="center"/>
    </xf>
    <xf numFmtId="43" fontId="6" fillId="0" borderId="12" xfId="1" applyFont="1" applyFill="1" applyBorder="1" applyAlignment="1">
      <alignment horizontal="center" vertical="center"/>
    </xf>
    <xf numFmtId="43" fontId="6" fillId="0" borderId="13" xfId="1" applyFont="1" applyFill="1" applyBorder="1" applyAlignment="1">
      <alignment horizontal="center" vertical="center"/>
    </xf>
    <xf numFmtId="164" fontId="6" fillId="7" borderId="23" xfId="1" applyNumberFormat="1" applyFont="1" applyFill="1" applyBorder="1" applyAlignment="1">
      <alignment horizontal="center" vertical="center"/>
    </xf>
    <xf numFmtId="43" fontId="6" fillId="7" borderId="23" xfId="1" applyFont="1" applyFill="1" applyBorder="1" applyAlignment="1">
      <alignment horizontal="center" vertical="center" wrapText="1"/>
    </xf>
    <xf numFmtId="43" fontId="6" fillId="7" borderId="23" xfId="1" applyFont="1" applyFill="1" applyBorder="1" applyAlignment="1">
      <alignment horizontal="center"/>
    </xf>
    <xf numFmtId="43" fontId="6" fillId="7" borderId="27" xfId="1" applyFont="1" applyFill="1" applyBorder="1" applyAlignment="1">
      <alignment horizontal="center" vertical="center"/>
    </xf>
    <xf numFmtId="43" fontId="6" fillId="0" borderId="18" xfId="1" applyFont="1" applyBorder="1" applyAlignment="1">
      <alignment horizontal="center" vertical="center" wrapText="1"/>
    </xf>
    <xf numFmtId="43" fontId="6" fillId="0" borderId="18" xfId="1" applyFont="1" applyBorder="1" applyAlignment="1">
      <alignment horizontal="center"/>
    </xf>
    <xf numFmtId="43" fontId="6" fillId="0" borderId="29" xfId="1" quotePrefix="1" applyFont="1" applyBorder="1" applyAlignment="1">
      <alignment horizontal="center" vertical="center"/>
    </xf>
    <xf numFmtId="43" fontId="6" fillId="0" borderId="30" xfId="1" applyFont="1" applyBorder="1" applyAlignment="1">
      <alignment horizontal="center" vertical="center"/>
    </xf>
    <xf numFmtId="43" fontId="12" fillId="0" borderId="31" xfId="1" applyFont="1" applyBorder="1" applyAlignment="1">
      <alignment horizontal="center" vertical="center" wrapText="1"/>
    </xf>
    <xf numFmtId="43" fontId="12" fillId="0" borderId="14" xfId="1" applyFont="1" applyBorder="1" applyAlignment="1">
      <alignment horizontal="center"/>
    </xf>
    <xf numFmtId="164" fontId="12" fillId="0" borderId="14" xfId="1" applyNumberFormat="1" applyFont="1" applyBorder="1" applyAlignment="1">
      <alignment horizontal="center" vertical="center"/>
    </xf>
    <xf numFmtId="43" fontId="10" fillId="0" borderId="14" xfId="1" applyFont="1" applyBorder="1" applyAlignment="1">
      <alignment horizontal="center"/>
    </xf>
    <xf numFmtId="43" fontId="10" fillId="0" borderId="23" xfId="1" applyFont="1" applyBorder="1" applyAlignment="1">
      <alignment horizontal="center" vertical="center" wrapText="1"/>
    </xf>
    <xf numFmtId="43" fontId="10" fillId="0" borderId="23" xfId="1" applyFont="1" applyBorder="1" applyAlignment="1">
      <alignment horizontal="center" wrapText="1"/>
    </xf>
    <xf numFmtId="164" fontId="10" fillId="0" borderId="23" xfId="1" applyNumberFormat="1" applyFont="1" applyBorder="1" applyAlignment="1">
      <alignment horizontal="center" vertical="center"/>
    </xf>
    <xf numFmtId="43" fontId="10" fillId="0" borderId="27" xfId="1" applyFont="1" applyBorder="1" applyAlignment="1">
      <alignment horizontal="center" vertical="center"/>
    </xf>
    <xf numFmtId="43" fontId="10" fillId="0" borderId="28" xfId="1" applyFont="1" applyBorder="1" applyAlignment="1">
      <alignment horizontal="center" vertical="center"/>
    </xf>
    <xf numFmtId="43" fontId="6" fillId="0" borderId="32" xfId="1" applyFont="1" applyBorder="1" applyAlignment="1">
      <alignment horizontal="center" vertical="center"/>
    </xf>
    <xf numFmtId="43" fontId="6" fillId="0" borderId="24" xfId="1" applyFont="1" applyBorder="1" applyAlignment="1">
      <alignment horizontal="center" vertical="center"/>
    </xf>
    <xf numFmtId="43" fontId="6" fillId="0" borderId="25" xfId="1" applyFont="1" applyBorder="1" applyAlignment="1">
      <alignment horizontal="center" vertical="center"/>
    </xf>
    <xf numFmtId="43" fontId="6" fillId="0" borderId="11" xfId="1" quotePrefix="1" applyFont="1" applyBorder="1" applyAlignment="1">
      <alignment horizontal="center"/>
    </xf>
    <xf numFmtId="43" fontId="6" fillId="0" borderId="12" xfId="1" quotePrefix="1" applyFont="1" applyBorder="1" applyAlignment="1">
      <alignment horizontal="center" vertical="center" wrapText="1"/>
    </xf>
    <xf numFmtId="43" fontId="6" fillId="0" borderId="13" xfId="1" quotePrefix="1" applyFont="1" applyBorder="1" applyAlignment="1">
      <alignment horizontal="center" vertical="center" wrapText="1"/>
    </xf>
    <xf numFmtId="43" fontId="6" fillId="0" borderId="14" xfId="1" applyFont="1" applyFill="1" applyBorder="1" applyAlignment="1">
      <alignment horizontal="center" vertical="center" wrapText="1"/>
    </xf>
    <xf numFmtId="43" fontId="6" fillId="0" borderId="14" xfId="1" applyFont="1" applyFill="1" applyBorder="1" applyAlignment="1">
      <alignment horizontal="center"/>
    </xf>
    <xf numFmtId="164" fontId="6" fillId="0" borderId="14" xfId="1" applyNumberFormat="1" applyFont="1" applyFill="1" applyBorder="1" applyAlignment="1">
      <alignment horizontal="center" vertical="center"/>
    </xf>
    <xf numFmtId="43" fontId="10" fillId="0" borderId="14" xfId="1" applyFont="1" applyBorder="1" applyAlignment="1">
      <alignment horizontal="center" vertical="center"/>
    </xf>
    <xf numFmtId="164" fontId="6" fillId="0" borderId="11" xfId="1" applyNumberFormat="1" applyFont="1" applyBorder="1" applyAlignment="1">
      <alignment horizontal="center"/>
    </xf>
    <xf numFmtId="43" fontId="12" fillId="0" borderId="14" xfId="1" applyFont="1" applyBorder="1" applyAlignment="1">
      <alignment horizontal="center" vertical="center" wrapText="1"/>
    </xf>
    <xf numFmtId="164" fontId="11" fillId="4" borderId="23" xfId="1" applyNumberFormat="1" applyFont="1" applyFill="1" applyBorder="1" applyAlignment="1">
      <alignment horizontal="center" vertical="center"/>
    </xf>
    <xf numFmtId="164" fontId="5" fillId="5" borderId="23" xfId="1" applyNumberFormat="1" applyFont="1" applyFill="1" applyBorder="1" applyAlignment="1">
      <alignment horizontal="center" vertical="center"/>
    </xf>
    <xf numFmtId="43" fontId="6" fillId="5" borderId="0" xfId="1" applyFont="1" applyFill="1"/>
    <xf numFmtId="43" fontId="6" fillId="0" borderId="34" xfId="1" applyFont="1" applyBorder="1" applyAlignment="1">
      <alignment horizontal="center" vertical="center" wrapText="1"/>
    </xf>
    <xf numFmtId="43" fontId="6" fillId="0" borderId="34" xfId="1" applyFont="1" applyBorder="1" applyAlignment="1">
      <alignment horizontal="center"/>
    </xf>
    <xf numFmtId="43" fontId="6" fillId="0" borderId="35" xfId="1" applyFont="1" applyBorder="1" applyAlignment="1">
      <alignment horizontal="center" vertical="center"/>
    </xf>
    <xf numFmtId="43" fontId="6" fillId="0" borderId="39" xfId="1" applyFont="1" applyBorder="1" applyAlignment="1">
      <alignment horizontal="center" vertical="center"/>
    </xf>
    <xf numFmtId="43" fontId="6" fillId="0" borderId="34" xfId="1" applyFont="1" applyBorder="1" applyAlignment="1">
      <alignment horizontal="center" vertical="center"/>
    </xf>
    <xf numFmtId="43" fontId="12" fillId="0" borderId="11" xfId="1" applyFont="1" applyBorder="1" applyAlignment="1">
      <alignment horizontal="center" vertical="center" wrapText="1"/>
    </xf>
    <xf numFmtId="43" fontId="12" fillId="0" borderId="11" xfId="1" applyFont="1" applyBorder="1" applyAlignment="1">
      <alignment horizontal="center"/>
    </xf>
    <xf numFmtId="164" fontId="12" fillId="0" borderId="11" xfId="1" applyNumberFormat="1" applyFont="1" applyBorder="1" applyAlignment="1">
      <alignment horizontal="center" vertical="center"/>
    </xf>
    <xf numFmtId="164" fontId="12" fillId="0" borderId="11" xfId="1" applyNumberFormat="1" applyFont="1" applyFill="1" applyBorder="1" applyAlignment="1">
      <alignment horizontal="center" vertical="center"/>
    </xf>
    <xf numFmtId="43" fontId="12" fillId="0" borderId="34" xfId="1" applyFont="1" applyBorder="1" applyAlignment="1">
      <alignment horizontal="center" vertical="center"/>
    </xf>
    <xf numFmtId="43" fontId="12" fillId="0" borderId="15" xfId="1" applyFont="1" applyBorder="1" applyAlignment="1">
      <alignment horizontal="center" vertical="center"/>
    </xf>
    <xf numFmtId="43" fontId="12" fillId="0" borderId="11" xfId="1" applyFont="1" applyBorder="1" applyAlignment="1">
      <alignment horizontal="center" vertical="center"/>
    </xf>
    <xf numFmtId="43" fontId="12" fillId="0" borderId="0" xfId="1" applyFont="1" applyAlignment="1">
      <alignment horizontal="center" vertical="center"/>
    </xf>
    <xf numFmtId="43" fontId="6" fillId="0" borderId="34" xfId="1" applyFont="1" applyFill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43" fontId="6" fillId="0" borderId="20" xfId="1" applyFont="1" applyBorder="1" applyAlignment="1">
      <alignment horizontal="center" vertical="center" wrapText="1"/>
    </xf>
    <xf numFmtId="164" fontId="6" fillId="0" borderId="23" xfId="1" applyNumberFormat="1" applyFont="1" applyBorder="1" applyAlignment="1">
      <alignment horizontal="center" vertical="center"/>
    </xf>
    <xf numFmtId="43" fontId="6" fillId="0" borderId="23" xfId="1" applyFont="1" applyBorder="1" applyAlignment="1">
      <alignment horizontal="center" vertical="center" wrapText="1"/>
    </xf>
    <xf numFmtId="43" fontId="12" fillId="0" borderId="9" xfId="1" applyFont="1" applyBorder="1" applyAlignment="1">
      <alignment horizontal="center" vertical="center" wrapText="1"/>
    </xf>
    <xf numFmtId="43" fontId="12" fillId="0" borderId="9" xfId="1" applyFont="1" applyBorder="1" applyAlignment="1">
      <alignment horizontal="center" wrapText="1"/>
    </xf>
    <xf numFmtId="164" fontId="12" fillId="0" borderId="9" xfId="1" applyNumberFormat="1" applyFont="1" applyBorder="1" applyAlignment="1">
      <alignment horizontal="center" vertical="center"/>
    </xf>
    <xf numFmtId="43" fontId="12" fillId="0" borderId="26" xfId="1" applyFont="1" applyBorder="1" applyAlignment="1">
      <alignment horizontal="center" vertical="center"/>
    </xf>
    <xf numFmtId="43" fontId="12" fillId="0" borderId="25" xfId="1" applyFont="1" applyBorder="1" applyAlignment="1">
      <alignment horizontal="center" vertical="center"/>
    </xf>
    <xf numFmtId="43" fontId="12" fillId="0" borderId="9" xfId="1" applyFont="1" applyBorder="1" applyAlignment="1">
      <alignment horizontal="center" vertical="center"/>
    </xf>
    <xf numFmtId="43" fontId="12" fillId="0" borderId="0" xfId="1" applyFont="1"/>
    <xf numFmtId="43" fontId="12" fillId="0" borderId="11" xfId="1" applyFont="1" applyBorder="1" applyAlignment="1">
      <alignment horizontal="center" wrapText="1"/>
    </xf>
    <xf numFmtId="43" fontId="12" fillId="0" borderId="12" xfId="1" applyFont="1" applyBorder="1" applyAlignment="1">
      <alignment horizontal="center" vertical="center"/>
    </xf>
    <xf numFmtId="164" fontId="13" fillId="0" borderId="0" xfId="1" applyNumberFormat="1" applyFont="1"/>
    <xf numFmtId="164" fontId="12" fillId="0" borderId="11" xfId="1" applyNumberFormat="1" applyFont="1" applyBorder="1" applyAlignment="1">
      <alignment horizontal="center" wrapText="1"/>
    </xf>
    <xf numFmtId="43" fontId="12" fillId="0" borderId="14" xfId="1" applyFont="1" applyBorder="1" applyAlignment="1">
      <alignment horizontal="center" vertical="center"/>
    </xf>
    <xf numFmtId="164" fontId="12" fillId="0" borderId="0" xfId="1" applyNumberFormat="1" applyFont="1" applyAlignment="1">
      <alignment horizontal="center" vertical="center"/>
    </xf>
    <xf numFmtId="43" fontId="6" fillId="0" borderId="29" xfId="1" applyFont="1" applyBorder="1" applyAlignment="1">
      <alignment horizontal="center" vertical="center"/>
    </xf>
    <xf numFmtId="43" fontId="6" fillId="0" borderId="46" xfId="1" applyFont="1" applyBorder="1" applyAlignment="1">
      <alignment horizontal="center" vertical="center" wrapText="1"/>
    </xf>
    <xf numFmtId="43" fontId="6" fillId="0" borderId="46" xfId="1" applyFont="1" applyBorder="1" applyAlignment="1">
      <alignment horizontal="center"/>
    </xf>
    <xf numFmtId="164" fontId="6" fillId="0" borderId="46" xfId="1" applyNumberFormat="1" applyFont="1" applyBorder="1" applyAlignment="1">
      <alignment horizontal="center" vertical="center"/>
    </xf>
    <xf numFmtId="43" fontId="6" fillId="5" borderId="15" xfId="1" applyFont="1" applyFill="1" applyBorder="1" applyAlignment="1">
      <alignment horizontal="center" vertical="center"/>
    </xf>
    <xf numFmtId="43" fontId="10" fillId="0" borderId="16" xfId="1" applyFont="1" applyBorder="1" applyAlignment="1">
      <alignment horizontal="center" vertical="center" wrapText="1"/>
    </xf>
    <xf numFmtId="43" fontId="10" fillId="0" borderId="34" xfId="1" applyFont="1" applyBorder="1" applyAlignment="1">
      <alignment horizontal="center" wrapText="1"/>
    </xf>
    <xf numFmtId="164" fontId="10" fillId="0" borderId="34" xfId="1" applyNumberFormat="1" applyFont="1" applyBorder="1" applyAlignment="1">
      <alignment horizontal="center" vertical="center"/>
    </xf>
    <xf numFmtId="164" fontId="10" fillId="0" borderId="31" xfId="1" applyNumberFormat="1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164" fontId="13" fillId="0" borderId="9" xfId="1" applyNumberFormat="1" applyFont="1" applyBorder="1" applyAlignment="1">
      <alignment horizontal="center" vertical="center"/>
    </xf>
    <xf numFmtId="43" fontId="12" fillId="0" borderId="6" xfId="1" applyFont="1" applyBorder="1" applyAlignment="1">
      <alignment horizontal="center" vertical="center" wrapText="1"/>
    </xf>
    <xf numFmtId="43" fontId="12" fillId="0" borderId="6" xfId="1" applyFont="1" applyBorder="1" applyAlignment="1">
      <alignment horizontal="center"/>
    </xf>
    <xf numFmtId="164" fontId="12" fillId="0" borderId="6" xfId="1" applyNumberFormat="1" applyFont="1" applyBorder="1" applyAlignment="1">
      <alignment horizontal="center" vertical="center"/>
    </xf>
    <xf numFmtId="43" fontId="6" fillId="0" borderId="6" xfId="1" applyFont="1" applyBorder="1" applyAlignment="1">
      <alignment horizontal="center" vertical="center"/>
    </xf>
    <xf numFmtId="43" fontId="6" fillId="0" borderId="38" xfId="1" applyFont="1" applyBorder="1" applyAlignment="1">
      <alignment horizontal="center" vertical="center"/>
    </xf>
    <xf numFmtId="43" fontId="6" fillId="0" borderId="41" xfId="1" applyFont="1" applyBorder="1" applyAlignment="1">
      <alignment horizontal="center" vertical="center"/>
    </xf>
    <xf numFmtId="164" fontId="12" fillId="0" borderId="20" xfId="1" applyNumberFormat="1" applyFont="1" applyBorder="1" applyAlignment="1">
      <alignment horizontal="center" vertical="center"/>
    </xf>
    <xf numFmtId="43" fontId="6" fillId="0" borderId="45" xfId="1" applyFont="1" applyBorder="1" applyAlignment="1">
      <alignment horizontal="center" vertical="center"/>
    </xf>
    <xf numFmtId="43" fontId="12" fillId="0" borderId="14" xfId="1" applyFont="1" applyBorder="1" applyAlignment="1">
      <alignment horizontal="center" wrapText="1"/>
    </xf>
    <xf numFmtId="43" fontId="12" fillId="0" borderId="34" xfId="1" applyFont="1" applyBorder="1" applyAlignment="1">
      <alignment horizontal="center" vertical="center" wrapText="1"/>
    </xf>
    <xf numFmtId="164" fontId="12" fillId="0" borderId="34" xfId="1" applyNumberFormat="1" applyFont="1" applyBorder="1" applyAlignment="1">
      <alignment horizontal="center" vertical="center"/>
    </xf>
    <xf numFmtId="164" fontId="12" fillId="0" borderId="31" xfId="1" applyNumberFormat="1" applyFont="1" applyBorder="1" applyAlignment="1">
      <alignment horizontal="center" vertical="center"/>
    </xf>
    <xf numFmtId="164" fontId="6" fillId="0" borderId="24" xfId="1" applyNumberFormat="1" applyFont="1" applyBorder="1" applyAlignment="1">
      <alignment horizontal="center" vertical="center"/>
    </xf>
    <xf numFmtId="164" fontId="12" fillId="0" borderId="47" xfId="1" applyNumberFormat="1" applyFont="1" applyBorder="1" applyAlignment="1">
      <alignment horizontal="center" vertical="center"/>
    </xf>
    <xf numFmtId="164" fontId="12" fillId="0" borderId="35" xfId="1" applyNumberFormat="1" applyFont="1" applyBorder="1" applyAlignment="1">
      <alignment horizontal="center" vertical="center"/>
    </xf>
    <xf numFmtId="164" fontId="12" fillId="0" borderId="36" xfId="1" applyNumberFormat="1" applyFont="1" applyBorder="1" applyAlignment="1">
      <alignment horizontal="center" vertical="center"/>
    </xf>
    <xf numFmtId="43" fontId="12" fillId="0" borderId="48" xfId="1" applyFont="1" applyBorder="1" applyAlignment="1">
      <alignment horizontal="center" vertical="center" wrapText="1"/>
    </xf>
    <xf numFmtId="164" fontId="10" fillId="0" borderId="0" xfId="1" applyNumberFormat="1" applyFont="1" applyBorder="1" applyAlignment="1">
      <alignment horizontal="center" vertical="center" wrapText="1"/>
    </xf>
    <xf numFmtId="164" fontId="6" fillId="0" borderId="21" xfId="1" applyNumberFormat="1" applyFont="1" applyBorder="1" applyAlignment="1">
      <alignment horizontal="center" vertical="center"/>
    </xf>
    <xf numFmtId="164" fontId="6" fillId="0" borderId="35" xfId="1" applyNumberFormat="1" applyFont="1" applyBorder="1" applyAlignment="1">
      <alignment horizontal="center" vertical="center"/>
    </xf>
    <xf numFmtId="164" fontId="6" fillId="0" borderId="36" xfId="1" applyNumberFormat="1" applyFont="1" applyBorder="1" applyAlignment="1">
      <alignment horizontal="center" vertical="center"/>
    </xf>
    <xf numFmtId="43" fontId="6" fillId="0" borderId="23" xfId="1" applyFont="1" applyBorder="1"/>
    <xf numFmtId="164" fontId="12" fillId="0" borderId="14" xfId="1" applyNumberFormat="1" applyFont="1" applyBorder="1" applyAlignment="1">
      <alignment horizontal="center"/>
    </xf>
    <xf numFmtId="164" fontId="12" fillId="0" borderId="9" xfId="1" applyNumberFormat="1" applyFont="1" applyBorder="1" applyAlignment="1">
      <alignment horizontal="center"/>
    </xf>
    <xf numFmtId="164" fontId="12" fillId="0" borderId="23" xfId="1" applyNumberFormat="1" applyFont="1" applyBorder="1" applyAlignment="1">
      <alignment horizontal="center" vertical="center"/>
    </xf>
    <xf numFmtId="43" fontId="12" fillId="0" borderId="34" xfId="1" applyFont="1" applyBorder="1" applyAlignment="1">
      <alignment horizontal="center"/>
    </xf>
    <xf numFmtId="43" fontId="10" fillId="0" borderId="34" xfId="1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43" fontId="6" fillId="0" borderId="14" xfId="1" applyFont="1" applyFill="1" applyBorder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5" fillId="5" borderId="0" xfId="1" applyFont="1" applyFill="1"/>
    <xf numFmtId="43" fontId="4" fillId="3" borderId="33" xfId="1" applyFont="1" applyFill="1" applyBorder="1" applyAlignment="1">
      <alignment horizontal="center" vertical="center"/>
    </xf>
    <xf numFmtId="164" fontId="6" fillId="0" borderId="50" xfId="1" applyNumberFormat="1" applyFont="1" applyBorder="1" applyAlignment="1">
      <alignment horizontal="center" vertical="center"/>
    </xf>
    <xf numFmtId="43" fontId="6" fillId="0" borderId="52" xfId="1" applyFont="1" applyFill="1" applyBorder="1" applyAlignment="1">
      <alignment horizontal="center" vertical="center"/>
    </xf>
    <xf numFmtId="14" fontId="6" fillId="0" borderId="52" xfId="1" applyNumberFormat="1" applyFont="1" applyFill="1" applyBorder="1" applyAlignment="1">
      <alignment horizontal="center" vertical="center"/>
    </xf>
    <xf numFmtId="43" fontId="6" fillId="0" borderId="52" xfId="1" applyFont="1" applyBorder="1" applyAlignment="1">
      <alignment horizontal="center" vertical="center"/>
    </xf>
    <xf numFmtId="164" fontId="6" fillId="0" borderId="56" xfId="1" applyNumberFormat="1" applyFont="1" applyBorder="1" applyAlignment="1">
      <alignment horizontal="center" vertical="center"/>
    </xf>
    <xf numFmtId="43" fontId="6" fillId="0" borderId="56" xfId="1" applyFont="1" applyBorder="1" applyAlignment="1">
      <alignment horizontal="center" vertical="center"/>
    </xf>
    <xf numFmtId="43" fontId="6" fillId="0" borderId="57" xfId="1" applyFont="1" applyBorder="1" applyAlignment="1">
      <alignment horizontal="center" vertical="center"/>
    </xf>
    <xf numFmtId="43" fontId="12" fillId="0" borderId="50" xfId="1" applyFont="1" applyBorder="1" applyAlignment="1">
      <alignment horizontal="center" vertical="center" wrapText="1"/>
    </xf>
    <xf numFmtId="43" fontId="12" fillId="0" borderId="50" xfId="1" applyFont="1" applyBorder="1" applyAlignment="1">
      <alignment horizontal="center"/>
    </xf>
    <xf numFmtId="164" fontId="12" fillId="0" borderId="50" xfId="1" applyNumberFormat="1" applyFont="1" applyBorder="1" applyAlignment="1">
      <alignment horizontal="center" vertical="center"/>
    </xf>
    <xf numFmtId="43" fontId="6" fillId="0" borderId="50" xfId="1" applyFont="1" applyBorder="1" applyAlignment="1">
      <alignment horizontal="center" vertical="center"/>
    </xf>
    <xf numFmtId="14" fontId="6" fillId="0" borderId="52" xfId="1" applyNumberFormat="1" applyFont="1" applyBorder="1" applyAlignment="1">
      <alignment horizontal="center" vertical="center"/>
    </xf>
    <xf numFmtId="164" fontId="12" fillId="0" borderId="56" xfId="1" applyNumberFormat="1" applyFont="1" applyBorder="1" applyAlignment="1">
      <alignment horizontal="center" vertical="center"/>
    </xf>
    <xf numFmtId="43" fontId="6" fillId="0" borderId="58" xfId="1" applyFont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43" fontId="6" fillId="0" borderId="17" xfId="1" applyFont="1" applyFill="1" applyBorder="1" applyAlignment="1">
      <alignment horizontal="center" vertical="center" wrapText="1"/>
    </xf>
    <xf numFmtId="43" fontId="6" fillId="0" borderId="17" xfId="1" applyFont="1" applyFill="1" applyBorder="1" applyAlignment="1">
      <alignment horizontal="center"/>
    </xf>
    <xf numFmtId="43" fontId="6" fillId="0" borderId="24" xfId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43" fontId="2" fillId="7" borderId="10" xfId="1" applyFont="1" applyFill="1" applyBorder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12" fillId="0" borderId="52" xfId="1" applyFont="1" applyBorder="1" applyAlignment="1">
      <alignment horizontal="center" vertical="center"/>
    </xf>
    <xf numFmtId="43" fontId="12" fillId="0" borderId="54" xfId="1" applyFont="1" applyBorder="1" applyAlignment="1">
      <alignment horizontal="center" vertical="center"/>
    </xf>
    <xf numFmtId="165" fontId="14" fillId="0" borderId="0" xfId="1" applyNumberFormat="1" applyFont="1" applyFill="1"/>
    <xf numFmtId="164" fontId="14" fillId="0" borderId="0" xfId="1" applyNumberFormat="1" applyFont="1" applyFill="1"/>
    <xf numFmtId="164" fontId="15" fillId="0" borderId="0" xfId="1" applyNumberFormat="1" applyFont="1"/>
    <xf numFmtId="164" fontId="16" fillId="0" borderId="0" xfId="1" applyNumberFormat="1" applyFont="1" applyFill="1"/>
    <xf numFmtId="164" fontId="6" fillId="0" borderId="0" xfId="1" applyNumberFormat="1" applyFont="1" applyFill="1"/>
    <xf numFmtId="43" fontId="5" fillId="0" borderId="0" xfId="1" applyFont="1" applyFill="1"/>
    <xf numFmtId="43" fontId="6" fillId="0" borderId="59" xfId="1" applyFont="1" applyBorder="1" applyAlignment="1">
      <alignment horizontal="center" vertical="center"/>
    </xf>
    <xf numFmtId="43" fontId="6" fillId="0" borderId="60" xfId="1" applyFont="1" applyBorder="1" applyAlignment="1">
      <alignment horizontal="center" vertical="center"/>
    </xf>
    <xf numFmtId="43" fontId="17" fillId="0" borderId="0" xfId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164" fontId="5" fillId="3" borderId="2" xfId="1" applyNumberFormat="1" applyFont="1" applyFill="1" applyBorder="1" applyAlignment="1">
      <alignment horizontal="center" vertical="center" wrapText="1"/>
    </xf>
    <xf numFmtId="164" fontId="10" fillId="0" borderId="11" xfId="1" applyNumberFormat="1" applyFont="1" applyFill="1" applyBorder="1" applyAlignment="1">
      <alignment horizontal="center" vertical="center"/>
    </xf>
    <xf numFmtId="164" fontId="10" fillId="0" borderId="56" xfId="1" applyNumberFormat="1" applyFont="1" applyBorder="1" applyAlignment="1">
      <alignment horizontal="center" vertical="center"/>
    </xf>
    <xf numFmtId="164" fontId="10" fillId="0" borderId="50" xfId="1" applyNumberFormat="1" applyFont="1" applyBorder="1" applyAlignment="1">
      <alignment horizontal="center" vertical="center"/>
    </xf>
    <xf numFmtId="164" fontId="10" fillId="0" borderId="14" xfId="1" applyNumberFormat="1" applyFont="1" applyFill="1" applyBorder="1" applyAlignment="1">
      <alignment horizontal="center" vertical="center"/>
    </xf>
    <xf numFmtId="164" fontId="10" fillId="0" borderId="20" xfId="1" applyNumberFormat="1" applyFont="1" applyBorder="1" applyAlignment="1">
      <alignment horizontal="center" vertical="center"/>
    </xf>
    <xf numFmtId="164" fontId="10" fillId="7" borderId="17" xfId="1" applyNumberFormat="1" applyFont="1" applyFill="1" applyBorder="1" applyAlignment="1">
      <alignment horizontal="center" vertical="center"/>
    </xf>
    <xf numFmtId="164" fontId="10" fillId="7" borderId="23" xfId="1" applyNumberFormat="1" applyFont="1" applyFill="1" applyBorder="1" applyAlignment="1">
      <alignment horizontal="center" vertical="center"/>
    </xf>
    <xf numFmtId="164" fontId="10" fillId="0" borderId="17" xfId="1" applyNumberFormat="1" applyFont="1" applyBorder="1" applyAlignment="1">
      <alignment horizontal="center" vertical="center"/>
    </xf>
    <xf numFmtId="164" fontId="10" fillId="0" borderId="9" xfId="1" applyNumberFormat="1" applyFont="1" applyBorder="1" applyAlignment="1">
      <alignment horizontal="center" vertical="center"/>
    </xf>
    <xf numFmtId="164" fontId="10" fillId="0" borderId="38" xfId="1" applyNumberFormat="1" applyFont="1" applyBorder="1" applyAlignment="1">
      <alignment horizontal="center" vertical="center"/>
    </xf>
    <xf numFmtId="164" fontId="10" fillId="0" borderId="41" xfId="1" applyNumberFormat="1" applyFont="1" applyBorder="1" applyAlignment="1">
      <alignment horizontal="center" vertical="center"/>
    </xf>
    <xf numFmtId="164" fontId="10" fillId="0" borderId="43" xfId="1" applyNumberFormat="1" applyFont="1" applyBorder="1" applyAlignment="1">
      <alignment horizontal="center" vertical="center"/>
    </xf>
    <xf numFmtId="164" fontId="10" fillId="0" borderId="43" xfId="1" applyNumberFormat="1" applyFont="1" applyFill="1" applyBorder="1" applyAlignment="1">
      <alignment horizontal="center" vertical="center"/>
    </xf>
    <xf numFmtId="164" fontId="10" fillId="0" borderId="45" xfId="1" applyNumberFormat="1" applyFont="1" applyBorder="1" applyAlignment="1">
      <alignment horizontal="center" vertical="center"/>
    </xf>
    <xf numFmtId="164" fontId="10" fillId="0" borderId="17" xfId="1" applyNumberFormat="1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43" fontId="14" fillId="0" borderId="0" xfId="1" applyFont="1"/>
    <xf numFmtId="0" fontId="18" fillId="0" borderId="0" xfId="0" applyFont="1"/>
    <xf numFmtId="164" fontId="18" fillId="0" borderId="0" xfId="1" applyNumberFormat="1" applyFont="1"/>
    <xf numFmtId="14" fontId="6" fillId="0" borderId="54" xfId="1" applyNumberFormat="1" applyFont="1" applyBorder="1" applyAlignment="1">
      <alignment horizontal="center" vertical="center"/>
    </xf>
    <xf numFmtId="14" fontId="6" fillId="0" borderId="41" xfId="1" applyNumberFormat="1" applyFont="1" applyBorder="1" applyAlignment="1">
      <alignment horizontal="center" vertical="center"/>
    </xf>
    <xf numFmtId="14" fontId="6" fillId="5" borderId="41" xfId="1" applyNumberFormat="1" applyFont="1" applyFill="1" applyBorder="1" applyAlignment="1">
      <alignment horizontal="center" vertical="center"/>
    </xf>
    <xf numFmtId="43" fontId="10" fillId="0" borderId="41" xfId="1" applyFont="1" applyBorder="1" applyAlignment="1">
      <alignment horizontal="center" vertical="center"/>
    </xf>
    <xf numFmtId="43" fontId="10" fillId="0" borderId="43" xfId="1" applyFont="1" applyBorder="1" applyAlignment="1">
      <alignment horizontal="center" vertical="center"/>
    </xf>
    <xf numFmtId="164" fontId="6" fillId="0" borderId="61" xfId="1" applyNumberFormat="1" applyFont="1" applyBorder="1" applyAlignment="1">
      <alignment horizontal="center" vertical="center"/>
    </xf>
    <xf numFmtId="43" fontId="6" fillId="0" borderId="61" xfId="1" applyFont="1" applyBorder="1" applyAlignment="1">
      <alignment horizontal="center" vertical="center" wrapText="1"/>
    </xf>
    <xf numFmtId="43" fontId="6" fillId="0" borderId="61" xfId="1" applyFont="1" applyBorder="1" applyAlignment="1">
      <alignment horizontal="center"/>
    </xf>
    <xf numFmtId="164" fontId="10" fillId="0" borderId="61" xfId="1" applyNumberFormat="1" applyFont="1" applyBorder="1" applyAlignment="1">
      <alignment horizontal="center" vertical="center"/>
    </xf>
    <xf numFmtId="43" fontId="6" fillId="0" borderId="61" xfId="1" applyFont="1" applyBorder="1" applyAlignment="1">
      <alignment horizontal="center" vertical="center"/>
    </xf>
    <xf numFmtId="43" fontId="6" fillId="0" borderId="43" xfId="1" applyFont="1" applyBorder="1" applyAlignment="1">
      <alignment horizontal="center" vertical="center"/>
    </xf>
    <xf numFmtId="43" fontId="6" fillId="0" borderId="16" xfId="1" applyFont="1" applyBorder="1" applyAlignment="1">
      <alignment horizontal="center" vertical="center" wrapText="1"/>
    </xf>
    <xf numFmtId="43" fontId="6" fillId="0" borderId="31" xfId="1" applyFont="1" applyBorder="1" applyAlignment="1">
      <alignment horizontal="center" vertical="center" wrapText="1"/>
    </xf>
    <xf numFmtId="164" fontId="6" fillId="0" borderId="63" xfId="1" applyNumberFormat="1" applyFont="1" applyBorder="1" applyAlignment="1">
      <alignment horizontal="center" vertical="center"/>
    </xf>
    <xf numFmtId="43" fontId="12" fillId="0" borderId="63" xfId="1" applyFont="1" applyBorder="1" applyAlignment="1">
      <alignment horizontal="center" vertical="center" wrapText="1"/>
    </xf>
    <xf numFmtId="43" fontId="12" fillId="0" borderId="63" xfId="1" applyFont="1" applyBorder="1" applyAlignment="1">
      <alignment horizontal="center" wrapText="1"/>
    </xf>
    <xf numFmtId="164" fontId="12" fillId="0" borderId="63" xfId="1" applyNumberFormat="1" applyFont="1" applyBorder="1" applyAlignment="1">
      <alignment horizontal="center" vertical="center"/>
    </xf>
    <xf numFmtId="164" fontId="10" fillId="0" borderId="63" xfId="1" applyNumberFormat="1" applyFont="1" applyBorder="1" applyAlignment="1">
      <alignment horizontal="center" vertical="center"/>
    </xf>
    <xf numFmtId="43" fontId="6" fillId="0" borderId="63" xfId="1" applyFont="1" applyBorder="1" applyAlignment="1">
      <alignment horizontal="center" vertical="center"/>
    </xf>
    <xf numFmtId="43" fontId="6" fillId="0" borderId="64" xfId="1" applyFont="1" applyBorder="1" applyAlignment="1">
      <alignment horizontal="center" vertical="center"/>
    </xf>
    <xf numFmtId="43" fontId="12" fillId="0" borderId="61" xfId="1" applyFont="1" applyBorder="1" applyAlignment="1">
      <alignment horizontal="center" vertical="center" wrapText="1"/>
    </xf>
    <xf numFmtId="43" fontId="12" fillId="0" borderId="61" xfId="1" applyFont="1" applyBorder="1" applyAlignment="1">
      <alignment horizontal="center"/>
    </xf>
    <xf numFmtId="164" fontId="12" fillId="0" borderId="61" xfId="1" applyNumberFormat="1" applyFont="1" applyBorder="1" applyAlignment="1">
      <alignment horizontal="center" vertical="center"/>
    </xf>
    <xf numFmtId="43" fontId="6" fillId="0" borderId="66" xfId="1" applyFont="1" applyBorder="1" applyAlignment="1">
      <alignment horizontal="center" vertical="center"/>
    </xf>
    <xf numFmtId="43" fontId="12" fillId="0" borderId="61" xfId="1" applyFont="1" applyBorder="1" applyAlignment="1">
      <alignment horizontal="center" wrapText="1"/>
    </xf>
    <xf numFmtId="43" fontId="10" fillId="0" borderId="61" xfId="1" applyFont="1" applyBorder="1" applyAlignment="1">
      <alignment horizontal="center" vertical="center"/>
    </xf>
    <xf numFmtId="164" fontId="12" fillId="0" borderId="68" xfId="1" applyNumberFormat="1" applyFont="1" applyBorder="1" applyAlignment="1">
      <alignment horizontal="center" vertical="center"/>
    </xf>
    <xf numFmtId="164" fontId="10" fillId="0" borderId="68" xfId="1" applyNumberFormat="1" applyFont="1" applyBorder="1" applyAlignment="1">
      <alignment horizontal="center" vertical="center"/>
    </xf>
    <xf numFmtId="43" fontId="6" fillId="0" borderId="68" xfId="1" applyFont="1" applyBorder="1" applyAlignment="1">
      <alignment horizontal="center" vertical="center"/>
    </xf>
    <xf numFmtId="43" fontId="6" fillId="0" borderId="69" xfId="1" applyFont="1" applyBorder="1" applyAlignment="1">
      <alignment horizontal="center" vertical="center"/>
    </xf>
    <xf numFmtId="43" fontId="6" fillId="0" borderId="63" xfId="1" applyFont="1" applyBorder="1" applyAlignment="1">
      <alignment horizontal="center" vertical="center" wrapText="1"/>
    </xf>
    <xf numFmtId="43" fontId="6" fillId="0" borderId="70" xfId="1" applyFont="1" applyBorder="1" applyAlignment="1">
      <alignment horizontal="center" vertical="center"/>
    </xf>
    <xf numFmtId="43" fontId="6" fillId="0" borderId="71" xfId="1" applyFont="1" applyBorder="1" applyAlignment="1">
      <alignment horizontal="center" vertical="center"/>
    </xf>
    <xf numFmtId="14" fontId="6" fillId="0" borderId="64" xfId="1" applyNumberFormat="1" applyFont="1" applyBorder="1" applyAlignment="1">
      <alignment horizontal="center" vertical="center"/>
    </xf>
    <xf numFmtId="43" fontId="6" fillId="0" borderId="72" xfId="1" applyFont="1" applyBorder="1" applyAlignment="1">
      <alignment horizontal="center" vertical="center"/>
    </xf>
    <xf numFmtId="43" fontId="6" fillId="0" borderId="73" xfId="1" applyFont="1" applyBorder="1" applyAlignment="1">
      <alignment horizontal="center" vertical="center"/>
    </xf>
    <xf numFmtId="14" fontId="6" fillId="0" borderId="66" xfId="1" applyNumberFormat="1" applyFont="1" applyBorder="1" applyAlignment="1">
      <alignment horizontal="center" vertical="center"/>
    </xf>
    <xf numFmtId="164" fontId="6" fillId="0" borderId="68" xfId="1" applyNumberFormat="1" applyFont="1" applyBorder="1" applyAlignment="1">
      <alignment horizontal="center" vertical="center"/>
    </xf>
    <xf numFmtId="43" fontId="6" fillId="0" borderId="68" xfId="1" applyFont="1" applyBorder="1" applyAlignment="1">
      <alignment horizontal="center" vertical="center" wrapText="1"/>
    </xf>
    <xf numFmtId="43" fontId="6" fillId="0" borderId="74" xfId="1" applyFont="1" applyBorder="1" applyAlignment="1">
      <alignment horizontal="center" vertical="center"/>
    </xf>
    <xf numFmtId="43" fontId="6" fillId="0" borderId="75" xfId="1" applyFont="1" applyBorder="1" applyAlignment="1">
      <alignment horizontal="center" vertical="center"/>
    </xf>
    <xf numFmtId="43" fontId="6" fillId="0" borderId="63" xfId="1" applyFont="1" applyBorder="1" applyAlignment="1">
      <alignment horizontal="center"/>
    </xf>
    <xf numFmtId="43" fontId="6" fillId="0" borderId="72" xfId="1" quotePrefix="1" applyFont="1" applyBorder="1" applyAlignment="1">
      <alignment horizontal="center" vertical="center"/>
    </xf>
    <xf numFmtId="43" fontId="6" fillId="0" borderId="68" xfId="1" applyFont="1" applyFill="1" applyBorder="1" applyAlignment="1">
      <alignment horizontal="center" vertical="center"/>
    </xf>
    <xf numFmtId="164" fontId="10" fillId="0" borderId="68" xfId="1" applyNumberFormat="1" applyFont="1" applyFill="1" applyBorder="1" applyAlignment="1">
      <alignment horizontal="center" vertical="center"/>
    </xf>
    <xf numFmtId="43" fontId="6" fillId="0" borderId="74" xfId="1" applyFont="1" applyFill="1" applyBorder="1" applyAlignment="1">
      <alignment horizontal="center" vertical="center"/>
    </xf>
    <xf numFmtId="43" fontId="6" fillId="0" borderId="75" xfId="1" applyFont="1" applyFill="1" applyBorder="1" applyAlignment="1">
      <alignment horizontal="center" vertical="center"/>
    </xf>
    <xf numFmtId="43" fontId="6" fillId="0" borderId="69" xfId="1" applyFont="1" applyFill="1" applyBorder="1" applyAlignment="1">
      <alignment horizontal="center" vertical="center"/>
    </xf>
    <xf numFmtId="43" fontId="2" fillId="0" borderId="48" xfId="1" applyFont="1" applyFill="1" applyBorder="1" applyAlignment="1">
      <alignment horizontal="center" vertical="center"/>
    </xf>
    <xf numFmtId="164" fontId="20" fillId="10" borderId="17" xfId="1" applyNumberFormat="1" applyFont="1" applyFill="1" applyBorder="1" applyAlignment="1">
      <alignment horizontal="center" vertical="center"/>
    </xf>
    <xf numFmtId="164" fontId="19" fillId="9" borderId="17" xfId="1" applyNumberFormat="1" applyFont="1" applyFill="1" applyBorder="1" applyAlignment="1">
      <alignment horizontal="center" vertical="center"/>
    </xf>
    <xf numFmtId="164" fontId="22" fillId="5" borderId="56" xfId="1" applyNumberFormat="1" applyFont="1" applyFill="1" applyBorder="1" applyAlignment="1">
      <alignment horizontal="center" vertical="center"/>
    </xf>
    <xf numFmtId="164" fontId="21" fillId="11" borderId="56" xfId="1" applyNumberFormat="1" applyFont="1" applyFill="1" applyBorder="1" applyAlignment="1">
      <alignment horizontal="center" vertical="center"/>
    </xf>
    <xf numFmtId="164" fontId="22" fillId="5" borderId="20" xfId="1" applyNumberFormat="1" applyFont="1" applyFill="1" applyBorder="1" applyAlignment="1">
      <alignment horizontal="center" vertical="center"/>
    </xf>
    <xf numFmtId="164" fontId="21" fillId="11" borderId="20" xfId="1" applyNumberFormat="1" applyFont="1" applyFill="1" applyBorder="1" applyAlignment="1">
      <alignment horizontal="center" vertical="center"/>
    </xf>
    <xf numFmtId="164" fontId="22" fillId="5" borderId="11" xfId="1" applyNumberFormat="1" applyFont="1" applyFill="1" applyBorder="1" applyAlignment="1">
      <alignment horizontal="center" vertical="center"/>
    </xf>
    <xf numFmtId="164" fontId="21" fillId="11" borderId="11" xfId="1" applyNumberFormat="1" applyFont="1" applyFill="1" applyBorder="1" applyAlignment="1">
      <alignment horizontal="center" vertical="center"/>
    </xf>
    <xf numFmtId="164" fontId="22" fillId="5" borderId="17" xfId="1" applyNumberFormat="1" applyFont="1" applyFill="1" applyBorder="1" applyAlignment="1">
      <alignment horizontal="center" vertical="center"/>
    </xf>
    <xf numFmtId="164" fontId="21" fillId="11" borderId="17" xfId="1" applyNumberFormat="1" applyFont="1" applyFill="1" applyBorder="1" applyAlignment="1">
      <alignment horizontal="center" vertical="center"/>
    </xf>
    <xf numFmtId="164" fontId="22" fillId="5" borderId="23" xfId="1" applyNumberFormat="1" applyFont="1" applyFill="1" applyBorder="1" applyAlignment="1">
      <alignment horizontal="center" vertical="center"/>
    </xf>
    <xf numFmtId="164" fontId="21" fillId="11" borderId="23" xfId="1" applyNumberFormat="1" applyFont="1" applyFill="1" applyBorder="1" applyAlignment="1">
      <alignment horizontal="center" vertical="center"/>
    </xf>
    <xf numFmtId="164" fontId="22" fillId="5" borderId="68" xfId="1" applyNumberFormat="1" applyFont="1" applyFill="1" applyBorder="1" applyAlignment="1">
      <alignment horizontal="center" vertical="center"/>
    </xf>
    <xf numFmtId="164" fontId="21" fillId="11" borderId="68" xfId="1" applyNumberFormat="1" applyFont="1" applyFill="1" applyBorder="1" applyAlignment="1">
      <alignment horizontal="center" vertical="center"/>
    </xf>
    <xf numFmtId="164" fontId="22" fillId="5" borderId="14" xfId="1" applyNumberFormat="1" applyFont="1" applyFill="1" applyBorder="1" applyAlignment="1">
      <alignment horizontal="center" vertical="center"/>
    </xf>
    <xf numFmtId="164" fontId="21" fillId="11" borderId="14" xfId="1" applyNumberFormat="1" applyFont="1" applyFill="1" applyBorder="1" applyAlignment="1">
      <alignment horizontal="center" vertical="center"/>
    </xf>
    <xf numFmtId="164" fontId="12" fillId="0" borderId="79" xfId="1" applyNumberFormat="1" applyFont="1" applyBorder="1" applyAlignment="1">
      <alignment horizontal="center" vertical="center"/>
    </xf>
    <xf numFmtId="164" fontId="10" fillId="0" borderId="79" xfId="1" applyNumberFormat="1" applyFont="1" applyBorder="1" applyAlignment="1">
      <alignment horizontal="center" vertical="center"/>
    </xf>
    <xf numFmtId="43" fontId="6" fillId="0" borderId="79" xfId="1" applyFont="1" applyBorder="1" applyAlignment="1">
      <alignment horizontal="center" vertical="center"/>
    </xf>
    <xf numFmtId="43" fontId="12" fillId="0" borderId="63" xfId="1" applyFont="1" applyBorder="1" applyAlignment="1">
      <alignment horizontal="center"/>
    </xf>
    <xf numFmtId="14" fontId="6" fillId="0" borderId="18" xfId="1" applyNumberFormat="1" applyFont="1" applyBorder="1" applyAlignment="1">
      <alignment horizontal="center" vertical="center"/>
    </xf>
    <xf numFmtId="14" fontId="6" fillId="0" borderId="38" xfId="1" applyNumberFormat="1" applyFont="1" applyBorder="1" applyAlignment="1">
      <alignment horizontal="center" vertical="center"/>
    </xf>
    <xf numFmtId="14" fontId="6" fillId="0" borderId="43" xfId="1" applyNumberFormat="1" applyFont="1" applyBorder="1" applyAlignment="1">
      <alignment horizontal="center" vertical="center"/>
    </xf>
    <xf numFmtId="164" fontId="6" fillId="0" borderId="0" xfId="1" applyNumberFormat="1" applyFont="1"/>
    <xf numFmtId="164" fontId="4" fillId="0" borderId="0" xfId="1" applyNumberFormat="1" applyFont="1" applyFill="1" applyAlignment="1">
      <alignment horizontal="center" vertical="center"/>
    </xf>
    <xf numFmtId="164" fontId="5" fillId="5" borderId="0" xfId="1" applyNumberFormat="1" applyFont="1" applyFill="1"/>
    <xf numFmtId="164" fontId="12" fillId="0" borderId="0" xfId="1" applyNumberFormat="1" applyFont="1"/>
    <xf numFmtId="164" fontId="5" fillId="0" borderId="0" xfId="1" applyNumberFormat="1" applyFont="1" applyFill="1"/>
    <xf numFmtId="164" fontId="6" fillId="5" borderId="0" xfId="1" applyNumberFormat="1" applyFont="1" applyFill="1"/>
    <xf numFmtId="164" fontId="14" fillId="0" borderId="0" xfId="1" applyNumberFormat="1" applyFont="1"/>
    <xf numFmtId="164" fontId="10" fillId="0" borderId="0" xfId="1" applyNumberFormat="1" applyFont="1"/>
    <xf numFmtId="43" fontId="12" fillId="0" borderId="79" xfId="1" applyFont="1" applyBorder="1" applyAlignment="1">
      <alignment horizontal="center" vertical="center" wrapText="1"/>
    </xf>
    <xf numFmtId="164" fontId="6" fillId="0" borderId="79" xfId="1" applyNumberFormat="1" applyFont="1" applyBorder="1" applyAlignment="1">
      <alignment horizontal="center" vertical="center"/>
    </xf>
    <xf numFmtId="43" fontId="10" fillId="0" borderId="79" xfId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8" fillId="0" borderId="61" xfId="0" applyFont="1" applyBorder="1"/>
    <xf numFmtId="0" fontId="18" fillId="0" borderId="17" xfId="0" applyFont="1" applyBorder="1"/>
    <xf numFmtId="43" fontId="6" fillId="0" borderId="82" xfId="1" applyFont="1" applyBorder="1" applyAlignment="1">
      <alignment horizontal="center" vertical="center"/>
    </xf>
    <xf numFmtId="164" fontId="6" fillId="0" borderId="61" xfId="1" applyNumberFormat="1" applyFont="1" applyFill="1" applyBorder="1" applyAlignment="1">
      <alignment horizontal="center" vertical="center"/>
    </xf>
    <xf numFmtId="43" fontId="6" fillId="0" borderId="61" xfId="1" applyFont="1" applyFill="1" applyBorder="1" applyAlignment="1">
      <alignment horizontal="center" vertical="center" wrapText="1"/>
    </xf>
    <xf numFmtId="43" fontId="6" fillId="0" borderId="61" xfId="1" applyFont="1" applyFill="1" applyBorder="1" applyAlignment="1">
      <alignment horizontal="center"/>
    </xf>
    <xf numFmtId="164" fontId="10" fillId="0" borderId="61" xfId="1" applyNumberFormat="1" applyFont="1" applyFill="1" applyBorder="1" applyAlignment="1">
      <alignment horizontal="center" vertical="center"/>
    </xf>
    <xf numFmtId="43" fontId="6" fillId="0" borderId="79" xfId="1" applyFont="1" applyBorder="1" applyAlignment="1">
      <alignment horizontal="center" vertical="center" wrapText="1"/>
    </xf>
    <xf numFmtId="43" fontId="6" fillId="0" borderId="79" xfId="1" applyFont="1" applyBorder="1" applyAlignment="1">
      <alignment horizontal="center"/>
    </xf>
    <xf numFmtId="43" fontId="2" fillId="3" borderId="1" xfId="1" applyFont="1" applyFill="1" applyBorder="1" applyAlignment="1">
      <alignment horizontal="center" vertical="center" wrapText="1"/>
    </xf>
    <xf numFmtId="164" fontId="14" fillId="0" borderId="0" xfId="1" applyNumberFormat="1" applyFont="1" applyAlignment="1">
      <alignment horizontal="center" vertical="center"/>
    </xf>
    <xf numFmtId="164" fontId="10" fillId="0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43" fontId="6" fillId="0" borderId="7" xfId="1" applyFont="1" applyFill="1" applyBorder="1" applyAlignment="1">
      <alignment horizontal="center" vertical="center"/>
    </xf>
    <xf numFmtId="43" fontId="6" fillId="0" borderId="8" xfId="1" applyFont="1" applyFill="1" applyBorder="1" applyAlignment="1">
      <alignment horizontal="center" vertical="center"/>
    </xf>
    <xf numFmtId="43" fontId="6" fillId="0" borderId="38" xfId="1" applyFont="1" applyFill="1" applyBorder="1" applyAlignment="1">
      <alignment horizontal="center" vertical="center"/>
    </xf>
    <xf numFmtId="43" fontId="6" fillId="0" borderId="41" xfId="1" applyFont="1" applyFill="1" applyBorder="1" applyAlignment="1">
      <alignment horizontal="center" vertical="center"/>
    </xf>
    <xf numFmtId="164" fontId="6" fillId="0" borderId="20" xfId="1" applyNumberFormat="1" applyFont="1" applyFill="1" applyBorder="1" applyAlignment="1">
      <alignment horizontal="center" vertical="center"/>
    </xf>
    <xf numFmtId="43" fontId="6" fillId="0" borderId="20" xfId="1" applyFont="1" applyFill="1" applyBorder="1" applyAlignment="1">
      <alignment horizontal="center" vertical="center" wrapText="1"/>
    </xf>
    <xf numFmtId="43" fontId="6" fillId="0" borderId="20" xfId="1" applyFont="1" applyFill="1" applyBorder="1" applyAlignment="1">
      <alignment horizontal="center"/>
    </xf>
    <xf numFmtId="164" fontId="10" fillId="0" borderId="20" xfId="1" applyNumberFormat="1" applyFont="1" applyFill="1" applyBorder="1" applyAlignment="1">
      <alignment horizontal="center" vertical="center"/>
    </xf>
    <xf numFmtId="43" fontId="6" fillId="0" borderId="21" xfId="1" applyFont="1" applyFill="1" applyBorder="1" applyAlignment="1">
      <alignment horizontal="center" vertical="center"/>
    </xf>
    <xf numFmtId="43" fontId="6" fillId="0" borderId="22" xfId="1" applyFont="1" applyFill="1" applyBorder="1" applyAlignment="1">
      <alignment horizontal="center" vertical="center"/>
    </xf>
    <xf numFmtId="43" fontId="6" fillId="0" borderId="45" xfId="1" applyFont="1" applyFill="1" applyBorder="1" applyAlignment="1">
      <alignment horizontal="center" vertical="center"/>
    </xf>
    <xf numFmtId="164" fontId="24" fillId="0" borderId="0" xfId="1" applyNumberFormat="1" applyFont="1" applyFill="1" applyAlignment="1">
      <alignment horizontal="center" vertical="center"/>
    </xf>
    <xf numFmtId="164" fontId="16" fillId="0" borderId="0" xfId="1" applyNumberFormat="1" applyFont="1"/>
    <xf numFmtId="164" fontId="25" fillId="0" borderId="0" xfId="1" applyNumberFormat="1" applyFont="1" applyFill="1" applyAlignment="1">
      <alignment horizontal="center" vertical="center"/>
    </xf>
    <xf numFmtId="164" fontId="26" fillId="0" borderId="0" xfId="1" applyNumberFormat="1" applyFont="1"/>
    <xf numFmtId="164" fontId="25" fillId="0" borderId="0" xfId="1" applyNumberFormat="1" applyFont="1"/>
    <xf numFmtId="164" fontId="28" fillId="0" borderId="0" xfId="1" applyNumberFormat="1" applyFont="1"/>
    <xf numFmtId="43" fontId="12" fillId="0" borderId="79" xfId="1" applyFont="1" applyBorder="1" applyAlignment="1">
      <alignment horizontal="center"/>
    </xf>
    <xf numFmtId="0" fontId="27" fillId="0" borderId="0" xfId="0" applyFont="1"/>
    <xf numFmtId="0" fontId="23" fillId="0" borderId="0" xfId="0" applyFont="1" applyAlignment="1">
      <alignment vertical="center"/>
    </xf>
    <xf numFmtId="164" fontId="6" fillId="0" borderId="17" xfId="1" applyNumberFormat="1" applyFont="1" applyBorder="1" applyAlignment="1">
      <alignment horizontal="center" vertical="center"/>
    </xf>
    <xf numFmtId="43" fontId="10" fillId="0" borderId="17" xfId="1" applyFont="1" applyBorder="1" applyAlignment="1">
      <alignment horizontal="center" vertical="center" wrapText="1"/>
    </xf>
    <xf numFmtId="43" fontId="10" fillId="0" borderId="17" xfId="1" applyFont="1" applyBorder="1" applyAlignment="1">
      <alignment horizontal="center"/>
    </xf>
    <xf numFmtId="43" fontId="10" fillId="0" borderId="24" xfId="1" applyFont="1" applyBorder="1" applyAlignment="1">
      <alignment horizontal="center" vertical="center"/>
    </xf>
    <xf numFmtId="43" fontId="10" fillId="0" borderId="0" xfId="1" applyFont="1" applyBorder="1" applyAlignment="1">
      <alignment horizontal="center" vertical="center"/>
    </xf>
    <xf numFmtId="164" fontId="11" fillId="12" borderId="17" xfId="1" applyNumberFormat="1" applyFont="1" applyFill="1" applyBorder="1" applyAlignment="1">
      <alignment horizontal="center" vertical="center"/>
    </xf>
    <xf numFmtId="43" fontId="10" fillId="0" borderId="11" xfId="1" applyNumberFormat="1" applyFont="1" applyBorder="1" applyAlignment="1">
      <alignment horizontal="center" vertical="center"/>
    </xf>
    <xf numFmtId="164" fontId="6" fillId="0" borderId="32" xfId="1" applyNumberFormat="1" applyFont="1" applyBorder="1" applyAlignment="1">
      <alignment horizontal="center" vertical="center"/>
    </xf>
    <xf numFmtId="164" fontId="6" fillId="0" borderId="68" xfId="1" applyNumberFormat="1" applyFont="1" applyFill="1" applyBorder="1" applyAlignment="1">
      <alignment horizontal="center" vertical="center"/>
    </xf>
    <xf numFmtId="164" fontId="6" fillId="0" borderId="34" xfId="1" applyNumberFormat="1" applyFont="1" applyBorder="1" applyAlignment="1">
      <alignment horizontal="center" vertical="center" wrapText="1"/>
    </xf>
    <xf numFmtId="164" fontId="6" fillId="0" borderId="68" xfId="1" applyNumberFormat="1" applyFont="1" applyBorder="1" applyAlignment="1">
      <alignment horizontal="center" vertical="center" wrapText="1"/>
    </xf>
    <xf numFmtId="164" fontId="6" fillId="0" borderId="20" xfId="1" applyNumberFormat="1" applyFont="1" applyBorder="1" applyAlignment="1">
      <alignment horizontal="center" vertical="center" wrapText="1"/>
    </xf>
    <xf numFmtId="164" fontId="6" fillId="0" borderId="23" xfId="1" applyNumberFormat="1" applyFont="1" applyBorder="1" applyAlignment="1">
      <alignment horizontal="center" vertical="center" wrapText="1"/>
    </xf>
    <xf numFmtId="164" fontId="6" fillId="0" borderId="11" xfId="1" applyNumberFormat="1" applyFont="1" applyBorder="1" applyAlignment="1">
      <alignment horizontal="center" vertical="center" wrapText="1"/>
    </xf>
    <xf numFmtId="164" fontId="6" fillId="0" borderId="14" xfId="1" applyNumberFormat="1" applyFont="1" applyBorder="1" applyAlignment="1">
      <alignment horizontal="center" vertical="center" wrapText="1"/>
    </xf>
    <xf numFmtId="164" fontId="24" fillId="5" borderId="0" xfId="1" applyNumberFormat="1" applyFont="1" applyFill="1"/>
    <xf numFmtId="43" fontId="2" fillId="0" borderId="0" xfId="1" applyFont="1" applyAlignment="1">
      <alignment vertical="center"/>
    </xf>
    <xf numFmtId="16" fontId="18" fillId="0" borderId="0" xfId="0" quotePrefix="1" applyNumberFormat="1" applyFont="1"/>
    <xf numFmtId="0" fontId="18" fillId="0" borderId="5" xfId="0" applyFont="1" applyBorder="1"/>
    <xf numFmtId="164" fontId="18" fillId="0" borderId="5" xfId="1" applyNumberFormat="1" applyFont="1" applyBorder="1"/>
    <xf numFmtId="0" fontId="18" fillId="0" borderId="9" xfId="0" applyFont="1" applyBorder="1"/>
    <xf numFmtId="164" fontId="18" fillId="0" borderId="9" xfId="1" applyNumberFormat="1" applyFont="1" applyBorder="1"/>
    <xf numFmtId="0" fontId="18" fillId="0" borderId="11" xfId="0" applyFont="1" applyBorder="1"/>
    <xf numFmtId="164" fontId="18" fillId="0" borderId="11" xfId="1" applyNumberFormat="1" applyFont="1" applyBorder="1"/>
    <xf numFmtId="0" fontId="18" fillId="0" borderId="23" xfId="0" applyFont="1" applyBorder="1"/>
    <xf numFmtId="164" fontId="18" fillId="0" borderId="23" xfId="1" applyNumberFormat="1" applyFont="1" applyBorder="1"/>
    <xf numFmtId="43" fontId="12" fillId="0" borderId="11" xfId="1" applyFont="1" applyFill="1" applyBorder="1" applyAlignment="1">
      <alignment horizontal="center" vertical="center" wrapText="1"/>
    </xf>
    <xf numFmtId="43" fontId="12" fillId="0" borderId="11" xfId="1" applyFont="1" applyFill="1" applyBorder="1" applyAlignment="1">
      <alignment horizontal="center" wrapText="1"/>
    </xf>
    <xf numFmtId="43" fontId="12" fillId="0" borderId="11" xfId="1" applyFont="1" applyFill="1" applyBorder="1" applyAlignment="1">
      <alignment horizontal="center" vertical="center"/>
    </xf>
    <xf numFmtId="14" fontId="12" fillId="0" borderId="52" xfId="1" applyNumberFormat="1" applyFont="1" applyFill="1" applyBorder="1" applyAlignment="1">
      <alignment horizontal="center" vertical="center"/>
    </xf>
    <xf numFmtId="43" fontId="12" fillId="0" borderId="0" xfId="1" applyFont="1" applyFill="1"/>
    <xf numFmtId="43" fontId="12" fillId="0" borderId="52" xfId="1" applyFont="1" applyFill="1" applyBorder="1" applyAlignment="1">
      <alignment horizontal="center" vertical="center"/>
    </xf>
    <xf numFmtId="43" fontId="15" fillId="0" borderId="0" xfId="1" applyFont="1" applyFill="1"/>
    <xf numFmtId="164" fontId="15" fillId="0" borderId="0" xfId="1" applyNumberFormat="1" applyFont="1" applyFill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6" fillId="13" borderId="63" xfId="1" applyNumberFormat="1" applyFont="1" applyFill="1" applyBorder="1" applyAlignment="1">
      <alignment horizontal="center" vertical="center"/>
    </xf>
    <xf numFmtId="43" fontId="12" fillId="13" borderId="63" xfId="1" applyFont="1" applyFill="1" applyBorder="1" applyAlignment="1">
      <alignment horizontal="center" vertical="center" wrapText="1"/>
    </xf>
    <xf numFmtId="43" fontId="12" fillId="13" borderId="63" xfId="1" applyFont="1" applyFill="1" applyBorder="1" applyAlignment="1">
      <alignment horizontal="center"/>
    </xf>
    <xf numFmtId="164" fontId="12" fillId="13" borderId="63" xfId="1" applyNumberFormat="1" applyFont="1" applyFill="1" applyBorder="1" applyAlignment="1">
      <alignment horizontal="center" vertical="center"/>
    </xf>
    <xf numFmtId="164" fontId="10" fillId="13" borderId="63" xfId="1" applyNumberFormat="1" applyFont="1" applyFill="1" applyBorder="1" applyAlignment="1">
      <alignment horizontal="center" vertical="center"/>
    </xf>
    <xf numFmtId="164" fontId="6" fillId="13" borderId="61" xfId="1" applyNumberFormat="1" applyFont="1" applyFill="1" applyBorder="1" applyAlignment="1">
      <alignment horizontal="center" vertical="center"/>
    </xf>
    <xf numFmtId="43" fontId="6" fillId="13" borderId="63" xfId="1" applyFont="1" applyFill="1" applyBorder="1" applyAlignment="1">
      <alignment horizontal="center" vertical="center"/>
    </xf>
    <xf numFmtId="14" fontId="6" fillId="13" borderId="64" xfId="1" applyNumberFormat="1" applyFont="1" applyFill="1" applyBorder="1" applyAlignment="1">
      <alignment horizontal="center" vertical="center"/>
    </xf>
    <xf numFmtId="43" fontId="12" fillId="13" borderId="61" xfId="1" applyFont="1" applyFill="1" applyBorder="1" applyAlignment="1">
      <alignment horizontal="center" vertical="center" wrapText="1"/>
    </xf>
    <xf numFmtId="43" fontId="12" fillId="13" borderId="61" xfId="1" applyFont="1" applyFill="1" applyBorder="1" applyAlignment="1">
      <alignment horizontal="center"/>
    </xf>
    <xf numFmtId="164" fontId="12" fillId="13" borderId="61" xfId="1" applyNumberFormat="1" applyFont="1" applyFill="1" applyBorder="1" applyAlignment="1">
      <alignment horizontal="center" vertical="center"/>
    </xf>
    <xf numFmtId="164" fontId="10" fillId="13" borderId="61" xfId="1" applyNumberFormat="1" applyFont="1" applyFill="1" applyBorder="1" applyAlignment="1">
      <alignment horizontal="center" vertical="center"/>
    </xf>
    <xf numFmtId="43" fontId="6" fillId="13" borderId="61" xfId="1" applyFont="1" applyFill="1" applyBorder="1" applyAlignment="1">
      <alignment horizontal="center" vertical="center"/>
    </xf>
    <xf numFmtId="43" fontId="6" fillId="13" borderId="66" xfId="1" applyFont="1" applyFill="1" applyBorder="1" applyAlignment="1">
      <alignment horizontal="center" vertical="center"/>
    </xf>
    <xf numFmtId="43" fontId="10" fillId="13" borderId="61" xfId="1" applyFont="1" applyFill="1" applyBorder="1" applyAlignment="1">
      <alignment horizontal="center" vertical="center"/>
    </xf>
    <xf numFmtId="164" fontId="12" fillId="13" borderId="68" xfId="1" applyNumberFormat="1" applyFont="1" applyFill="1" applyBorder="1" applyAlignment="1">
      <alignment horizontal="center" vertical="center"/>
    </xf>
    <xf numFmtId="164" fontId="10" fillId="13" borderId="68" xfId="1" applyNumberFormat="1" applyFont="1" applyFill="1" applyBorder="1" applyAlignment="1">
      <alignment horizontal="center" vertical="center"/>
    </xf>
    <xf numFmtId="43" fontId="6" fillId="13" borderId="68" xfId="1" applyFont="1" applyFill="1" applyBorder="1" applyAlignment="1">
      <alignment horizontal="center" vertical="center"/>
    </xf>
    <xf numFmtId="43" fontId="6" fillId="13" borderId="69" xfId="1" applyFont="1" applyFill="1" applyBorder="1" applyAlignment="1">
      <alignment horizontal="center" vertical="center"/>
    </xf>
    <xf numFmtId="164" fontId="12" fillId="13" borderId="76" xfId="1" applyNumberFormat="1" applyFont="1" applyFill="1" applyBorder="1" applyAlignment="1">
      <alignment horizontal="center" vertical="center"/>
    </xf>
    <xf numFmtId="43" fontId="12" fillId="13" borderId="76" xfId="1" applyFont="1" applyFill="1" applyBorder="1" applyAlignment="1">
      <alignment horizontal="center" vertical="center" wrapText="1"/>
    </xf>
    <xf numFmtId="43" fontId="12" fillId="13" borderId="76" xfId="1" applyFont="1" applyFill="1" applyBorder="1" applyAlignment="1">
      <alignment horizontal="center"/>
    </xf>
    <xf numFmtId="164" fontId="10" fillId="13" borderId="76" xfId="1" applyNumberFormat="1" applyFont="1" applyFill="1" applyBorder="1" applyAlignment="1">
      <alignment horizontal="center" vertical="center"/>
    </xf>
    <xf numFmtId="164" fontId="6" fillId="13" borderId="76" xfId="1" applyNumberFormat="1" applyFont="1" applyFill="1" applyBorder="1" applyAlignment="1">
      <alignment horizontal="center" vertical="center"/>
    </xf>
    <xf numFmtId="43" fontId="6" fillId="13" borderId="76" xfId="1" applyFont="1" applyFill="1" applyBorder="1" applyAlignment="1">
      <alignment horizontal="center" vertical="center"/>
    </xf>
    <xf numFmtId="43" fontId="6" fillId="13" borderId="77" xfId="1" applyFont="1" applyFill="1" applyBorder="1" applyAlignment="1">
      <alignment horizontal="center" vertical="center"/>
    </xf>
    <xf numFmtId="43" fontId="6" fillId="13" borderId="78" xfId="1" applyFont="1" applyFill="1" applyBorder="1" applyAlignment="1">
      <alignment horizontal="center" vertical="center"/>
    </xf>
    <xf numFmtId="43" fontId="12" fillId="13" borderId="61" xfId="1" applyFont="1" applyFill="1" applyBorder="1" applyAlignment="1">
      <alignment horizontal="center" wrapText="1"/>
    </xf>
    <xf numFmtId="0" fontId="18" fillId="13" borderId="61" xfId="0" applyFont="1" applyFill="1" applyBorder="1"/>
    <xf numFmtId="14" fontId="6" fillId="13" borderId="78" xfId="1" applyNumberFormat="1" applyFont="1" applyFill="1" applyBorder="1" applyAlignment="1">
      <alignment horizontal="center" vertical="center"/>
    </xf>
    <xf numFmtId="43" fontId="10" fillId="13" borderId="61" xfId="1" applyFont="1" applyFill="1" applyBorder="1" applyAlignment="1">
      <alignment horizontal="center" vertical="center" wrapText="1"/>
    </xf>
    <xf numFmtId="43" fontId="12" fillId="13" borderId="79" xfId="1" applyFont="1" applyFill="1" applyBorder="1" applyAlignment="1">
      <alignment horizontal="center" vertical="center" wrapText="1"/>
    </xf>
    <xf numFmtId="43" fontId="12" fillId="13" borderId="79" xfId="1" applyFont="1" applyFill="1" applyBorder="1" applyAlignment="1">
      <alignment horizontal="center" wrapText="1"/>
    </xf>
    <xf numFmtId="164" fontId="12" fillId="13" borderId="79" xfId="1" applyNumberFormat="1" applyFont="1" applyFill="1" applyBorder="1" applyAlignment="1">
      <alignment horizontal="center" vertical="center"/>
    </xf>
    <xf numFmtId="164" fontId="10" fillId="13" borderId="79" xfId="1" applyNumberFormat="1" applyFont="1" applyFill="1" applyBorder="1" applyAlignment="1">
      <alignment horizontal="center" vertical="center"/>
    </xf>
    <xf numFmtId="164" fontId="6" fillId="13" borderId="79" xfId="1" applyNumberFormat="1" applyFont="1" applyFill="1" applyBorder="1" applyAlignment="1">
      <alignment horizontal="center" vertical="center"/>
    </xf>
    <xf numFmtId="43" fontId="10" fillId="13" borderId="79" xfId="1" applyFont="1" applyFill="1" applyBorder="1" applyAlignment="1">
      <alignment horizontal="center" vertical="center"/>
    </xf>
    <xf numFmtId="43" fontId="6" fillId="13" borderId="80" xfId="1" applyFont="1" applyFill="1" applyBorder="1" applyAlignment="1">
      <alignment horizontal="center" vertical="center"/>
    </xf>
    <xf numFmtId="43" fontId="10" fillId="13" borderId="79" xfId="1" applyFont="1" applyFill="1" applyBorder="1" applyAlignment="1">
      <alignment horizontal="center" vertical="center" wrapText="1"/>
    </xf>
    <xf numFmtId="43" fontId="10" fillId="13" borderId="79" xfId="1" applyFont="1" applyFill="1" applyBorder="1" applyAlignment="1">
      <alignment horizontal="center" wrapText="1"/>
    </xf>
    <xf numFmtId="43" fontId="10" fillId="13" borderId="80" xfId="1" applyFont="1" applyFill="1" applyBorder="1" applyAlignment="1">
      <alignment horizontal="center" vertical="center"/>
    </xf>
    <xf numFmtId="43" fontId="6" fillId="13" borderId="79" xfId="1" applyFont="1" applyFill="1" applyBorder="1" applyAlignment="1">
      <alignment horizontal="center" vertical="center"/>
    </xf>
    <xf numFmtId="43" fontId="6" fillId="13" borderId="82" xfId="1" applyFont="1" applyFill="1" applyBorder="1" applyAlignment="1">
      <alignment horizontal="center" vertical="center"/>
    </xf>
    <xf numFmtId="43" fontId="10" fillId="13" borderId="82" xfId="1" applyFont="1" applyFill="1" applyBorder="1" applyAlignment="1">
      <alignment horizontal="center" vertical="center"/>
    </xf>
    <xf numFmtId="164" fontId="21" fillId="9" borderId="68" xfId="1" applyNumberFormat="1" applyFont="1" applyFill="1" applyBorder="1" applyAlignment="1">
      <alignment horizontal="center" vertical="center"/>
    </xf>
    <xf numFmtId="164" fontId="21" fillId="9" borderId="79" xfId="1" applyNumberFormat="1" applyFont="1" applyFill="1" applyBorder="1" applyAlignment="1">
      <alignment horizontal="center" vertical="center"/>
    </xf>
    <xf numFmtId="164" fontId="21" fillId="14" borderId="68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14" fontId="6" fillId="13" borderId="66" xfId="1" applyNumberFormat="1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43" fontId="10" fillId="0" borderId="61" xfId="1" applyFont="1" applyBorder="1" applyAlignment="1">
      <alignment horizontal="center" vertical="center" wrapText="1"/>
    </xf>
    <xf numFmtId="43" fontId="10" fillId="0" borderId="61" xfId="1" applyFont="1" applyBorder="1" applyAlignment="1">
      <alignment horizontal="center" wrapText="1"/>
    </xf>
    <xf numFmtId="43" fontId="10" fillId="0" borderId="66" xfId="1" applyFont="1" applyBorder="1" applyAlignment="1">
      <alignment horizontal="center" vertical="center"/>
    </xf>
    <xf numFmtId="43" fontId="31" fillId="13" borderId="79" xfId="1" applyFont="1" applyFill="1" applyBorder="1" applyAlignment="1">
      <alignment horizontal="center" vertical="center" wrapText="1"/>
    </xf>
    <xf numFmtId="43" fontId="10" fillId="13" borderId="61" xfId="1" applyFont="1" applyFill="1" applyBorder="1" applyAlignment="1">
      <alignment horizontal="center"/>
    </xf>
    <xf numFmtId="43" fontId="12" fillId="0" borderId="11" xfId="1" applyFont="1" applyFill="1" applyBorder="1" applyAlignment="1">
      <alignment horizontal="center"/>
    </xf>
    <xf numFmtId="164" fontId="33" fillId="0" borderId="0" xfId="1" applyNumberFormat="1" applyFont="1" applyFill="1"/>
    <xf numFmtId="43" fontId="10" fillId="13" borderId="79" xfId="1" applyFont="1" applyFill="1" applyBorder="1" applyAlignment="1">
      <alignment horizontal="center"/>
    </xf>
    <xf numFmtId="14" fontId="6" fillId="13" borderId="82" xfId="1" applyNumberFormat="1" applyFont="1" applyFill="1" applyBorder="1" applyAlignment="1">
      <alignment horizontal="center" vertical="center"/>
    </xf>
    <xf numFmtId="14" fontId="6" fillId="0" borderId="82" xfId="1" applyNumberFormat="1" applyFont="1" applyBorder="1" applyAlignment="1">
      <alignment horizontal="center" vertical="center"/>
    </xf>
    <xf numFmtId="0" fontId="18" fillId="0" borderId="79" xfId="0" applyFont="1" applyBorder="1"/>
    <xf numFmtId="164" fontId="12" fillId="0" borderId="17" xfId="1" applyNumberFormat="1" applyFont="1" applyFill="1" applyBorder="1" applyAlignment="1">
      <alignment horizontal="center" vertical="center"/>
    </xf>
    <xf numFmtId="43" fontId="14" fillId="0" borderId="0" xfId="1" applyFont="1" applyAlignment="1">
      <alignment horizontal="left" vertical="center"/>
    </xf>
    <xf numFmtId="164" fontId="10" fillId="5" borderId="0" xfId="1" applyNumberFormat="1" applyFont="1" applyFill="1"/>
    <xf numFmtId="43" fontId="10" fillId="5" borderId="0" xfId="1" applyFont="1" applyFill="1"/>
    <xf numFmtId="164" fontId="34" fillId="5" borderId="0" xfId="1" applyNumberFormat="1" applyFont="1" applyFill="1"/>
    <xf numFmtId="164" fontId="34" fillId="5" borderId="0" xfId="1" applyNumberFormat="1" applyFont="1" applyFill="1" applyAlignment="1">
      <alignment horizontal="center" vertical="center"/>
    </xf>
    <xf numFmtId="164" fontId="35" fillId="0" borderId="0" xfId="1" applyNumberFormat="1" applyFont="1"/>
    <xf numFmtId="16" fontId="18" fillId="0" borderId="0" xfId="0" applyNumberFormat="1" applyFont="1"/>
    <xf numFmtId="43" fontId="12" fillId="13" borderId="79" xfId="1" applyFont="1" applyFill="1" applyBorder="1" applyAlignment="1">
      <alignment horizontal="center"/>
    </xf>
    <xf numFmtId="43" fontId="12" fillId="13" borderId="79" xfId="1" applyFont="1" applyFill="1" applyBorder="1" applyAlignment="1">
      <alignment horizontal="center" vertical="center"/>
    </xf>
    <xf numFmtId="14" fontId="12" fillId="13" borderId="82" xfId="1" applyNumberFormat="1" applyFont="1" applyFill="1" applyBorder="1" applyAlignment="1">
      <alignment horizontal="center" vertical="center"/>
    </xf>
    <xf numFmtId="164" fontId="35" fillId="0" borderId="0" xfId="1" applyNumberFormat="1" applyFont="1" applyFill="1" applyAlignment="1">
      <alignment horizontal="center" vertical="center"/>
    </xf>
    <xf numFmtId="164" fontId="36" fillId="0" borderId="0" xfId="1" applyNumberFormat="1" applyFont="1" applyFill="1" applyAlignment="1">
      <alignment horizontal="center" vertical="center"/>
    </xf>
    <xf numFmtId="43" fontId="11" fillId="0" borderId="0" xfId="1" applyFont="1" applyFill="1" applyAlignment="1">
      <alignment horizontal="center" vertical="center"/>
    </xf>
    <xf numFmtId="9" fontId="12" fillId="13" borderId="61" xfId="2" applyFont="1" applyFill="1" applyBorder="1" applyAlignment="1">
      <alignment horizontal="center" vertical="center"/>
    </xf>
    <xf numFmtId="43" fontId="12" fillId="13" borderId="79" xfId="1" quotePrefix="1" applyFont="1" applyFill="1" applyBorder="1" applyAlignment="1">
      <alignment horizontal="center"/>
    </xf>
    <xf numFmtId="164" fontId="16" fillId="0" borderId="0" xfId="1" applyNumberFormat="1" applyFont="1" applyFill="1" applyAlignment="1">
      <alignment horizontal="center" vertical="center"/>
    </xf>
    <xf numFmtId="164" fontId="18" fillId="0" borderId="0" xfId="1" applyNumberFormat="1" applyFont="1" applyFill="1" applyAlignment="1">
      <alignment horizontal="center" vertical="center"/>
    </xf>
    <xf numFmtId="43" fontId="6" fillId="13" borderId="63" xfId="1" applyFont="1" applyFill="1" applyBorder="1" applyAlignment="1">
      <alignment horizontal="center" vertical="center" wrapText="1"/>
    </xf>
    <xf numFmtId="164" fontId="10" fillId="13" borderId="63" xfId="1" applyNumberFormat="1" applyFont="1" applyFill="1" applyBorder="1" applyAlignment="1">
      <alignment horizontal="center" vertical="center" wrapText="1"/>
    </xf>
    <xf numFmtId="164" fontId="6" fillId="13" borderId="63" xfId="1" applyNumberFormat="1" applyFont="1" applyFill="1" applyBorder="1" applyAlignment="1">
      <alignment horizontal="center" vertical="center" wrapText="1"/>
    </xf>
    <xf numFmtId="164" fontId="6" fillId="13" borderId="87" xfId="1" applyNumberFormat="1" applyFont="1" applyFill="1" applyBorder="1" applyAlignment="1">
      <alignment horizontal="center" vertical="center"/>
    </xf>
    <xf numFmtId="43" fontId="6" fillId="13" borderId="64" xfId="1" applyFont="1" applyFill="1" applyBorder="1" applyAlignment="1">
      <alignment horizontal="center" vertical="center"/>
    </xf>
    <xf numFmtId="43" fontId="6" fillId="13" borderId="61" xfId="1" applyFont="1" applyFill="1" applyBorder="1" applyAlignment="1">
      <alignment horizontal="center" vertical="center" wrapText="1"/>
    </xf>
    <xf numFmtId="164" fontId="10" fillId="13" borderId="61" xfId="1" applyNumberFormat="1" applyFont="1" applyFill="1" applyBorder="1" applyAlignment="1">
      <alignment horizontal="center" vertical="center" wrapText="1"/>
    </xf>
    <xf numFmtId="164" fontId="6" fillId="13" borderId="61" xfId="1" applyNumberFormat="1" applyFont="1" applyFill="1" applyBorder="1" applyAlignment="1">
      <alignment horizontal="center" vertical="center" wrapText="1"/>
    </xf>
    <xf numFmtId="164" fontId="6" fillId="13" borderId="68" xfId="1" applyNumberFormat="1" applyFont="1" applyFill="1" applyBorder="1" applyAlignment="1">
      <alignment horizontal="center" vertical="center"/>
    </xf>
    <xf numFmtId="43" fontId="6" fillId="13" borderId="68" xfId="1" applyFont="1" applyFill="1" applyBorder="1" applyAlignment="1">
      <alignment horizontal="center" vertical="center" wrapText="1"/>
    </xf>
    <xf numFmtId="164" fontId="10" fillId="13" borderId="68" xfId="1" applyNumberFormat="1" applyFont="1" applyFill="1" applyBorder="1" applyAlignment="1">
      <alignment horizontal="center" vertical="center" wrapText="1"/>
    </xf>
    <xf numFmtId="164" fontId="6" fillId="13" borderId="68" xfId="1" applyNumberFormat="1" applyFont="1" applyFill="1" applyBorder="1" applyAlignment="1">
      <alignment horizontal="center" vertical="center" wrapText="1"/>
    </xf>
    <xf numFmtId="164" fontId="6" fillId="0" borderId="87" xfId="1" applyNumberFormat="1" applyFont="1" applyFill="1" applyBorder="1" applyAlignment="1">
      <alignment horizontal="center" vertical="center"/>
    </xf>
    <xf numFmtId="164" fontId="12" fillId="0" borderId="61" xfId="1" applyNumberFormat="1" applyFont="1" applyFill="1" applyBorder="1" applyAlignment="1">
      <alignment horizontal="center" vertical="center"/>
    </xf>
    <xf numFmtId="43" fontId="12" fillId="0" borderId="79" xfId="1" quotePrefix="1" applyFont="1" applyBorder="1" applyAlignment="1">
      <alignment horizontal="center"/>
    </xf>
    <xf numFmtId="164" fontId="6" fillId="0" borderId="83" xfId="1" applyNumberFormat="1" applyFont="1" applyBorder="1" applyAlignment="1">
      <alignment horizontal="center" vertical="center"/>
    </xf>
    <xf numFmtId="43" fontId="6" fillId="0" borderId="83" xfId="1" applyFont="1" applyBorder="1" applyAlignment="1">
      <alignment horizontal="center" vertical="center" wrapText="1"/>
    </xf>
    <xf numFmtId="43" fontId="6" fillId="0" borderId="83" xfId="1" applyFont="1" applyBorder="1" applyAlignment="1">
      <alignment horizontal="center"/>
    </xf>
    <xf numFmtId="164" fontId="10" fillId="0" borderId="83" xfId="1" applyNumberFormat="1" applyFont="1" applyBorder="1" applyAlignment="1">
      <alignment horizontal="center" vertical="center"/>
    </xf>
    <xf numFmtId="43" fontId="6" fillId="0" borderId="83" xfId="1" applyFont="1" applyBorder="1"/>
    <xf numFmtId="43" fontId="6" fillId="0" borderId="83" xfId="1" applyFont="1" applyBorder="1" applyAlignment="1">
      <alignment horizontal="center" vertical="center"/>
    </xf>
    <xf numFmtId="43" fontId="4" fillId="5" borderId="83" xfId="1" applyFont="1" applyFill="1" applyBorder="1" applyAlignment="1">
      <alignment horizontal="center" vertical="center"/>
    </xf>
    <xf numFmtId="14" fontId="6" fillId="0" borderId="61" xfId="1" applyNumberFormat="1" applyFont="1" applyBorder="1" applyAlignment="1">
      <alignment horizontal="center" vertical="center"/>
    </xf>
    <xf numFmtId="43" fontId="6" fillId="0" borderId="84" xfId="1" applyFont="1" applyBorder="1" applyAlignment="1">
      <alignment horizontal="center" vertical="center"/>
    </xf>
    <xf numFmtId="164" fontId="10" fillId="0" borderId="84" xfId="1" applyNumberFormat="1" applyFont="1" applyBorder="1" applyAlignment="1">
      <alignment horizontal="center" vertical="center"/>
    </xf>
    <xf numFmtId="164" fontId="6" fillId="0" borderId="84" xfId="1" applyNumberFormat="1" applyFont="1" applyBorder="1" applyAlignment="1">
      <alignment horizontal="center" vertical="center"/>
    </xf>
    <xf numFmtId="164" fontId="21" fillId="11" borderId="84" xfId="1" applyNumberFormat="1" applyFont="1" applyFill="1" applyBorder="1" applyAlignment="1">
      <alignment horizontal="center" vertical="center"/>
    </xf>
    <xf numFmtId="164" fontId="22" fillId="5" borderId="84" xfId="1" applyNumberFormat="1" applyFont="1" applyFill="1" applyBorder="1" applyAlignment="1">
      <alignment horizontal="center" vertical="center"/>
    </xf>
    <xf numFmtId="43" fontId="12" fillId="13" borderId="79" xfId="1" quotePrefix="1" applyFont="1" applyFill="1" applyBorder="1" applyAlignment="1">
      <alignment horizontal="center" wrapText="1"/>
    </xf>
    <xf numFmtId="43" fontId="12" fillId="13" borderId="80" xfId="1" applyFont="1" applyFill="1" applyBorder="1" applyAlignment="1">
      <alignment horizontal="center" vertical="center"/>
    </xf>
    <xf numFmtId="164" fontId="33" fillId="0" borderId="0" xfId="1" applyNumberFormat="1" applyFont="1"/>
    <xf numFmtId="164" fontId="31" fillId="0" borderId="0" xfId="1" applyNumberFormat="1" applyFont="1"/>
    <xf numFmtId="0" fontId="37" fillId="0" borderId="0" xfId="0" applyFont="1"/>
    <xf numFmtId="43" fontId="6" fillId="0" borderId="14" xfId="1" quotePrefix="1" applyFont="1" applyBorder="1" applyAlignment="1">
      <alignment horizontal="center"/>
    </xf>
    <xf numFmtId="43" fontId="6" fillId="0" borderId="11" xfId="1" quotePrefix="1" applyFont="1" applyFill="1" applyBorder="1" applyAlignment="1">
      <alignment horizontal="center"/>
    </xf>
    <xf numFmtId="43" fontId="12" fillId="0" borderId="14" xfId="1" quotePrefix="1" applyFont="1" applyBorder="1" applyAlignment="1">
      <alignment horizontal="center" wrapText="1"/>
    </xf>
    <xf numFmtId="164" fontId="6" fillId="0" borderId="63" xfId="1" applyNumberFormat="1" applyFont="1" applyFill="1" applyBorder="1" applyAlignment="1">
      <alignment horizontal="center" vertical="center"/>
    </xf>
    <xf numFmtId="43" fontId="6" fillId="0" borderId="63" xfId="1" applyFont="1" applyFill="1" applyBorder="1" applyAlignment="1">
      <alignment horizontal="center" vertical="center" wrapText="1"/>
    </xf>
    <xf numFmtId="43" fontId="6" fillId="0" borderId="63" xfId="1" applyFont="1" applyFill="1" applyBorder="1" applyAlignment="1">
      <alignment horizontal="center" vertical="center"/>
    </xf>
    <xf numFmtId="164" fontId="10" fillId="0" borderId="63" xfId="1" applyNumberFormat="1" applyFont="1" applyFill="1" applyBorder="1" applyAlignment="1">
      <alignment horizontal="center" vertical="center" wrapText="1"/>
    </xf>
    <xf numFmtId="164" fontId="6" fillId="0" borderId="63" xfId="1" applyNumberFormat="1" applyFont="1" applyFill="1" applyBorder="1" applyAlignment="1">
      <alignment horizontal="center" vertical="center" wrapText="1"/>
    </xf>
    <xf numFmtId="43" fontId="6" fillId="0" borderId="64" xfId="1" applyFont="1" applyFill="1" applyBorder="1" applyAlignment="1">
      <alignment horizontal="center" vertical="center"/>
    </xf>
    <xf numFmtId="43" fontId="6" fillId="0" borderId="61" xfId="1" applyFont="1" applyFill="1" applyBorder="1" applyAlignment="1">
      <alignment horizontal="center" vertical="center"/>
    </xf>
    <xf numFmtId="164" fontId="10" fillId="0" borderId="61" xfId="1" applyNumberFormat="1" applyFont="1" applyFill="1" applyBorder="1" applyAlignment="1">
      <alignment horizontal="center" vertical="center" wrapText="1"/>
    </xf>
    <xf numFmtId="164" fontId="6" fillId="0" borderId="61" xfId="1" applyNumberFormat="1" applyFont="1" applyFill="1" applyBorder="1" applyAlignment="1">
      <alignment horizontal="center" vertical="center" wrapText="1"/>
    </xf>
    <xf numFmtId="43" fontId="6" fillId="0" borderId="66" xfId="1" applyFont="1" applyFill="1" applyBorder="1" applyAlignment="1">
      <alignment horizontal="center" vertical="center"/>
    </xf>
    <xf numFmtId="43" fontId="6" fillId="0" borderId="68" xfId="1" applyFont="1" applyFill="1" applyBorder="1" applyAlignment="1">
      <alignment horizontal="center" vertical="center" wrapText="1"/>
    </xf>
    <xf numFmtId="164" fontId="10" fillId="0" borderId="68" xfId="1" applyNumberFormat="1" applyFont="1" applyFill="1" applyBorder="1" applyAlignment="1">
      <alignment horizontal="center" vertical="center" wrapText="1"/>
    </xf>
    <xf numFmtId="164" fontId="6" fillId="0" borderId="68" xfId="1" applyNumberFormat="1" applyFont="1" applyFill="1" applyBorder="1" applyAlignment="1">
      <alignment horizontal="center" vertical="center" wrapText="1"/>
    </xf>
    <xf numFmtId="43" fontId="10" fillId="0" borderId="63" xfId="1" applyFont="1" applyFill="1" applyBorder="1" applyAlignment="1">
      <alignment horizontal="center" vertical="center"/>
    </xf>
    <xf numFmtId="43" fontId="10" fillId="0" borderId="61" xfId="1" applyFont="1" applyFill="1" applyBorder="1" applyAlignment="1">
      <alignment horizontal="center" vertical="center"/>
    </xf>
    <xf numFmtId="43" fontId="10" fillId="0" borderId="68" xfId="1" applyFont="1" applyFill="1" applyBorder="1" applyAlignment="1">
      <alignment horizontal="center" vertical="center"/>
    </xf>
    <xf numFmtId="43" fontId="38" fillId="0" borderId="61" xfId="1" applyFont="1" applyFill="1" applyBorder="1" applyAlignment="1">
      <alignment horizontal="center" vertical="center"/>
    </xf>
    <xf numFmtId="164" fontId="39" fillId="0" borderId="0" xfId="1" applyNumberFormat="1" applyFont="1" applyFill="1"/>
    <xf numFmtId="164" fontId="39" fillId="0" borderId="0" xfId="1" applyNumberFormat="1" applyFont="1"/>
    <xf numFmtId="43" fontId="10" fillId="0" borderId="14" xfId="1" quotePrefix="1" applyFont="1" applyBorder="1" applyAlignment="1">
      <alignment horizontal="center" wrapText="1"/>
    </xf>
    <xf numFmtId="14" fontId="10" fillId="0" borderId="54" xfId="1" applyNumberFormat="1" applyFont="1" applyBorder="1" applyAlignment="1">
      <alignment horizontal="center" vertical="center"/>
    </xf>
    <xf numFmtId="43" fontId="39" fillId="0" borderId="0" xfId="1" applyFont="1"/>
    <xf numFmtId="43" fontId="12" fillId="0" borderId="14" xfId="1" applyFont="1" applyFill="1" applyBorder="1" applyAlignment="1">
      <alignment horizontal="center" vertical="center" wrapText="1"/>
    </xf>
    <xf numFmtId="43" fontId="12" fillId="0" borderId="14" xfId="1" applyFont="1" applyFill="1" applyBorder="1" applyAlignment="1">
      <alignment horizontal="center" wrapText="1"/>
    </xf>
    <xf numFmtId="164" fontId="12" fillId="0" borderId="14" xfId="1" applyNumberFormat="1" applyFont="1" applyFill="1" applyBorder="1" applyAlignment="1">
      <alignment horizontal="center" vertical="center"/>
    </xf>
    <xf numFmtId="43" fontId="12" fillId="0" borderId="14" xfId="1" applyFont="1" applyFill="1" applyBorder="1" applyAlignment="1">
      <alignment horizontal="center" vertical="center"/>
    </xf>
    <xf numFmtId="43" fontId="10" fillId="0" borderId="14" xfId="1" applyFont="1" applyFill="1" applyBorder="1" applyAlignment="1">
      <alignment horizontal="center" vertical="center"/>
    </xf>
    <xf numFmtId="14" fontId="6" fillId="0" borderId="54" xfId="1" applyNumberFormat="1" applyFont="1" applyFill="1" applyBorder="1" applyAlignment="1">
      <alignment horizontal="center" vertical="center"/>
    </xf>
    <xf numFmtId="43" fontId="14" fillId="0" borderId="0" xfId="1" applyFont="1" applyFill="1"/>
    <xf numFmtId="43" fontId="12" fillId="0" borderId="16" xfId="1" applyFont="1" applyFill="1" applyBorder="1" applyAlignment="1">
      <alignment horizontal="center" vertical="center"/>
    </xf>
    <xf numFmtId="43" fontId="12" fillId="0" borderId="0" xfId="1" applyFont="1" applyFill="1" applyBorder="1" applyAlignment="1">
      <alignment horizontal="center" vertical="center"/>
    </xf>
    <xf numFmtId="43" fontId="12" fillId="0" borderId="61" xfId="1" applyFont="1" applyFill="1" applyBorder="1" applyAlignment="1">
      <alignment horizontal="center" vertical="center" wrapText="1"/>
    </xf>
    <xf numFmtId="43" fontId="12" fillId="0" borderId="61" xfId="1" applyFont="1" applyFill="1" applyBorder="1" applyAlignment="1">
      <alignment horizontal="center"/>
    </xf>
    <xf numFmtId="164" fontId="40" fillId="0" borderId="11" xfId="1" applyNumberFormat="1" applyFont="1" applyFill="1" applyBorder="1" applyAlignment="1">
      <alignment horizontal="center" vertical="center"/>
    </xf>
    <xf numFmtId="164" fontId="10" fillId="0" borderId="0" xfId="1" applyNumberFormat="1" applyFont="1" applyFill="1"/>
    <xf numFmtId="43" fontId="12" fillId="0" borderId="54" xfId="1" applyFont="1" applyFill="1" applyBorder="1" applyAlignment="1">
      <alignment horizontal="center" vertical="center"/>
    </xf>
    <xf numFmtId="164" fontId="40" fillId="13" borderId="79" xfId="1" applyNumberFormat="1" applyFont="1" applyFill="1" applyBorder="1" applyAlignment="1">
      <alignment horizontal="center" vertical="center"/>
    </xf>
    <xf numFmtId="164" fontId="25" fillId="13" borderId="0" xfId="1" applyNumberFormat="1" applyFont="1" applyFill="1" applyAlignment="1">
      <alignment horizontal="center" vertical="center"/>
    </xf>
    <xf numFmtId="164" fontId="24" fillId="13" borderId="0" xfId="1" applyNumberFormat="1" applyFont="1" applyFill="1" applyAlignment="1">
      <alignment horizontal="center" vertical="center"/>
    </xf>
    <xf numFmtId="43" fontId="4" fillId="13" borderId="0" xfId="1" applyFont="1" applyFill="1" applyAlignment="1">
      <alignment horizontal="center" vertical="center"/>
    </xf>
    <xf numFmtId="164" fontId="40" fillId="0" borderId="61" xfId="1" applyNumberFormat="1" applyFont="1" applyBorder="1" applyAlignment="1">
      <alignment horizontal="center" vertical="center"/>
    </xf>
    <xf numFmtId="164" fontId="6" fillId="0" borderId="79" xfId="1" applyNumberFormat="1" applyFont="1" applyFill="1" applyBorder="1" applyAlignment="1">
      <alignment horizontal="center" vertical="center"/>
    </xf>
    <xf numFmtId="43" fontId="6" fillId="0" borderId="79" xfId="1" applyFont="1" applyFill="1" applyBorder="1" applyAlignment="1">
      <alignment horizontal="center" vertical="center" wrapText="1"/>
    </xf>
    <xf numFmtId="43" fontId="6" fillId="0" borderId="79" xfId="1" applyFont="1" applyFill="1" applyBorder="1" applyAlignment="1">
      <alignment horizontal="center" vertical="center"/>
    </xf>
    <xf numFmtId="164" fontId="10" fillId="0" borderId="79" xfId="1" applyNumberFormat="1" applyFont="1" applyFill="1" applyBorder="1" applyAlignment="1">
      <alignment horizontal="center" vertical="center" wrapText="1"/>
    </xf>
    <xf numFmtId="164" fontId="6" fillId="0" borderId="79" xfId="1" applyNumberFormat="1" applyFont="1" applyFill="1" applyBorder="1" applyAlignment="1">
      <alignment horizontal="center" vertical="center" wrapText="1"/>
    </xf>
    <xf numFmtId="43" fontId="6" fillId="0" borderId="82" xfId="1" applyFont="1" applyFill="1" applyBorder="1" applyAlignment="1">
      <alignment horizontal="center" vertical="center"/>
    </xf>
    <xf numFmtId="43" fontId="10" fillId="0" borderId="79" xfId="1" applyFont="1" applyFill="1" applyBorder="1" applyAlignment="1">
      <alignment horizontal="center" vertical="center"/>
    </xf>
    <xf numFmtId="0" fontId="18" fillId="13" borderId="79" xfId="0" applyFont="1" applyFill="1" applyBorder="1"/>
    <xf numFmtId="14" fontId="6" fillId="13" borderId="80" xfId="1" applyNumberFormat="1" applyFont="1" applyFill="1" applyBorder="1" applyAlignment="1">
      <alignment horizontal="center" vertical="center"/>
    </xf>
    <xf numFmtId="43" fontId="10" fillId="0" borderId="11" xfId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9" borderId="2" xfId="1" applyNumberFormat="1" applyFont="1" applyFill="1" applyBorder="1" applyAlignment="1">
      <alignment horizontal="center" vertical="center"/>
    </xf>
    <xf numFmtId="14" fontId="4" fillId="9" borderId="2" xfId="0" applyNumberFormat="1" applyFont="1" applyFill="1" applyBorder="1" applyAlignment="1">
      <alignment horizontal="center" vertical="center"/>
    </xf>
    <xf numFmtId="164" fontId="21" fillId="13" borderId="79" xfId="1" applyNumberFormat="1" applyFont="1" applyFill="1" applyBorder="1" applyAlignment="1">
      <alignment horizontal="center" vertical="center"/>
    </xf>
    <xf numFmtId="14" fontId="6" fillId="0" borderId="82" xfId="1" applyNumberFormat="1" applyFont="1" applyFill="1" applyBorder="1" applyAlignment="1">
      <alignment horizontal="center" vertical="center"/>
    </xf>
    <xf numFmtId="43" fontId="6" fillId="0" borderId="79" xfId="1" quotePrefix="1" applyFont="1" applyFill="1" applyBorder="1" applyAlignment="1">
      <alignment horizontal="center" vertical="center"/>
    </xf>
    <xf numFmtId="43" fontId="4" fillId="0" borderId="90" xfId="1" applyFont="1" applyFill="1" applyBorder="1" applyAlignment="1">
      <alignment horizontal="center" vertical="center"/>
    </xf>
    <xf numFmtId="164" fontId="25" fillId="0" borderId="90" xfId="1" applyNumberFormat="1" applyFont="1" applyFill="1" applyBorder="1" applyAlignment="1">
      <alignment horizontal="center" vertical="center"/>
    </xf>
    <xf numFmtId="164" fontId="24" fillId="0" borderId="90" xfId="1" applyNumberFormat="1" applyFont="1" applyFill="1" applyBorder="1" applyAlignment="1">
      <alignment horizontal="center" vertical="center"/>
    </xf>
    <xf numFmtId="43" fontId="4" fillId="0" borderId="85" xfId="1" applyFont="1" applyFill="1" applyBorder="1" applyAlignment="1">
      <alignment horizontal="center" vertical="center"/>
    </xf>
    <xf numFmtId="164" fontId="25" fillId="0" borderId="85" xfId="1" applyNumberFormat="1" applyFont="1" applyFill="1" applyBorder="1" applyAlignment="1">
      <alignment horizontal="center" vertical="center"/>
    </xf>
    <xf numFmtId="164" fontId="24" fillId="0" borderId="85" xfId="1" applyNumberFormat="1" applyFont="1" applyFill="1" applyBorder="1" applyAlignment="1">
      <alignment horizontal="center" vertical="center"/>
    </xf>
    <xf numFmtId="43" fontId="6" fillId="13" borderId="79" xfId="1" applyFont="1" applyFill="1" applyBorder="1" applyAlignment="1">
      <alignment horizontal="center" vertical="center" wrapText="1"/>
    </xf>
    <xf numFmtId="164" fontId="10" fillId="13" borderId="79" xfId="1" applyNumberFormat="1" applyFont="1" applyFill="1" applyBorder="1" applyAlignment="1">
      <alignment horizontal="center" vertical="center" wrapText="1"/>
    </xf>
    <xf numFmtId="164" fontId="6" fillId="13" borderId="79" xfId="1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164" fontId="4" fillId="13" borderId="68" xfId="1" applyNumberFormat="1" applyFont="1" applyFill="1" applyBorder="1" applyAlignment="1">
      <alignment horizontal="center" vertical="center"/>
    </xf>
    <xf numFmtId="43" fontId="4" fillId="13" borderId="68" xfId="1" applyFont="1" applyFill="1" applyBorder="1" applyAlignment="1">
      <alignment horizontal="center" vertical="center" wrapText="1"/>
    </xf>
    <xf numFmtId="43" fontId="4" fillId="13" borderId="68" xfId="1" applyFont="1" applyFill="1" applyBorder="1" applyAlignment="1">
      <alignment horizontal="center" vertical="center"/>
    </xf>
    <xf numFmtId="164" fontId="5" fillId="13" borderId="68" xfId="1" applyNumberFormat="1" applyFont="1" applyFill="1" applyBorder="1" applyAlignment="1">
      <alignment horizontal="center" vertical="center" wrapText="1"/>
    </xf>
    <xf numFmtId="164" fontId="4" fillId="13" borderId="68" xfId="1" applyNumberFormat="1" applyFont="1" applyFill="1" applyBorder="1" applyAlignment="1">
      <alignment horizontal="center" vertical="center" wrapText="1"/>
    </xf>
    <xf numFmtId="43" fontId="4" fillId="13" borderId="74" xfId="1" applyFont="1" applyFill="1" applyBorder="1" applyAlignment="1">
      <alignment horizontal="center" vertical="center"/>
    </xf>
    <xf numFmtId="43" fontId="4" fillId="13" borderId="91" xfId="1" applyFont="1" applyFill="1" applyBorder="1" applyAlignment="1">
      <alignment horizontal="center" vertical="center"/>
    </xf>
    <xf numFmtId="43" fontId="4" fillId="13" borderId="69" xfId="1" applyFont="1" applyFill="1" applyBorder="1" applyAlignment="1">
      <alignment horizontal="center" vertical="center"/>
    </xf>
    <xf numFmtId="164" fontId="18" fillId="0" borderId="79" xfId="0" applyNumberFormat="1" applyFont="1" applyBorder="1"/>
    <xf numFmtId="43" fontId="10" fillId="0" borderId="61" xfId="1" applyFont="1" applyBorder="1" applyAlignment="1">
      <alignment horizontal="center"/>
    </xf>
    <xf numFmtId="43" fontId="10" fillId="0" borderId="61" xfId="1" applyNumberFormat="1" applyFont="1" applyBorder="1" applyAlignment="1">
      <alignment horizontal="center" vertical="center"/>
    </xf>
    <xf numFmtId="164" fontId="43" fillId="0" borderId="0" xfId="1" applyNumberFormat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164" fontId="25" fillId="5" borderId="0" xfId="1" applyNumberFormat="1" applyFont="1" applyFill="1" applyAlignment="1">
      <alignment horizontal="center" vertical="center"/>
    </xf>
    <xf numFmtId="164" fontId="25" fillId="5" borderId="0" xfId="1" applyNumberFormat="1" applyFont="1" applyFill="1" applyAlignment="1">
      <alignment vertical="center"/>
    </xf>
    <xf numFmtId="164" fontId="33" fillId="0" borderId="0" xfId="1" applyNumberFormat="1" applyFont="1" applyFill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164" fontId="18" fillId="0" borderId="5" xfId="1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4" fillId="9" borderId="89" xfId="0" applyFont="1" applyFill="1" applyBorder="1" applyAlignment="1">
      <alignment horizontal="center" vertical="center"/>
    </xf>
    <xf numFmtId="43" fontId="6" fillId="13" borderId="87" xfId="1" applyFont="1" applyFill="1" applyBorder="1" applyAlignment="1">
      <alignment horizontal="center" vertical="center" wrapText="1"/>
    </xf>
    <xf numFmtId="43" fontId="6" fillId="13" borderId="87" xfId="1" applyFont="1" applyFill="1" applyBorder="1" applyAlignment="1">
      <alignment horizontal="center" vertical="center"/>
    </xf>
    <xf numFmtId="164" fontId="10" fillId="13" borderId="87" xfId="1" applyNumberFormat="1" applyFont="1" applyFill="1" applyBorder="1" applyAlignment="1">
      <alignment horizontal="center" vertical="center" wrapText="1"/>
    </xf>
    <xf numFmtId="164" fontId="6" fillId="13" borderId="87" xfId="1" applyNumberFormat="1" applyFont="1" applyFill="1" applyBorder="1" applyAlignment="1">
      <alignment horizontal="center" vertical="center" wrapText="1"/>
    </xf>
    <xf numFmtId="43" fontId="4" fillId="0" borderId="68" xfId="1" applyFont="1" applyFill="1" applyBorder="1" applyAlignment="1">
      <alignment horizontal="center" vertical="center"/>
    </xf>
    <xf numFmtId="164" fontId="4" fillId="0" borderId="68" xfId="1" applyNumberFormat="1" applyFont="1" applyFill="1" applyBorder="1" applyAlignment="1">
      <alignment horizontal="center" vertical="center" wrapText="1"/>
    </xf>
    <xf numFmtId="43" fontId="4" fillId="0" borderId="69" xfId="1" applyFont="1" applyFill="1" applyBorder="1" applyAlignment="1">
      <alignment horizontal="center" vertical="center"/>
    </xf>
    <xf numFmtId="43" fontId="10" fillId="0" borderId="79" xfId="1" applyFont="1" applyBorder="1" applyAlignment="1">
      <alignment horizontal="center" vertical="center" wrapText="1"/>
    </xf>
    <xf numFmtId="43" fontId="10" fillId="0" borderId="79" xfId="1" applyFont="1" applyBorder="1" applyAlignment="1">
      <alignment horizontal="center" wrapText="1"/>
    </xf>
    <xf numFmtId="43" fontId="10" fillId="0" borderId="82" xfId="1" applyFont="1" applyBorder="1" applyAlignment="1">
      <alignment horizontal="center" vertical="center"/>
    </xf>
    <xf numFmtId="164" fontId="6" fillId="15" borderId="61" xfId="1" applyNumberFormat="1" applyFont="1" applyFill="1" applyBorder="1" applyAlignment="1">
      <alignment horizontal="center" vertical="center"/>
    </xf>
    <xf numFmtId="164" fontId="34" fillId="5" borderId="0" xfId="1" applyNumberFormat="1" applyFont="1" applyFill="1" applyAlignment="1">
      <alignment vertical="center"/>
    </xf>
    <xf numFmtId="43" fontId="12" fillId="0" borderId="16" xfId="1" applyFont="1" applyBorder="1" applyAlignment="1">
      <alignment horizontal="center" vertical="center"/>
    </xf>
    <xf numFmtId="43" fontId="12" fillId="0" borderId="0" xfId="1" applyFont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1" applyNumberFormat="1" applyFont="1"/>
    <xf numFmtId="43" fontId="12" fillId="13" borderId="61" xfId="1" quotePrefix="1" applyFont="1" applyFill="1" applyBorder="1" applyAlignment="1">
      <alignment horizontal="center" vertical="center" wrapText="1"/>
    </xf>
    <xf numFmtId="43" fontId="12" fillId="13" borderId="87" xfId="1" applyFont="1" applyFill="1" applyBorder="1" applyAlignment="1">
      <alignment horizontal="center" vertical="center" wrapText="1"/>
    </xf>
    <xf numFmtId="43" fontId="12" fillId="13" borderId="87" xfId="1" applyFont="1" applyFill="1" applyBorder="1" applyAlignment="1">
      <alignment horizontal="center"/>
    </xf>
    <xf numFmtId="164" fontId="12" fillId="13" borderId="87" xfId="1" applyNumberFormat="1" applyFont="1" applyFill="1" applyBorder="1" applyAlignment="1">
      <alignment horizontal="center" vertical="center"/>
    </xf>
    <xf numFmtId="164" fontId="10" fillId="13" borderId="87" xfId="1" applyNumberFormat="1" applyFont="1" applyFill="1" applyBorder="1" applyAlignment="1">
      <alignment horizontal="center" vertical="center"/>
    </xf>
    <xf numFmtId="43" fontId="12" fillId="13" borderId="17" xfId="1" applyFont="1" applyFill="1" applyBorder="1" applyAlignment="1">
      <alignment horizontal="center" vertical="center" wrapText="1"/>
    </xf>
    <xf numFmtId="43" fontId="12" fillId="13" borderId="17" xfId="1" applyFont="1" applyFill="1" applyBorder="1" applyAlignment="1">
      <alignment horizontal="center"/>
    </xf>
    <xf numFmtId="164" fontId="12" fillId="13" borderId="17" xfId="1" applyNumberFormat="1" applyFont="1" applyFill="1" applyBorder="1" applyAlignment="1">
      <alignment horizontal="center" vertical="center"/>
    </xf>
    <xf numFmtId="164" fontId="10" fillId="13" borderId="17" xfId="1" applyNumberFormat="1" applyFont="1" applyFill="1" applyBorder="1" applyAlignment="1">
      <alignment horizontal="center" vertical="center"/>
    </xf>
    <xf numFmtId="43" fontId="10" fillId="13" borderId="17" xfId="1" applyFont="1" applyFill="1" applyBorder="1" applyAlignment="1">
      <alignment horizontal="center" vertical="center"/>
    </xf>
    <xf numFmtId="14" fontId="6" fillId="13" borderId="92" xfId="1" applyNumberFormat="1" applyFont="1" applyFill="1" applyBorder="1" applyAlignment="1">
      <alignment horizontal="center" vertical="center"/>
    </xf>
    <xf numFmtId="43" fontId="10" fillId="0" borderId="79" xfId="1" applyFont="1" applyBorder="1" applyAlignment="1">
      <alignment horizontal="center"/>
    </xf>
    <xf numFmtId="164" fontId="6" fillId="0" borderId="85" xfId="1" applyNumberFormat="1" applyFont="1" applyFill="1" applyBorder="1" applyAlignment="1">
      <alignment horizontal="center" vertical="center"/>
    </xf>
    <xf numFmtId="164" fontId="12" fillId="13" borderId="79" xfId="1" applyNumberFormat="1" applyFont="1" applyFill="1" applyBorder="1" applyAlignment="1">
      <alignment horizontal="center" vertical="center" wrapText="1"/>
    </xf>
    <xf numFmtId="43" fontId="12" fillId="13" borderId="82" xfId="1" applyFont="1" applyFill="1" applyBorder="1" applyAlignment="1">
      <alignment horizontal="center" vertical="center"/>
    </xf>
    <xf numFmtId="164" fontId="33" fillId="13" borderId="0" xfId="1" applyNumberFormat="1" applyFont="1" applyFill="1" applyAlignment="1">
      <alignment horizontal="center" vertical="center"/>
    </xf>
    <xf numFmtId="164" fontId="36" fillId="13" borderId="0" xfId="1" applyNumberFormat="1" applyFont="1" applyFill="1" applyAlignment="1">
      <alignment horizontal="center" vertical="center"/>
    </xf>
    <xf numFmtId="43" fontId="11" fillId="13" borderId="0" xfId="1" applyFont="1" applyFill="1" applyAlignment="1">
      <alignment horizontal="center" vertical="center"/>
    </xf>
    <xf numFmtId="164" fontId="26" fillId="13" borderId="0" xfId="1" applyNumberFormat="1" applyFont="1" applyFill="1" applyAlignment="1">
      <alignment horizontal="center" vertical="center"/>
    </xf>
    <xf numFmtId="164" fontId="43" fillId="13" borderId="0" xfId="1" applyNumberFormat="1" applyFont="1" applyFill="1" applyAlignment="1">
      <alignment horizontal="center" vertical="center"/>
    </xf>
    <xf numFmtId="43" fontId="5" fillId="13" borderId="0" xfId="1" applyFont="1" applyFill="1" applyAlignment="1">
      <alignment horizontal="center" vertical="center"/>
    </xf>
    <xf numFmtId="43" fontId="6" fillId="0" borderId="86" xfId="1" applyFont="1" applyBorder="1" applyAlignment="1">
      <alignment horizontal="center" vertical="center"/>
    </xf>
    <xf numFmtId="43" fontId="6" fillId="0" borderId="93" xfId="1" applyFont="1" applyBorder="1" applyAlignment="1">
      <alignment horizontal="center" vertical="center"/>
    </xf>
    <xf numFmtId="43" fontId="4" fillId="13" borderId="63" xfId="1" applyFont="1" applyFill="1" applyBorder="1" applyAlignment="1">
      <alignment horizontal="center" vertical="center"/>
    </xf>
    <xf numFmtId="43" fontId="4" fillId="13" borderId="64" xfId="1" applyFont="1" applyFill="1" applyBorder="1" applyAlignment="1">
      <alignment horizontal="center" vertical="center"/>
    </xf>
    <xf numFmtId="43" fontId="4" fillId="13" borderId="61" xfId="1" applyFont="1" applyFill="1" applyBorder="1" applyAlignment="1">
      <alignment horizontal="center" vertical="center"/>
    </xf>
    <xf numFmtId="43" fontId="4" fillId="13" borderId="66" xfId="1" applyFont="1" applyFill="1" applyBorder="1" applyAlignment="1">
      <alignment horizontal="center" vertical="center"/>
    </xf>
    <xf numFmtId="164" fontId="6" fillId="13" borderId="95" xfId="1" applyNumberFormat="1" applyFont="1" applyFill="1" applyBorder="1" applyAlignment="1">
      <alignment horizontal="center" vertical="center"/>
    </xf>
    <xf numFmtId="164" fontId="6" fillId="13" borderId="96" xfId="1" applyNumberFormat="1" applyFont="1" applyFill="1" applyBorder="1" applyAlignment="1">
      <alignment horizontal="center" vertical="center"/>
    </xf>
    <xf numFmtId="164" fontId="4" fillId="13" borderId="97" xfId="1" applyNumberFormat="1" applyFont="1" applyFill="1" applyBorder="1" applyAlignment="1">
      <alignment horizontal="center" vertical="center"/>
    </xf>
    <xf numFmtId="164" fontId="6" fillId="0" borderId="98" xfId="1" applyNumberFormat="1" applyFont="1" applyBorder="1" applyAlignment="1">
      <alignment horizontal="center" vertical="center"/>
    </xf>
    <xf numFmtId="164" fontId="6" fillId="0" borderId="96" xfId="1" applyNumberFormat="1" applyFont="1" applyBorder="1" applyAlignment="1">
      <alignment horizontal="center" vertical="center"/>
    </xf>
    <xf numFmtId="164" fontId="4" fillId="0" borderId="97" xfId="1" applyNumberFormat="1" applyFont="1" applyFill="1" applyBorder="1" applyAlignment="1">
      <alignment horizontal="center" vertical="center"/>
    </xf>
    <xf numFmtId="164" fontId="12" fillId="13" borderId="96" xfId="1" applyNumberFormat="1" applyFont="1" applyFill="1" applyBorder="1" applyAlignment="1">
      <alignment horizontal="center" vertical="center"/>
    </xf>
    <xf numFmtId="164" fontId="6" fillId="13" borderId="97" xfId="1" applyNumberFormat="1" applyFont="1" applyFill="1" applyBorder="1" applyAlignment="1">
      <alignment horizontal="center" vertical="center"/>
    </xf>
    <xf numFmtId="164" fontId="6" fillId="0" borderId="97" xfId="1" applyNumberFormat="1" applyFont="1" applyFill="1" applyBorder="1" applyAlignment="1">
      <alignment horizontal="center" vertical="center"/>
    </xf>
    <xf numFmtId="164" fontId="6" fillId="13" borderId="98" xfId="1" applyNumberFormat="1" applyFont="1" applyFill="1" applyBorder="1" applyAlignment="1">
      <alignment horizontal="center" vertical="center"/>
    </xf>
    <xf numFmtId="164" fontId="6" fillId="0" borderId="98" xfId="1" applyNumberFormat="1" applyFont="1" applyFill="1" applyBorder="1" applyAlignment="1">
      <alignment horizontal="center" vertical="center"/>
    </xf>
    <xf numFmtId="164" fontId="6" fillId="0" borderId="96" xfId="1" applyNumberFormat="1" applyFont="1" applyFill="1" applyBorder="1" applyAlignment="1">
      <alignment horizontal="center" vertical="center"/>
    </xf>
    <xf numFmtId="164" fontId="6" fillId="0" borderId="99" xfId="1" applyNumberFormat="1" applyFont="1" applyFill="1" applyBorder="1" applyAlignment="1">
      <alignment horizontal="center" vertical="center"/>
    </xf>
    <xf numFmtId="164" fontId="10" fillId="0" borderId="96" xfId="1" applyNumberFormat="1" applyFont="1" applyFill="1" applyBorder="1" applyAlignment="1">
      <alignment horizontal="center" vertical="center"/>
    </xf>
    <xf numFmtId="164" fontId="12" fillId="13" borderId="97" xfId="1" applyNumberFormat="1" applyFont="1" applyFill="1" applyBorder="1" applyAlignment="1">
      <alignment horizontal="center" vertical="center"/>
    </xf>
    <xf numFmtId="164" fontId="12" fillId="0" borderId="97" xfId="1" applyNumberFormat="1" applyFont="1" applyBorder="1" applyAlignment="1">
      <alignment horizontal="center" vertical="center"/>
    </xf>
    <xf numFmtId="164" fontId="12" fillId="13" borderId="100" xfId="1" applyNumberFormat="1" applyFont="1" applyFill="1" applyBorder="1" applyAlignment="1">
      <alignment horizontal="center" vertical="center"/>
    </xf>
    <xf numFmtId="164" fontId="10" fillId="13" borderId="96" xfId="1" applyNumberFormat="1" applyFont="1" applyFill="1" applyBorder="1" applyAlignment="1">
      <alignment horizontal="center" vertical="center"/>
    </xf>
    <xf numFmtId="164" fontId="6" fillId="0" borderId="99" xfId="1" applyNumberFormat="1" applyFont="1" applyBorder="1" applyAlignment="1">
      <alignment horizontal="center" vertical="center"/>
    </xf>
    <xf numFmtId="43" fontId="2" fillId="3" borderId="94" xfId="1" applyFont="1" applyFill="1" applyBorder="1" applyAlignment="1">
      <alignment horizontal="center" vertical="center"/>
    </xf>
    <xf numFmtId="164" fontId="4" fillId="3" borderId="110" xfId="1" applyNumberFormat="1" applyFont="1" applyFill="1" applyBorder="1" applyAlignment="1">
      <alignment horizontal="center" vertical="center"/>
    </xf>
    <xf numFmtId="43" fontId="4" fillId="3" borderId="111" xfId="1" applyFont="1" applyFill="1" applyBorder="1" applyAlignment="1">
      <alignment horizontal="center" vertical="center" wrapText="1"/>
    </xf>
    <xf numFmtId="43" fontId="4" fillId="3" borderId="111" xfId="1" applyFont="1" applyFill="1" applyBorder="1" applyAlignment="1">
      <alignment horizontal="center" vertical="center"/>
    </xf>
    <xf numFmtId="164" fontId="4" fillId="3" borderId="111" xfId="1" applyNumberFormat="1" applyFont="1" applyFill="1" applyBorder="1" applyAlignment="1">
      <alignment horizontal="center" vertical="center"/>
    </xf>
    <xf numFmtId="164" fontId="5" fillId="3" borderId="111" xfId="1" applyNumberFormat="1" applyFont="1" applyFill="1" applyBorder="1" applyAlignment="1">
      <alignment horizontal="center" vertical="center" wrapText="1"/>
    </xf>
    <xf numFmtId="164" fontId="4" fillId="3" borderId="111" xfId="1" applyNumberFormat="1" applyFont="1" applyFill="1" applyBorder="1" applyAlignment="1">
      <alignment horizontal="center" vertical="center" wrapText="1"/>
    </xf>
    <xf numFmtId="164" fontId="4" fillId="4" borderId="111" xfId="1" applyNumberFormat="1" applyFont="1" applyFill="1" applyBorder="1" applyAlignment="1">
      <alignment horizontal="center" vertical="center" wrapText="1"/>
    </xf>
    <xf numFmtId="164" fontId="4" fillId="5" borderId="111" xfId="1" applyNumberFormat="1" applyFont="1" applyFill="1" applyBorder="1" applyAlignment="1">
      <alignment horizontal="center" vertical="center" wrapText="1"/>
    </xf>
    <xf numFmtId="43" fontId="4" fillId="6" borderId="112" xfId="1" applyFont="1" applyFill="1" applyBorder="1" applyAlignment="1">
      <alignment horizontal="center" vertical="center"/>
    </xf>
    <xf numFmtId="43" fontId="4" fillId="3" borderId="60" xfId="1" applyFont="1" applyFill="1" applyBorder="1" applyAlignment="1">
      <alignment horizontal="center" vertical="center"/>
    </xf>
    <xf numFmtId="43" fontId="4" fillId="3" borderId="113" xfId="1" applyFont="1" applyFill="1" applyBorder="1" applyAlignment="1">
      <alignment horizontal="center" vertical="center"/>
    </xf>
    <xf numFmtId="0" fontId="18" fillId="0" borderId="63" xfId="0" applyFont="1" applyBorder="1"/>
    <xf numFmtId="14" fontId="6" fillId="0" borderId="64" xfId="1" applyNumberFormat="1" applyFont="1" applyFill="1" applyBorder="1" applyAlignment="1">
      <alignment horizontal="center" vertical="center"/>
    </xf>
    <xf numFmtId="43" fontId="12" fillId="13" borderId="2" xfId="1" applyFont="1" applyFill="1" applyBorder="1" applyAlignment="1">
      <alignment horizontal="center" vertical="center" wrapText="1"/>
    </xf>
    <xf numFmtId="164" fontId="10" fillId="13" borderId="2" xfId="1" applyNumberFormat="1" applyFont="1" applyFill="1" applyBorder="1" applyAlignment="1">
      <alignment horizontal="center" vertical="center"/>
    </xf>
    <xf numFmtId="164" fontId="12" fillId="13" borderId="2" xfId="1" applyNumberFormat="1" applyFont="1" applyFill="1" applyBorder="1" applyAlignment="1">
      <alignment horizontal="center" vertical="center"/>
    </xf>
    <xf numFmtId="14" fontId="18" fillId="0" borderId="66" xfId="0" applyNumberFormat="1" applyFont="1" applyBorder="1"/>
    <xf numFmtId="14" fontId="18" fillId="0" borderId="82" xfId="0" applyNumberFormat="1" applyFont="1" applyBorder="1"/>
    <xf numFmtId="164" fontId="12" fillId="0" borderId="91" xfId="1" applyNumberFormat="1" applyFont="1" applyFill="1" applyBorder="1" applyAlignment="1">
      <alignment horizontal="center" vertical="center"/>
    </xf>
    <xf numFmtId="164" fontId="12" fillId="13" borderId="99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6" fillId="0" borderId="61" xfId="1" applyNumberFormat="1" applyFont="1" applyFill="1" applyBorder="1" applyAlignment="1">
      <alignment horizontal="right" vertical="center"/>
    </xf>
    <xf numFmtId="43" fontId="0" fillId="0" borderId="0" xfId="0" applyNumberFormat="1"/>
    <xf numFmtId="164" fontId="30" fillId="0" borderId="0" xfId="1" applyNumberFormat="1" applyFont="1" applyAlignment="1">
      <alignment horizontal="center" vertical="center"/>
    </xf>
    <xf numFmtId="0" fontId="48" fillId="0" borderId="0" xfId="0" applyFont="1"/>
    <xf numFmtId="164" fontId="48" fillId="0" borderId="0" xfId="1" applyNumberFormat="1" applyFont="1"/>
    <xf numFmtId="14" fontId="48" fillId="0" borderId="0" xfId="0" applyNumberFormat="1" applyFont="1"/>
    <xf numFmtId="0" fontId="49" fillId="16" borderId="5" xfId="0" applyFont="1" applyFill="1" applyBorder="1" applyAlignment="1">
      <alignment horizontal="center" vertical="center" wrapText="1"/>
    </xf>
    <xf numFmtId="0" fontId="48" fillId="0" borderId="33" xfId="0" applyFont="1" applyBorder="1"/>
    <xf numFmtId="164" fontId="48" fillId="0" borderId="17" xfId="1" applyNumberFormat="1" applyFont="1" applyBorder="1"/>
    <xf numFmtId="164" fontId="48" fillId="0" borderId="17" xfId="1" quotePrefix="1" applyNumberFormat="1" applyFont="1" applyBorder="1"/>
    <xf numFmtId="0" fontId="48" fillId="0" borderId="17" xfId="0" applyFont="1" applyBorder="1"/>
    <xf numFmtId="0" fontId="48" fillId="0" borderId="0" xfId="0" applyFont="1" applyBorder="1"/>
    <xf numFmtId="14" fontId="48" fillId="0" borderId="17" xfId="0" applyNumberFormat="1" applyFont="1" applyBorder="1"/>
    <xf numFmtId="0" fontId="48" fillId="0" borderId="48" xfId="0" applyFont="1" applyBorder="1"/>
    <xf numFmtId="164" fontId="48" fillId="0" borderId="0" xfId="1" applyNumberFormat="1" applyFont="1" applyFill="1" applyBorder="1"/>
    <xf numFmtId="164" fontId="48" fillId="0" borderId="0" xfId="0" applyNumberFormat="1" applyFont="1"/>
    <xf numFmtId="0" fontId="49" fillId="14" borderId="32" xfId="0" applyFont="1" applyFill="1" applyBorder="1"/>
    <xf numFmtId="0" fontId="48" fillId="14" borderId="116" xfId="0" applyFont="1" applyFill="1" applyBorder="1"/>
    <xf numFmtId="164" fontId="48" fillId="14" borderId="32" xfId="1" applyNumberFormat="1" applyFont="1" applyFill="1" applyBorder="1"/>
    <xf numFmtId="164" fontId="48" fillId="14" borderId="116" xfId="1" applyNumberFormat="1" applyFont="1" applyFill="1" applyBorder="1"/>
    <xf numFmtId="164" fontId="50" fillId="14" borderId="32" xfId="1" applyNumberFormat="1" applyFont="1" applyFill="1" applyBorder="1"/>
    <xf numFmtId="14" fontId="48" fillId="14" borderId="32" xfId="0" applyNumberFormat="1" applyFont="1" applyFill="1" applyBorder="1"/>
    <xf numFmtId="0" fontId="48" fillId="14" borderId="117" xfId="0" applyFont="1" applyFill="1" applyBorder="1"/>
    <xf numFmtId="0" fontId="48" fillId="14" borderId="32" xfId="0" applyFont="1" applyFill="1" applyBorder="1"/>
    <xf numFmtId="164" fontId="50" fillId="14" borderId="32" xfId="0" applyNumberFormat="1" applyFont="1" applyFill="1" applyBorder="1"/>
    <xf numFmtId="164" fontId="48" fillId="0" borderId="0" xfId="1" applyNumberFormat="1" applyFont="1" applyFill="1"/>
    <xf numFmtId="0" fontId="48" fillId="0" borderId="0" xfId="0" applyFont="1" applyFill="1"/>
    <xf numFmtId="0" fontId="49" fillId="14" borderId="32" xfId="0" applyFont="1" applyFill="1" applyBorder="1" applyAlignment="1">
      <alignment horizontal="left"/>
    </xf>
    <xf numFmtId="164" fontId="48" fillId="14" borderId="119" xfId="1" applyNumberFormat="1" applyFont="1" applyFill="1" applyBorder="1"/>
    <xf numFmtId="43" fontId="48" fillId="0" borderId="0" xfId="0" applyNumberFormat="1" applyFont="1"/>
    <xf numFmtId="164" fontId="48" fillId="0" borderId="0" xfId="0" quotePrefix="1" applyNumberFormat="1" applyFont="1"/>
    <xf numFmtId="164" fontId="49" fillId="0" borderId="0" xfId="0" quotePrefix="1" applyNumberFormat="1" applyFont="1"/>
    <xf numFmtId="0" fontId="49" fillId="0" borderId="0" xfId="0" applyFont="1" applyAlignment="1">
      <alignment horizontal="left"/>
    </xf>
    <xf numFmtId="164" fontId="51" fillId="0" borderId="0" xfId="1" applyNumberFormat="1" applyFont="1"/>
    <xf numFmtId="0" fontId="46" fillId="0" borderId="0" xfId="0" applyFont="1" applyAlignment="1">
      <alignment horizontal="center" vertical="center"/>
    </xf>
    <xf numFmtId="164" fontId="51" fillId="0" borderId="0" xfId="1" applyNumberFormat="1" applyFont="1" applyAlignment="1">
      <alignment horizontal="left"/>
    </xf>
    <xf numFmtId="164" fontId="49" fillId="0" borderId="0" xfId="1" quotePrefix="1" applyNumberFormat="1" applyFont="1"/>
    <xf numFmtId="0" fontId="49" fillId="14" borderId="119" xfId="0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164" fontId="48" fillId="14" borderId="0" xfId="1" applyNumberFormat="1" applyFont="1" applyFill="1"/>
    <xf numFmtId="0" fontId="48" fillId="14" borderId="0" xfId="0" applyFont="1" applyFill="1"/>
    <xf numFmtId="164" fontId="48" fillId="14" borderId="32" xfId="1" applyNumberFormat="1" applyFont="1" applyFill="1" applyBorder="1" applyAlignment="1"/>
    <xf numFmtId="164" fontId="48" fillId="0" borderId="0" xfId="1" applyNumberFormat="1" applyFont="1" applyAlignment="1"/>
    <xf numFmtId="164" fontId="48" fillId="14" borderId="32" xfId="1" applyNumberFormat="1" applyFont="1" applyFill="1" applyBorder="1" applyAlignment="1">
      <alignment vertical="center"/>
    </xf>
    <xf numFmtId="164" fontId="48" fillId="0" borderId="0" xfId="1" applyNumberFormat="1" applyFont="1" applyAlignment="1">
      <alignment vertical="center"/>
    </xf>
    <xf numFmtId="164" fontId="50" fillId="0" borderId="0" xfId="1" quotePrefix="1" applyNumberFormat="1" applyFont="1" applyAlignment="1">
      <alignment vertical="center"/>
    </xf>
    <xf numFmtId="164" fontId="51" fillId="0" borderId="0" xfId="1" applyNumberFormat="1" applyFont="1" applyAlignment="1">
      <alignment wrapText="1"/>
    </xf>
    <xf numFmtId="164" fontId="6" fillId="0" borderId="34" xfId="1" applyNumberFormat="1" applyFont="1" applyBorder="1" applyAlignment="1">
      <alignment horizontal="center" vertical="center"/>
    </xf>
    <xf numFmtId="164" fontId="6" fillId="0" borderId="31" xfId="1" applyNumberFormat="1" applyFont="1" applyBorder="1" applyAlignment="1">
      <alignment horizontal="center" vertical="center"/>
    </xf>
    <xf numFmtId="14" fontId="6" fillId="0" borderId="79" xfId="1" applyNumberFormat="1" applyFont="1" applyBorder="1" applyAlignment="1">
      <alignment horizontal="center" vertical="center"/>
    </xf>
    <xf numFmtId="164" fontId="48" fillId="14" borderId="116" xfId="1" applyNumberFormat="1" applyFont="1" applyFill="1" applyBorder="1" applyAlignment="1"/>
    <xf numFmtId="164" fontId="48" fillId="14" borderId="119" xfId="1" applyNumberFormat="1" applyFont="1" applyFill="1" applyBorder="1" applyAlignment="1">
      <alignment vertical="center"/>
    </xf>
    <xf numFmtId="164" fontId="50" fillId="14" borderId="119" xfId="0" applyNumberFormat="1" applyFont="1" applyFill="1" applyBorder="1"/>
    <xf numFmtId="14" fontId="48" fillId="14" borderId="119" xfId="0" applyNumberFormat="1" applyFont="1" applyFill="1" applyBorder="1"/>
    <xf numFmtId="164" fontId="49" fillId="17" borderId="0" xfId="1" applyNumberFormat="1" applyFont="1" applyFill="1"/>
    <xf numFmtId="164" fontId="48" fillId="17" borderId="0" xfId="1" applyNumberFormat="1" applyFont="1" applyFill="1" applyAlignment="1">
      <alignment vertical="center"/>
    </xf>
    <xf numFmtId="164" fontId="48" fillId="17" borderId="0" xfId="1" applyNumberFormat="1" applyFont="1" applyFill="1"/>
    <xf numFmtId="164" fontId="50" fillId="17" borderId="0" xfId="1" quotePrefix="1" applyNumberFormat="1" applyFont="1" applyFill="1"/>
    <xf numFmtId="164" fontId="46" fillId="0" borderId="0" xfId="1" applyNumberFormat="1" applyFont="1" applyAlignment="1">
      <alignment horizontal="center" vertical="center"/>
    </xf>
    <xf numFmtId="164" fontId="48" fillId="14" borderId="117" xfId="1" applyNumberFormat="1" applyFont="1" applyFill="1" applyBorder="1"/>
    <xf numFmtId="164" fontId="47" fillId="0" borderId="0" xfId="1" applyNumberFormat="1" applyFont="1" applyFill="1" applyAlignment="1">
      <alignment horizontal="center" vertical="center"/>
    </xf>
    <xf numFmtId="164" fontId="30" fillId="0" borderId="0" xfId="1" applyNumberFormat="1" applyFont="1" applyFill="1" applyAlignment="1">
      <alignment horizontal="center" vertical="center"/>
    </xf>
    <xf numFmtId="164" fontId="30" fillId="0" borderId="0" xfId="1" applyNumberFormat="1" applyFont="1" applyFill="1" applyAlignment="1">
      <alignment vertical="center"/>
    </xf>
    <xf numFmtId="0" fontId="47" fillId="0" borderId="0" xfId="0" applyFont="1" applyFill="1" applyAlignment="1">
      <alignment horizontal="center" vertical="center"/>
    </xf>
    <xf numFmtId="0" fontId="49" fillId="14" borderId="117" xfId="0" applyFont="1" applyFill="1" applyBorder="1"/>
    <xf numFmtId="0" fontId="49" fillId="14" borderId="32" xfId="0" applyFont="1" applyFill="1" applyBorder="1" applyAlignment="1">
      <alignment horizontal="center"/>
    </xf>
    <xf numFmtId="164" fontId="52" fillId="0" borderId="17" xfId="1" applyNumberFormat="1" applyFont="1" applyBorder="1"/>
    <xf numFmtId="0" fontId="54" fillId="0" borderId="0" xfId="0" applyFont="1"/>
    <xf numFmtId="164" fontId="54" fillId="0" borderId="0" xfId="1" applyNumberFormat="1" applyFont="1"/>
    <xf numFmtId="0" fontId="53" fillId="0" borderId="0" xfId="0" applyFont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164" fontId="55" fillId="0" borderId="0" xfId="1" applyNumberFormat="1" applyFont="1" applyFill="1" applyAlignment="1">
      <alignment horizontal="center" vertical="center"/>
    </xf>
    <xf numFmtId="164" fontId="53" fillId="0" borderId="0" xfId="1" applyNumberFormat="1" applyFont="1" applyFill="1" applyAlignment="1">
      <alignment horizontal="center" vertical="center"/>
    </xf>
    <xf numFmtId="164" fontId="53" fillId="0" borderId="0" xfId="1" applyNumberFormat="1" applyFont="1" applyFill="1" applyAlignment="1">
      <alignment vertical="center"/>
    </xf>
    <xf numFmtId="164" fontId="53" fillId="0" borderId="0" xfId="1" applyNumberFormat="1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14" fontId="54" fillId="0" borderId="0" xfId="0" applyNumberFormat="1" applyFont="1"/>
    <xf numFmtId="164" fontId="56" fillId="0" borderId="0" xfId="1" applyNumberFormat="1" applyFont="1" applyAlignment="1">
      <alignment horizontal="center" vertical="center"/>
    </xf>
    <xf numFmtId="0" fontId="57" fillId="16" borderId="5" xfId="0" applyFont="1" applyFill="1" applyBorder="1" applyAlignment="1">
      <alignment horizontal="center" vertical="center"/>
    </xf>
    <xf numFmtId="0" fontId="57" fillId="16" borderId="120" xfId="0" applyFont="1" applyFill="1" applyBorder="1" applyAlignment="1">
      <alignment horizontal="center" vertical="center"/>
    </xf>
    <xf numFmtId="164" fontId="57" fillId="16" borderId="5" xfId="1" applyNumberFormat="1" applyFont="1" applyFill="1" applyBorder="1" applyAlignment="1">
      <alignment horizontal="center" vertical="center"/>
    </xf>
    <xf numFmtId="164" fontId="57" fillId="16" borderId="121" xfId="1" applyNumberFormat="1" applyFont="1" applyFill="1" applyBorder="1" applyAlignment="1">
      <alignment horizontal="center" vertical="center" wrapText="1"/>
    </xf>
    <xf numFmtId="164" fontId="57" fillId="14" borderId="5" xfId="1" applyNumberFormat="1" applyFont="1" applyFill="1" applyBorder="1" applyAlignment="1">
      <alignment horizontal="center" vertical="center"/>
    </xf>
    <xf numFmtId="164" fontId="57" fillId="14" borderId="121" xfId="1" applyNumberFormat="1" applyFont="1" applyFill="1" applyBorder="1" applyAlignment="1">
      <alignment horizontal="center" vertical="center"/>
    </xf>
    <xf numFmtId="0" fontId="57" fillId="16" borderId="5" xfId="0" applyFont="1" applyFill="1" applyBorder="1" applyAlignment="1">
      <alignment horizontal="center" vertical="center" wrapText="1"/>
    </xf>
    <xf numFmtId="164" fontId="57" fillId="16" borderId="5" xfId="1" applyNumberFormat="1" applyFont="1" applyFill="1" applyBorder="1" applyAlignment="1">
      <alignment horizontal="center" vertical="center" wrapText="1"/>
    </xf>
    <xf numFmtId="0" fontId="57" fillId="16" borderId="121" xfId="0" applyFont="1" applyFill="1" applyBorder="1" applyAlignment="1">
      <alignment horizontal="center" vertical="center" wrapText="1"/>
    </xf>
    <xf numFmtId="14" fontId="57" fillId="16" borderId="5" xfId="0" applyNumberFormat="1" applyFont="1" applyFill="1" applyBorder="1" applyAlignment="1">
      <alignment horizontal="center" vertical="center" wrapText="1"/>
    </xf>
    <xf numFmtId="164" fontId="58" fillId="0" borderId="0" xfId="1" applyNumberFormat="1" applyFont="1" applyAlignment="1">
      <alignment wrapText="1"/>
    </xf>
    <xf numFmtId="0" fontId="54" fillId="0" borderId="33" xfId="0" applyFont="1" applyBorder="1"/>
    <xf numFmtId="0" fontId="54" fillId="0" borderId="114" xfId="0" applyFont="1" applyBorder="1"/>
    <xf numFmtId="164" fontId="54" fillId="0" borderId="33" xfId="1" applyNumberFormat="1" applyFont="1" applyBorder="1" applyAlignment="1"/>
    <xf numFmtId="164" fontId="54" fillId="0" borderId="114" xfId="1" applyNumberFormat="1" applyFont="1" applyBorder="1"/>
    <xf numFmtId="164" fontId="54" fillId="0" borderId="33" xfId="1" applyNumberFormat="1" applyFont="1" applyBorder="1"/>
    <xf numFmtId="164" fontId="54" fillId="0" borderId="33" xfId="1" applyNumberFormat="1" applyFont="1" applyBorder="1" applyAlignment="1">
      <alignment vertical="center"/>
    </xf>
    <xf numFmtId="164" fontId="54" fillId="0" borderId="17" xfId="1" applyNumberFormat="1" applyFont="1" applyBorder="1"/>
    <xf numFmtId="164" fontId="54" fillId="0" borderId="17" xfId="1" quotePrefix="1" applyNumberFormat="1" applyFont="1" applyBorder="1"/>
    <xf numFmtId="14" fontId="54" fillId="0" borderId="33" xfId="0" applyNumberFormat="1" applyFont="1" applyBorder="1"/>
    <xf numFmtId="164" fontId="54" fillId="0" borderId="115" xfId="1" applyNumberFormat="1" applyFont="1" applyBorder="1"/>
    <xf numFmtId="0" fontId="54" fillId="0" borderId="115" xfId="0" applyFont="1" applyBorder="1"/>
    <xf numFmtId="0" fontId="54" fillId="0" borderId="17" xfId="0" applyFont="1" applyBorder="1"/>
    <xf numFmtId="0" fontId="54" fillId="0" borderId="0" xfId="0" applyFont="1" applyBorder="1"/>
    <xf numFmtId="164" fontId="54" fillId="0" borderId="17" xfId="1" applyNumberFormat="1" applyFont="1" applyBorder="1" applyAlignment="1"/>
    <xf numFmtId="164" fontId="54" fillId="0" borderId="0" xfId="1" applyNumberFormat="1" applyFont="1" applyBorder="1"/>
    <xf numFmtId="164" fontId="54" fillId="0" borderId="17" xfId="1" applyNumberFormat="1" applyFont="1" applyBorder="1" applyAlignment="1">
      <alignment vertical="center"/>
    </xf>
    <xf numFmtId="14" fontId="54" fillId="0" borderId="17" xfId="0" applyNumberFormat="1" applyFont="1" applyBorder="1"/>
    <xf numFmtId="164" fontId="54" fillId="0" borderId="48" xfId="1" applyNumberFormat="1" applyFont="1" applyBorder="1"/>
    <xf numFmtId="0" fontId="54" fillId="0" borderId="48" xfId="0" applyFont="1" applyBorder="1"/>
    <xf numFmtId="164" fontId="54" fillId="0" borderId="17" xfId="1" applyNumberFormat="1" applyFont="1" applyFill="1" applyBorder="1" applyAlignment="1"/>
    <xf numFmtId="164" fontId="54" fillId="0" borderId="0" xfId="1" applyNumberFormat="1" applyFont="1" applyFill="1" applyBorder="1"/>
    <xf numFmtId="164" fontId="54" fillId="0" borderId="0" xfId="0" applyNumberFormat="1" applyFont="1"/>
    <xf numFmtId="0" fontId="57" fillId="14" borderId="32" xfId="0" applyFont="1" applyFill="1" applyBorder="1" applyAlignment="1">
      <alignment horizontal="center"/>
    </xf>
    <xf numFmtId="0" fontId="57" fillId="14" borderId="32" xfId="0" applyFont="1" applyFill="1" applyBorder="1"/>
    <xf numFmtId="0" fontId="54" fillId="14" borderId="116" xfId="0" applyFont="1" applyFill="1" applyBorder="1"/>
    <xf numFmtId="164" fontId="54" fillId="14" borderId="32" xfId="1" applyNumberFormat="1" applyFont="1" applyFill="1" applyBorder="1" applyAlignment="1"/>
    <xf numFmtId="164" fontId="54" fillId="14" borderId="116" xfId="1" applyNumberFormat="1" applyFont="1" applyFill="1" applyBorder="1"/>
    <xf numFmtId="164" fontId="54" fillId="14" borderId="32" xfId="1" applyNumberFormat="1" applyFont="1" applyFill="1" applyBorder="1"/>
    <xf numFmtId="164" fontId="54" fillId="14" borderId="32" xfId="1" applyNumberFormat="1" applyFont="1" applyFill="1" applyBorder="1" applyAlignment="1">
      <alignment vertical="center"/>
    </xf>
    <xf numFmtId="164" fontId="57" fillId="14" borderId="32" xfId="1" applyNumberFormat="1" applyFont="1" applyFill="1" applyBorder="1"/>
    <xf numFmtId="14" fontId="54" fillId="14" borderId="32" xfId="0" applyNumberFormat="1" applyFont="1" applyFill="1" applyBorder="1"/>
    <xf numFmtId="164" fontId="54" fillId="14" borderId="117" xfId="1" applyNumberFormat="1" applyFont="1" applyFill="1" applyBorder="1"/>
    <xf numFmtId="0" fontId="54" fillId="14" borderId="117" xfId="0" applyFont="1" applyFill="1" applyBorder="1"/>
    <xf numFmtId="0" fontId="54" fillId="14" borderId="32" xfId="0" applyFont="1" applyFill="1" applyBorder="1"/>
    <xf numFmtId="164" fontId="54" fillId="14" borderId="0" xfId="1" applyNumberFormat="1" applyFont="1" applyFill="1"/>
    <xf numFmtId="0" fontId="54" fillId="14" borderId="0" xfId="0" applyFont="1" applyFill="1"/>
    <xf numFmtId="164" fontId="54" fillId="0" borderId="17" xfId="1" applyNumberFormat="1" applyFont="1" applyFill="1" applyBorder="1"/>
    <xf numFmtId="0" fontId="57" fillId="14" borderId="117" xfId="0" applyFont="1" applyFill="1" applyBorder="1"/>
    <xf numFmtId="0" fontId="54" fillId="0" borderId="0" xfId="0" applyFont="1" applyFill="1" applyBorder="1"/>
    <xf numFmtId="0" fontId="57" fillId="14" borderId="119" xfId="0" applyFont="1" applyFill="1" applyBorder="1" applyAlignment="1">
      <alignment horizontal="center"/>
    </xf>
    <xf numFmtId="164" fontId="57" fillId="14" borderId="32" xfId="0" applyNumberFormat="1" applyFont="1" applyFill="1" applyBorder="1"/>
    <xf numFmtId="164" fontId="54" fillId="0" borderId="114" xfId="1" applyNumberFormat="1" applyFont="1" applyFill="1" applyBorder="1"/>
    <xf numFmtId="0" fontId="54" fillId="0" borderId="24" xfId="0" applyFont="1" applyBorder="1" applyAlignment="1">
      <alignment horizontal="center"/>
    </xf>
    <xf numFmtId="0" fontId="54" fillId="0" borderId="33" xfId="0" applyFont="1" applyFill="1" applyBorder="1"/>
    <xf numFmtId="0" fontId="54" fillId="0" borderId="114" xfId="0" applyFont="1" applyFill="1" applyBorder="1"/>
    <xf numFmtId="164" fontId="54" fillId="0" borderId="33" xfId="1" applyNumberFormat="1" applyFont="1" applyFill="1" applyBorder="1"/>
    <xf numFmtId="164" fontId="54" fillId="0" borderId="17" xfId="1" applyNumberFormat="1" applyFont="1" applyFill="1" applyBorder="1" applyAlignment="1">
      <alignment vertical="center"/>
    </xf>
    <xf numFmtId="14" fontId="54" fillId="0" borderId="17" xfId="0" applyNumberFormat="1" applyFont="1" applyFill="1" applyBorder="1"/>
    <xf numFmtId="164" fontId="54" fillId="0" borderId="48" xfId="1" applyNumberFormat="1" applyFont="1" applyFill="1" applyBorder="1"/>
    <xf numFmtId="0" fontId="54" fillId="0" borderId="48" xfId="0" applyFont="1" applyFill="1" applyBorder="1"/>
    <xf numFmtId="164" fontId="54" fillId="0" borderId="0" xfId="1" applyNumberFormat="1" applyFont="1" applyFill="1"/>
    <xf numFmtId="0" fontId="54" fillId="0" borderId="0" xfId="0" applyFont="1" applyFill="1"/>
    <xf numFmtId="0" fontId="57" fillId="14" borderId="32" xfId="0" applyFont="1" applyFill="1" applyBorder="1" applyAlignment="1">
      <alignment horizontal="left"/>
    </xf>
    <xf numFmtId="164" fontId="54" fillId="0" borderId="118" xfId="1" applyNumberFormat="1" applyFont="1" applyBorder="1"/>
    <xf numFmtId="164" fontId="54" fillId="0" borderId="24" xfId="1" applyNumberFormat="1" applyFont="1" applyBorder="1"/>
    <xf numFmtId="164" fontId="54" fillId="14" borderId="119" xfId="1" applyNumberFormat="1" applyFont="1" applyFill="1" applyBorder="1"/>
    <xf numFmtId="0" fontId="54" fillId="0" borderId="118" xfId="0" applyFont="1" applyBorder="1"/>
    <xf numFmtId="0" fontId="54" fillId="0" borderId="33" xfId="0" applyFont="1" applyBorder="1" applyAlignment="1">
      <alignment horizontal="left" vertical="center"/>
    </xf>
    <xf numFmtId="164" fontId="54" fillId="0" borderId="0" xfId="1" applyNumberFormat="1" applyFont="1" applyAlignment="1"/>
    <xf numFmtId="164" fontId="54" fillId="0" borderId="118" xfId="1" applyNumberFormat="1" applyFont="1" applyBorder="1" applyAlignment="1">
      <alignment vertical="center"/>
    </xf>
    <xf numFmtId="14" fontId="54" fillId="0" borderId="118" xfId="0" applyNumberFormat="1" applyFont="1" applyBorder="1"/>
    <xf numFmtId="0" fontId="54" fillId="0" borderId="24" xfId="0" applyFont="1" applyBorder="1"/>
    <xf numFmtId="0" fontId="54" fillId="0" borderId="17" xfId="0" applyFont="1" applyBorder="1" applyAlignment="1">
      <alignment horizontal="left" vertical="center"/>
    </xf>
    <xf numFmtId="164" fontId="54" fillId="0" borderId="24" xfId="1" applyNumberFormat="1" applyFont="1" applyBorder="1" applyAlignment="1">
      <alignment vertical="center"/>
    </xf>
    <xf numFmtId="14" fontId="54" fillId="0" borderId="24" xfId="0" applyNumberFormat="1" applyFont="1" applyBorder="1"/>
    <xf numFmtId="164" fontId="55" fillId="0" borderId="17" xfId="1" applyNumberFormat="1" applyFont="1" applyBorder="1"/>
    <xf numFmtId="0" fontId="57" fillId="14" borderId="119" xfId="0" applyFont="1" applyFill="1" applyBorder="1"/>
    <xf numFmtId="164" fontId="54" fillId="14" borderId="116" xfId="1" applyNumberFormat="1" applyFont="1" applyFill="1" applyBorder="1" applyAlignment="1"/>
    <xf numFmtId="164" fontId="54" fillId="14" borderId="119" xfId="1" applyNumberFormat="1" applyFont="1" applyFill="1" applyBorder="1" applyAlignment="1">
      <alignment vertical="center"/>
    </xf>
    <xf numFmtId="164" fontId="57" fillId="14" borderId="119" xfId="0" applyNumberFormat="1" applyFont="1" applyFill="1" applyBorder="1"/>
    <xf numFmtId="14" fontId="54" fillId="14" borderId="119" xfId="0" applyNumberFormat="1" applyFont="1" applyFill="1" applyBorder="1"/>
    <xf numFmtId="164" fontId="54" fillId="0" borderId="24" xfId="1" applyNumberFormat="1" applyFont="1" applyBorder="1" applyAlignment="1"/>
    <xf numFmtId="0" fontId="54" fillId="0" borderId="0" xfId="0" applyFont="1" applyBorder="1" applyAlignment="1">
      <alignment horizontal="left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left"/>
    </xf>
    <xf numFmtId="164" fontId="57" fillId="0" borderId="0" xfId="1" quotePrefix="1" applyNumberFormat="1" applyFont="1" applyAlignment="1">
      <alignment vertical="center"/>
    </xf>
    <xf numFmtId="164" fontId="57" fillId="0" borderId="0" xfId="0" quotePrefix="1" applyNumberFormat="1" applyFont="1"/>
    <xf numFmtId="164" fontId="57" fillId="17" borderId="0" xfId="1" applyNumberFormat="1" applyFont="1" applyFill="1"/>
    <xf numFmtId="164" fontId="54" fillId="17" borderId="0" xfId="1" applyNumberFormat="1" applyFont="1" applyFill="1" applyAlignment="1">
      <alignment vertical="center"/>
    </xf>
    <xf numFmtId="164" fontId="54" fillId="17" borderId="0" xfId="1" applyNumberFormat="1" applyFont="1" applyFill="1"/>
    <xf numFmtId="164" fontId="57" fillId="17" borderId="0" xfId="1" quotePrefix="1" applyNumberFormat="1" applyFont="1" applyFill="1"/>
    <xf numFmtId="164" fontId="58" fillId="0" borderId="0" xfId="1" applyNumberFormat="1" applyFont="1"/>
    <xf numFmtId="164" fontId="54" fillId="0" borderId="0" xfId="1" applyNumberFormat="1" applyFont="1" applyAlignment="1">
      <alignment vertical="center"/>
    </xf>
    <xf numFmtId="164" fontId="54" fillId="0" borderId="0" xfId="0" quotePrefix="1" applyNumberFormat="1" applyFont="1"/>
    <xf numFmtId="43" fontId="54" fillId="0" borderId="0" xfId="0" applyNumberFormat="1" applyFont="1"/>
    <xf numFmtId="164" fontId="57" fillId="0" borderId="0" xfId="1" quotePrefix="1" applyNumberFormat="1" applyFont="1"/>
    <xf numFmtId="164" fontId="58" fillId="0" borderId="0" xfId="1" applyNumberFormat="1" applyFont="1" applyAlignment="1">
      <alignment horizontal="left"/>
    </xf>
    <xf numFmtId="0" fontId="54" fillId="0" borderId="17" xfId="0" applyFont="1" applyBorder="1" applyAlignment="1">
      <alignment vertical="center"/>
    </xf>
    <xf numFmtId="0" fontId="54" fillId="0" borderId="0" xfId="0" applyFont="1" applyBorder="1" applyAlignment="1">
      <alignment wrapText="1"/>
    </xf>
    <xf numFmtId="0" fontId="54" fillId="0" borderId="114" xfId="0" applyFont="1" applyBorder="1" applyAlignment="1">
      <alignment wrapText="1"/>
    </xf>
    <xf numFmtId="0" fontId="54" fillId="0" borderId="0" xfId="0" applyFont="1" applyFill="1" applyBorder="1" applyAlignment="1">
      <alignment wrapText="1"/>
    </xf>
    <xf numFmtId="0" fontId="54" fillId="0" borderId="17" xfId="0" applyFont="1" applyBorder="1" applyAlignment="1">
      <alignment horizontal="left" wrapText="1"/>
    </xf>
    <xf numFmtId="0" fontId="54" fillId="0" borderId="0" xfId="0" applyFont="1" applyAlignment="1">
      <alignment wrapText="1"/>
    </xf>
    <xf numFmtId="0" fontId="54" fillId="0" borderId="17" xfId="0" applyFont="1" applyBorder="1" applyAlignment="1">
      <alignment wrapText="1"/>
    </xf>
    <xf numFmtId="164" fontId="54" fillId="0" borderId="0" xfId="1" applyNumberFormat="1" applyFont="1" applyBorder="1" applyAlignment="1">
      <alignment horizontal="left"/>
    </xf>
    <xf numFmtId="0" fontId="54" fillId="0" borderId="0" xfId="0" applyFont="1" applyBorder="1" applyAlignment="1">
      <alignment vertical="top" wrapText="1"/>
    </xf>
    <xf numFmtId="166" fontId="30" fillId="0" borderId="0" xfId="1" applyNumberFormat="1" applyFont="1" applyAlignment="1">
      <alignment horizontal="center" vertical="center"/>
    </xf>
    <xf numFmtId="166" fontId="50" fillId="14" borderId="32" xfId="1" applyNumberFormat="1" applyFont="1" applyFill="1" applyBorder="1"/>
    <xf numFmtId="166" fontId="50" fillId="14" borderId="119" xfId="1" applyNumberFormat="1" applyFont="1" applyFill="1" applyBorder="1"/>
    <xf numFmtId="166" fontId="49" fillId="0" borderId="0" xfId="1" quotePrefix="1" applyNumberFormat="1" applyFont="1"/>
    <xf numFmtId="166" fontId="50" fillId="17" borderId="0" xfId="1" quotePrefix="1" applyNumberFormat="1" applyFont="1" applyFill="1"/>
    <xf numFmtId="166" fontId="48" fillId="0" borderId="0" xfId="1" quotePrefix="1" applyNumberFormat="1" applyFont="1"/>
    <xf numFmtId="166" fontId="48" fillId="0" borderId="0" xfId="1" applyNumberFormat="1" applyFont="1"/>
    <xf numFmtId="0" fontId="49" fillId="18" borderId="5" xfId="0" applyFont="1" applyFill="1" applyBorder="1" applyAlignment="1">
      <alignment horizontal="center" vertical="center"/>
    </xf>
    <xf numFmtId="0" fontId="49" fillId="18" borderId="120" xfId="0" applyFont="1" applyFill="1" applyBorder="1" applyAlignment="1">
      <alignment horizontal="center" vertical="center"/>
    </xf>
    <xf numFmtId="164" fontId="49" fillId="18" borderId="5" xfId="1" applyNumberFormat="1" applyFont="1" applyFill="1" applyBorder="1" applyAlignment="1">
      <alignment horizontal="center" vertical="center"/>
    </xf>
    <xf numFmtId="164" fontId="49" fillId="18" borderId="121" xfId="1" applyNumberFormat="1" applyFont="1" applyFill="1" applyBorder="1" applyAlignment="1">
      <alignment horizontal="center" vertical="center" wrapText="1"/>
    </xf>
    <xf numFmtId="164" fontId="49" fillId="18" borderId="121" xfId="1" applyNumberFormat="1" applyFont="1" applyFill="1" applyBorder="1" applyAlignment="1">
      <alignment horizontal="center" vertical="center"/>
    </xf>
    <xf numFmtId="0" fontId="49" fillId="18" borderId="5" xfId="0" applyFont="1" applyFill="1" applyBorder="1" applyAlignment="1">
      <alignment horizontal="center" vertical="center" wrapText="1"/>
    </xf>
    <xf numFmtId="0" fontId="49" fillId="18" borderId="121" xfId="0" applyFont="1" applyFill="1" applyBorder="1" applyAlignment="1">
      <alignment horizontal="center" vertical="center" wrapText="1"/>
    </xf>
    <xf numFmtId="166" fontId="49" fillId="18" borderId="5" xfId="1" applyNumberFormat="1" applyFont="1" applyFill="1" applyBorder="1" applyAlignment="1">
      <alignment horizontal="center" vertical="center" wrapText="1"/>
    </xf>
    <xf numFmtId="14" fontId="49" fillId="18" borderId="5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Alignment="1">
      <alignment wrapText="1"/>
    </xf>
    <xf numFmtId="0" fontId="30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59" fillId="0" borderId="0" xfId="0" applyFont="1"/>
    <xf numFmtId="0" fontId="60" fillId="18" borderId="5" xfId="0" applyFont="1" applyFill="1" applyBorder="1" applyAlignment="1">
      <alignment horizontal="center" vertical="center" wrapText="1"/>
    </xf>
    <xf numFmtId="0" fontId="60" fillId="18" borderId="120" xfId="0" applyFont="1" applyFill="1" applyBorder="1" applyAlignment="1">
      <alignment horizontal="center" vertical="center" wrapText="1"/>
    </xf>
    <xf numFmtId="164" fontId="60" fillId="18" borderId="5" xfId="1" applyNumberFormat="1" applyFont="1" applyFill="1" applyBorder="1" applyAlignment="1">
      <alignment horizontal="center" vertical="center"/>
    </xf>
    <xf numFmtId="164" fontId="60" fillId="18" borderId="121" xfId="1" applyNumberFormat="1" applyFont="1" applyFill="1" applyBorder="1" applyAlignment="1">
      <alignment horizontal="center" vertical="center" wrapText="1"/>
    </xf>
    <xf numFmtId="164" fontId="60" fillId="18" borderId="121" xfId="1" applyNumberFormat="1" applyFont="1" applyFill="1" applyBorder="1" applyAlignment="1">
      <alignment horizontal="center" vertical="center"/>
    </xf>
    <xf numFmtId="164" fontId="60" fillId="18" borderId="5" xfId="1" applyNumberFormat="1" applyFont="1" applyFill="1" applyBorder="1" applyAlignment="1">
      <alignment horizontal="center" vertical="center" wrapText="1"/>
    </xf>
    <xf numFmtId="0" fontId="60" fillId="18" borderId="121" xfId="0" applyFont="1" applyFill="1" applyBorder="1" applyAlignment="1">
      <alignment horizontal="center" vertical="center" wrapText="1"/>
    </xf>
    <xf numFmtId="166" fontId="60" fillId="18" borderId="5" xfId="1" applyNumberFormat="1" applyFont="1" applyFill="1" applyBorder="1" applyAlignment="1">
      <alignment horizontal="center" vertical="center" wrapText="1"/>
    </xf>
    <xf numFmtId="14" fontId="60" fillId="18" borderId="5" xfId="0" applyNumberFormat="1" applyFont="1" applyFill="1" applyBorder="1" applyAlignment="1">
      <alignment horizontal="center" vertical="center" wrapText="1"/>
    </xf>
    <xf numFmtId="0" fontId="60" fillId="18" borderId="5" xfId="0" applyFont="1" applyFill="1" applyBorder="1" applyAlignment="1">
      <alignment horizontal="center" vertical="center"/>
    </xf>
    <xf numFmtId="0" fontId="60" fillId="16" borderId="5" xfId="0" applyFont="1" applyFill="1" applyBorder="1" applyAlignment="1">
      <alignment horizontal="center" vertical="center" wrapText="1"/>
    </xf>
    <xf numFmtId="164" fontId="61" fillId="0" borderId="0" xfId="1" applyNumberFormat="1" applyFont="1" applyAlignment="1">
      <alignment wrapText="1"/>
    </xf>
    <xf numFmtId="164" fontId="59" fillId="0" borderId="0" xfId="1" applyNumberFormat="1" applyFont="1"/>
    <xf numFmtId="0" fontId="59" fillId="0" borderId="33" xfId="0" applyFont="1" applyBorder="1"/>
    <xf numFmtId="0" fontId="59" fillId="0" borderId="17" xfId="0" applyFont="1" applyBorder="1"/>
    <xf numFmtId="164" fontId="59" fillId="0" borderId="0" xfId="1" applyNumberFormat="1" applyFont="1" applyFill="1" applyBorder="1"/>
    <xf numFmtId="164" fontId="59" fillId="0" borderId="0" xfId="0" applyNumberFormat="1" applyFont="1"/>
    <xf numFmtId="0" fontId="59" fillId="14" borderId="0" xfId="0" applyFont="1" applyFill="1"/>
    <xf numFmtId="0" fontId="59" fillId="14" borderId="117" xfId="0" applyFont="1" applyFill="1" applyBorder="1"/>
    <xf numFmtId="0" fontId="59" fillId="14" borderId="32" xfId="0" applyFont="1" applyFill="1" applyBorder="1"/>
    <xf numFmtId="164" fontId="59" fillId="14" borderId="0" xfId="1" applyNumberFormat="1" applyFont="1" applyFill="1"/>
    <xf numFmtId="164" fontId="47" fillId="0" borderId="17" xfId="1" applyNumberFormat="1" applyFont="1" applyBorder="1"/>
    <xf numFmtId="0" fontId="59" fillId="0" borderId="0" xfId="0" applyFont="1" applyFill="1"/>
    <xf numFmtId="164" fontId="59" fillId="0" borderId="0" xfId="1" applyNumberFormat="1" applyFont="1" applyFill="1"/>
    <xf numFmtId="0" fontId="59" fillId="0" borderId="0" xfId="0" applyFont="1" applyAlignment="1">
      <alignment horizontal="center"/>
    </xf>
    <xf numFmtId="0" fontId="59" fillId="0" borderId="122" xfId="0" applyFont="1" applyBorder="1" applyAlignment="1">
      <alignment horizontal="center" vertical="center" wrapText="1"/>
    </xf>
    <xf numFmtId="0" fontId="59" fillId="0" borderId="123" xfId="0" applyFont="1" applyBorder="1" applyAlignment="1">
      <alignment wrapText="1"/>
    </xf>
    <xf numFmtId="164" fontId="59" fillId="0" borderId="123" xfId="1" applyNumberFormat="1" applyFont="1" applyBorder="1" applyAlignment="1"/>
    <xf numFmtId="164" fontId="59" fillId="0" borderId="123" xfId="1" applyNumberFormat="1" applyFont="1" applyBorder="1"/>
    <xf numFmtId="164" fontId="59" fillId="0" borderId="123" xfId="1" applyNumberFormat="1" applyFont="1" applyBorder="1" applyAlignment="1">
      <alignment vertical="center"/>
    </xf>
    <xf numFmtId="164" fontId="59" fillId="0" borderId="123" xfId="1" quotePrefix="1" applyNumberFormat="1" applyFont="1" applyBorder="1"/>
    <xf numFmtId="166" fontId="59" fillId="0" borderId="123" xfId="1" quotePrefix="1" applyNumberFormat="1" applyFont="1" applyBorder="1"/>
    <xf numFmtId="0" fontId="59" fillId="0" borderId="123" xfId="0" applyFont="1" applyBorder="1"/>
    <xf numFmtId="14" fontId="59" fillId="0" borderId="123" xfId="0" applyNumberFormat="1" applyFont="1" applyBorder="1"/>
    <xf numFmtId="0" fontId="59" fillId="0" borderId="124" xfId="0" applyFont="1" applyBorder="1"/>
    <xf numFmtId="0" fontId="59" fillId="0" borderId="125" xfId="0" applyFont="1" applyBorder="1" applyAlignment="1">
      <alignment horizontal="center" vertical="center" wrapText="1"/>
    </xf>
    <xf numFmtId="0" fontId="59" fillId="0" borderId="126" xfId="0" applyFont="1" applyBorder="1" applyAlignment="1">
      <alignment wrapText="1"/>
    </xf>
    <xf numFmtId="164" fontId="59" fillId="0" borderId="126" xfId="1" applyNumberFormat="1" applyFont="1" applyBorder="1" applyAlignment="1"/>
    <xf numFmtId="164" fontId="59" fillId="0" borderId="126" xfId="1" applyNumberFormat="1" applyFont="1" applyBorder="1"/>
    <xf numFmtId="164" fontId="59" fillId="0" borderId="126" xfId="1" applyNumberFormat="1" applyFont="1" applyBorder="1" applyAlignment="1">
      <alignment vertical="center"/>
    </xf>
    <xf numFmtId="164" fontId="59" fillId="0" borderId="126" xfId="1" quotePrefix="1" applyNumberFormat="1" applyFont="1" applyBorder="1"/>
    <xf numFmtId="166" fontId="59" fillId="0" borderId="126" xfId="1" quotePrefix="1" applyNumberFormat="1" applyFont="1" applyBorder="1"/>
    <xf numFmtId="0" fontId="59" fillId="0" borderId="126" xfId="0" applyFont="1" applyBorder="1"/>
    <xf numFmtId="14" fontId="59" fillId="0" borderId="126" xfId="0" applyNumberFormat="1" applyFont="1" applyBorder="1"/>
    <xf numFmtId="0" fontId="59" fillId="0" borderId="127" xfId="0" applyFont="1" applyBorder="1"/>
    <xf numFmtId="164" fontId="59" fillId="0" borderId="126" xfId="1" applyNumberFormat="1" applyFont="1" applyFill="1" applyBorder="1" applyAlignment="1"/>
    <xf numFmtId="0" fontId="60" fillId="14" borderId="125" xfId="0" applyFont="1" applyFill="1" applyBorder="1" applyAlignment="1">
      <alignment horizontal="center" wrapText="1"/>
    </xf>
    <xf numFmtId="0" fontId="60" fillId="14" borderId="126" xfId="0" applyFont="1" applyFill="1" applyBorder="1" applyAlignment="1">
      <alignment wrapText="1"/>
    </xf>
    <xf numFmtId="0" fontId="59" fillId="14" borderId="126" xfId="0" applyFont="1" applyFill="1" applyBorder="1" applyAlignment="1">
      <alignment wrapText="1"/>
    </xf>
    <xf numFmtId="164" fontId="59" fillId="14" borderId="126" xfId="1" applyNumberFormat="1" applyFont="1" applyFill="1" applyBorder="1" applyAlignment="1"/>
    <xf numFmtId="164" fontId="59" fillId="14" borderId="126" xfId="1" applyNumberFormat="1" applyFont="1" applyFill="1" applyBorder="1"/>
    <xf numFmtId="164" fontId="59" fillId="14" borderId="126" xfId="1" applyNumberFormat="1" applyFont="1" applyFill="1" applyBorder="1" applyAlignment="1">
      <alignment vertical="center"/>
    </xf>
    <xf numFmtId="164" fontId="60" fillId="14" borderId="126" xfId="1" applyNumberFormat="1" applyFont="1" applyFill="1" applyBorder="1"/>
    <xf numFmtId="166" fontId="60" fillId="14" borderId="126" xfId="1" applyNumberFormat="1" applyFont="1" applyFill="1" applyBorder="1"/>
    <xf numFmtId="0" fontId="59" fillId="14" borderId="126" xfId="0" applyFont="1" applyFill="1" applyBorder="1"/>
    <xf numFmtId="14" fontId="59" fillId="14" borderId="126" xfId="0" applyNumberFormat="1" applyFont="1" applyFill="1" applyBorder="1"/>
    <xf numFmtId="0" fontId="59" fillId="14" borderId="127" xfId="0" applyFont="1" applyFill="1" applyBorder="1"/>
    <xf numFmtId="164" fontId="59" fillId="0" borderId="126" xfId="1" applyNumberFormat="1" applyFont="1" applyFill="1" applyBorder="1"/>
    <xf numFmtId="0" fontId="59" fillId="0" borderId="125" xfId="0" applyFont="1" applyBorder="1" applyAlignment="1">
      <alignment horizontal="center" wrapText="1"/>
    </xf>
    <xf numFmtId="0" fontId="59" fillId="0" borderId="126" xfId="0" applyFont="1" applyFill="1" applyBorder="1" applyAlignment="1">
      <alignment wrapText="1"/>
    </xf>
    <xf numFmtId="164" fontId="47" fillId="0" borderId="126" xfId="1" applyNumberFormat="1" applyFont="1" applyBorder="1"/>
    <xf numFmtId="164" fontId="60" fillId="14" borderId="126" xfId="0" applyNumberFormat="1" applyFont="1" applyFill="1" applyBorder="1"/>
    <xf numFmtId="0" fontId="59" fillId="0" borderId="125" xfId="0" applyFont="1" applyFill="1" applyBorder="1" applyAlignment="1">
      <alignment horizontal="center" wrapText="1"/>
    </xf>
    <xf numFmtId="164" fontId="59" fillId="0" borderId="126" xfId="1" applyNumberFormat="1" applyFont="1" applyFill="1" applyBorder="1" applyAlignment="1">
      <alignment vertical="center"/>
    </xf>
    <xf numFmtId="0" fontId="59" fillId="0" borderId="126" xfId="0" applyFont="1" applyFill="1" applyBorder="1"/>
    <xf numFmtId="14" fontId="59" fillId="0" borderId="126" xfId="0" applyNumberFormat="1" applyFont="1" applyFill="1" applyBorder="1"/>
    <xf numFmtId="0" fontId="59" fillId="0" borderId="127" xfId="0" applyFont="1" applyFill="1" applyBorder="1"/>
    <xf numFmtId="164" fontId="59" fillId="5" borderId="126" xfId="1" applyNumberFormat="1" applyFont="1" applyFill="1" applyBorder="1"/>
    <xf numFmtId="0" fontId="60" fillId="14" borderId="126" xfId="0" applyFont="1" applyFill="1" applyBorder="1" applyAlignment="1">
      <alignment horizontal="left" wrapText="1"/>
    </xf>
    <xf numFmtId="0" fontId="59" fillId="0" borderId="126" xfId="0" applyFont="1" applyBorder="1" applyAlignment="1">
      <alignment horizontal="left" vertical="center" wrapText="1"/>
    </xf>
    <xf numFmtId="0" fontId="59" fillId="0" borderId="126" xfId="0" applyFont="1" applyBorder="1" applyAlignment="1">
      <alignment horizontal="left" wrapText="1"/>
    </xf>
    <xf numFmtId="0" fontId="59" fillId="0" borderId="125" xfId="0" applyFont="1" applyBorder="1" applyAlignment="1">
      <alignment horizontal="left" wrapText="1"/>
    </xf>
    <xf numFmtId="0" fontId="60" fillId="14" borderId="128" xfId="0" applyFont="1" applyFill="1" applyBorder="1" applyAlignment="1">
      <alignment horizontal="center" wrapText="1"/>
    </xf>
    <xf numFmtId="0" fontId="60" fillId="14" borderId="129" xfId="0" applyFont="1" applyFill="1" applyBorder="1" applyAlignment="1">
      <alignment wrapText="1"/>
    </xf>
    <xf numFmtId="0" fontId="59" fillId="14" borderId="129" xfId="0" applyFont="1" applyFill="1" applyBorder="1" applyAlignment="1">
      <alignment wrapText="1"/>
    </xf>
    <xf numFmtId="164" fontId="59" fillId="14" borderId="129" xfId="1" applyNumberFormat="1" applyFont="1" applyFill="1" applyBorder="1" applyAlignment="1"/>
    <xf numFmtId="164" fontId="59" fillId="14" borderId="129" xfId="1" applyNumberFormat="1" applyFont="1" applyFill="1" applyBorder="1"/>
    <xf numFmtId="164" fontId="59" fillId="14" borderId="129" xfId="1" applyNumberFormat="1" applyFont="1" applyFill="1" applyBorder="1" applyAlignment="1">
      <alignment vertical="center"/>
    </xf>
    <xf numFmtId="164" fontId="60" fillId="14" borderId="129" xfId="0" applyNumberFormat="1" applyFont="1" applyFill="1" applyBorder="1"/>
    <xf numFmtId="166" fontId="60" fillId="14" borderId="129" xfId="1" applyNumberFormat="1" applyFont="1" applyFill="1" applyBorder="1"/>
    <xf numFmtId="0" fontId="59" fillId="14" borderId="129" xfId="0" applyFont="1" applyFill="1" applyBorder="1"/>
    <xf numFmtId="14" fontId="59" fillId="14" borderId="129" xfId="0" applyNumberFormat="1" applyFont="1" applyFill="1" applyBorder="1"/>
    <xf numFmtId="0" fontId="59" fillId="14" borderId="130" xfId="0" applyFont="1" applyFill="1" applyBorder="1"/>
    <xf numFmtId="0" fontId="48" fillId="0" borderId="5" xfId="0" applyFont="1" applyFill="1" applyBorder="1"/>
    <xf numFmtId="164" fontId="48" fillId="0" borderId="5" xfId="1" applyNumberFormat="1" applyFont="1" applyBorder="1" applyAlignment="1"/>
    <xf numFmtId="164" fontId="48" fillId="0" borderId="5" xfId="1" applyNumberFormat="1" applyFont="1" applyBorder="1"/>
    <xf numFmtId="164" fontId="48" fillId="0" borderId="5" xfId="1" applyNumberFormat="1" applyFont="1" applyBorder="1" applyAlignment="1">
      <alignment vertical="center"/>
    </xf>
    <xf numFmtId="0" fontId="48" fillId="0" borderId="5" xfId="0" applyFont="1" applyBorder="1"/>
    <xf numFmtId="14" fontId="48" fillId="0" borderId="5" xfId="0" applyNumberFormat="1" applyFont="1" applyBorder="1"/>
    <xf numFmtId="0" fontId="49" fillId="14" borderId="24" xfId="0" applyFont="1" applyFill="1" applyBorder="1" applyAlignment="1">
      <alignment horizontal="center"/>
    </xf>
    <xf numFmtId="0" fontId="48" fillId="0" borderId="32" xfId="0" applyFont="1" applyFill="1" applyBorder="1"/>
    <xf numFmtId="164" fontId="48" fillId="0" borderId="32" xfId="1" applyNumberFormat="1" applyFont="1" applyBorder="1" applyAlignment="1"/>
    <xf numFmtId="164" fontId="48" fillId="0" borderId="32" xfId="1" applyNumberFormat="1" applyFont="1" applyBorder="1"/>
    <xf numFmtId="164" fontId="48" fillId="0" borderId="32" xfId="1" applyNumberFormat="1" applyFont="1" applyBorder="1" applyAlignment="1">
      <alignment vertical="center"/>
    </xf>
    <xf numFmtId="0" fontId="48" fillId="0" borderId="32" xfId="0" applyFont="1" applyBorder="1"/>
    <xf numFmtId="14" fontId="48" fillId="0" borderId="32" xfId="0" applyNumberFormat="1" applyFont="1" applyBorder="1"/>
    <xf numFmtId="0" fontId="48" fillId="19" borderId="5" xfId="0" applyFont="1" applyFill="1" applyBorder="1"/>
    <xf numFmtId="164" fontId="48" fillId="19" borderId="5" xfId="1" applyNumberFormat="1" applyFont="1" applyFill="1" applyBorder="1" applyAlignment="1"/>
    <xf numFmtId="164" fontId="48" fillId="19" borderId="5" xfId="1" applyNumberFormat="1" applyFont="1" applyFill="1" applyBorder="1"/>
    <xf numFmtId="164" fontId="48" fillId="19" borderId="5" xfId="1" applyNumberFormat="1" applyFont="1" applyFill="1" applyBorder="1" applyAlignment="1">
      <alignment vertical="center"/>
    </xf>
    <xf numFmtId="164" fontId="50" fillId="19" borderId="5" xfId="0" applyNumberFormat="1" applyFont="1" applyFill="1" applyBorder="1"/>
    <xf numFmtId="14" fontId="48" fillId="19" borderId="5" xfId="0" applyNumberFormat="1" applyFont="1" applyFill="1" applyBorder="1"/>
    <xf numFmtId="164" fontId="48" fillId="0" borderId="5" xfId="1" quotePrefix="1" applyNumberFormat="1" applyFont="1" applyBorder="1"/>
    <xf numFmtId="0" fontId="48" fillId="14" borderId="5" xfId="0" applyFont="1" applyFill="1" applyBorder="1"/>
    <xf numFmtId="164" fontId="48" fillId="14" borderId="5" xfId="1" applyNumberFormat="1" applyFont="1" applyFill="1" applyBorder="1" applyAlignment="1"/>
    <xf numFmtId="164" fontId="48" fillId="14" borderId="5" xfId="1" applyNumberFormat="1" applyFont="1" applyFill="1" applyBorder="1"/>
    <xf numFmtId="164" fontId="48" fillId="14" borderId="5" xfId="1" applyNumberFormat="1" applyFont="1" applyFill="1" applyBorder="1" applyAlignment="1">
      <alignment vertical="center"/>
    </xf>
    <xf numFmtId="164" fontId="50" fillId="14" borderId="5" xfId="0" applyNumberFormat="1" applyFont="1" applyFill="1" applyBorder="1"/>
    <xf numFmtId="166" fontId="50" fillId="14" borderId="5" xfId="1" applyNumberFormat="1" applyFont="1" applyFill="1" applyBorder="1"/>
    <xf numFmtId="14" fontId="48" fillId="14" borderId="5" xfId="0" applyNumberFormat="1" applyFont="1" applyFill="1" applyBorder="1"/>
    <xf numFmtId="0" fontId="49" fillId="14" borderId="5" xfId="0" applyFont="1" applyFill="1" applyBorder="1" applyAlignment="1">
      <alignment horizontal="center"/>
    </xf>
    <xf numFmtId="164" fontId="62" fillId="0" borderId="0" xfId="1" applyNumberFormat="1" applyFont="1"/>
    <xf numFmtId="0" fontId="48" fillId="0" borderId="116" xfId="0" applyFont="1" applyFill="1" applyBorder="1"/>
    <xf numFmtId="164" fontId="48" fillId="0" borderId="116" xfId="1" applyNumberFormat="1" applyFont="1" applyBorder="1"/>
    <xf numFmtId="164" fontId="48" fillId="0" borderId="119" xfId="1" applyNumberFormat="1" applyFont="1" applyBorder="1"/>
    <xf numFmtId="0" fontId="48" fillId="0" borderId="116" xfId="0" applyFont="1" applyBorder="1"/>
    <xf numFmtId="164" fontId="48" fillId="0" borderId="117" xfId="1" applyNumberFormat="1" applyFont="1" applyBorder="1"/>
    <xf numFmtId="0" fontId="48" fillId="0" borderId="117" xfId="0" applyFont="1" applyBorder="1"/>
    <xf numFmtId="164" fontId="63" fillId="0" borderId="0" xfId="1" applyNumberFormat="1" applyFont="1"/>
    <xf numFmtId="164" fontId="48" fillId="0" borderId="120" xfId="1" applyNumberFormat="1" applyFont="1" applyBorder="1"/>
    <xf numFmtId="164" fontId="50" fillId="14" borderId="120" xfId="0" applyNumberFormat="1" applyFont="1" applyFill="1" applyBorder="1"/>
    <xf numFmtId="0" fontId="48" fillId="19" borderId="131" xfId="0" applyFont="1" applyFill="1" applyBorder="1"/>
    <xf numFmtId="0" fontId="48" fillId="0" borderId="131" xfId="0" applyFont="1" applyBorder="1"/>
    <xf numFmtId="0" fontId="48" fillId="14" borderId="131" xfId="0" applyFont="1" applyFill="1" applyBorder="1"/>
    <xf numFmtId="166" fontId="48" fillId="0" borderId="5" xfId="1" quotePrefix="1" applyNumberFormat="1" applyFont="1" applyBorder="1"/>
    <xf numFmtId="164" fontId="52" fillId="0" borderId="5" xfId="1" applyNumberFormat="1" applyFont="1" applyBorder="1"/>
    <xf numFmtId="0" fontId="48" fillId="0" borderId="5" xfId="0" applyFont="1" applyBorder="1" applyAlignment="1">
      <alignment horizontal="center" vertical="center"/>
    </xf>
    <xf numFmtId="166" fontId="48" fillId="14" borderId="5" xfId="1" quotePrefix="1" applyNumberFormat="1" applyFont="1" applyFill="1" applyBorder="1"/>
    <xf numFmtId="166" fontId="48" fillId="14" borderId="5" xfId="1" applyNumberFormat="1" applyFont="1" applyFill="1" applyBorder="1"/>
    <xf numFmtId="164" fontId="64" fillId="0" borderId="0" xfId="1" applyNumberFormat="1" applyFont="1" applyFill="1" applyBorder="1" applyAlignment="1">
      <alignment horizontal="center" vertical="center"/>
    </xf>
    <xf numFmtId="164" fontId="32" fillId="0" borderId="0" xfId="1" applyNumberFormat="1" applyFont="1" applyFill="1" applyBorder="1" applyAlignment="1">
      <alignment horizontal="center" vertical="center"/>
    </xf>
    <xf numFmtId="164" fontId="32" fillId="8" borderId="0" xfId="1" applyNumberFormat="1" applyFont="1" applyFill="1" applyAlignment="1">
      <alignment horizontal="center" vertical="center"/>
    </xf>
    <xf numFmtId="166" fontId="65" fillId="5" borderId="0" xfId="1" applyNumberFormat="1" applyFont="1" applyFill="1"/>
    <xf numFmtId="0" fontId="63" fillId="5" borderId="0" xfId="0" applyFont="1" applyFill="1"/>
    <xf numFmtId="166" fontId="48" fillId="14" borderId="32" xfId="1" applyNumberFormat="1" applyFont="1" applyFill="1" applyBorder="1"/>
    <xf numFmtId="166" fontId="48" fillId="0" borderId="5" xfId="1" applyNumberFormat="1" applyFont="1" applyBorder="1"/>
    <xf numFmtId="14" fontId="48" fillId="0" borderId="5" xfId="1" applyNumberFormat="1" applyFont="1" applyBorder="1"/>
    <xf numFmtId="0" fontId="62" fillId="0" borderId="5" xfId="0" applyFont="1" applyBorder="1"/>
    <xf numFmtId="166" fontId="62" fillId="0" borderId="5" xfId="1" applyNumberFormat="1" applyFont="1" applyBorder="1"/>
    <xf numFmtId="166" fontId="48" fillId="0" borderId="0" xfId="0" applyNumberFormat="1" applyFont="1"/>
    <xf numFmtId="166" fontId="48" fillId="0" borderId="5" xfId="1" applyNumberFormat="1" applyFont="1" applyFill="1" applyBorder="1"/>
    <xf numFmtId="0" fontId="41" fillId="0" borderId="0" xfId="0" applyFont="1"/>
    <xf numFmtId="0" fontId="41" fillId="0" borderId="17" xfId="0" applyFont="1" applyFill="1" applyBorder="1"/>
    <xf numFmtId="166" fontId="41" fillId="0" borderId="0" xfId="0" applyNumberFormat="1" applyFont="1"/>
    <xf numFmtId="167" fontId="0" fillId="0" borderId="0" xfId="1" applyNumberFormat="1" applyFont="1"/>
    <xf numFmtId="0" fontId="49" fillId="14" borderId="0" xfId="0" applyFont="1" applyFill="1" applyBorder="1" applyAlignment="1">
      <alignment horizontal="center"/>
    </xf>
    <xf numFmtId="0" fontId="49" fillId="14" borderId="0" xfId="0" applyFont="1" applyFill="1" applyBorder="1"/>
    <xf numFmtId="0" fontId="48" fillId="14" borderId="0" xfId="0" applyFont="1" applyFill="1" applyBorder="1"/>
    <xf numFmtId="164" fontId="48" fillId="14" borderId="0" xfId="1" applyNumberFormat="1" applyFont="1" applyFill="1" applyBorder="1" applyAlignment="1"/>
    <xf numFmtId="164" fontId="48" fillId="14" borderId="0" xfId="1" applyNumberFormat="1" applyFont="1" applyFill="1" applyBorder="1"/>
    <xf numFmtId="164" fontId="48" fillId="14" borderId="0" xfId="1" applyNumberFormat="1" applyFont="1" applyFill="1" applyBorder="1" applyAlignment="1">
      <alignment vertical="center"/>
    </xf>
    <xf numFmtId="164" fontId="50" fillId="14" borderId="0" xfId="0" applyNumberFormat="1" applyFont="1" applyFill="1" applyBorder="1"/>
    <xf numFmtId="14" fontId="48" fillId="14" borderId="0" xfId="0" applyNumberFormat="1" applyFont="1" applyFill="1" applyBorder="1"/>
    <xf numFmtId="166" fontId="49" fillId="14" borderId="5" xfId="1" applyNumberFormat="1" applyFont="1" applyFill="1" applyBorder="1"/>
    <xf numFmtId="166" fontId="49" fillId="14" borderId="0" xfId="1" applyNumberFormat="1" applyFont="1" applyFill="1" applyBorder="1"/>
    <xf numFmtId="0" fontId="48" fillId="0" borderId="33" xfId="0" applyFont="1" applyBorder="1" applyAlignment="1"/>
    <xf numFmtId="14" fontId="62" fillId="0" borderId="5" xfId="1" applyNumberFormat="1" applyFont="1" applyBorder="1"/>
    <xf numFmtId="14" fontId="48" fillId="0" borderId="5" xfId="1" applyNumberFormat="1" applyFont="1" applyFill="1" applyBorder="1"/>
    <xf numFmtId="0" fontId="48" fillId="19" borderId="116" xfId="0" applyFont="1" applyFill="1" applyBorder="1"/>
    <xf numFmtId="14" fontId="4" fillId="9" borderId="3" xfId="0" applyNumberFormat="1" applyFont="1" applyFill="1" applyBorder="1" applyAlignment="1">
      <alignment horizontal="center" vertical="center"/>
    </xf>
    <xf numFmtId="14" fontId="18" fillId="0" borderId="5" xfId="0" applyNumberFormat="1" applyFont="1" applyBorder="1" applyAlignment="1">
      <alignment horizontal="left" vertical="center"/>
    </xf>
    <xf numFmtId="164" fontId="6" fillId="0" borderId="11" xfId="1" quotePrefix="1" applyNumberFormat="1" applyFont="1" applyBorder="1" applyAlignment="1">
      <alignment horizontal="center" vertical="center"/>
    </xf>
    <xf numFmtId="0" fontId="0" fillId="0" borderId="0" xfId="0" applyFont="1" applyAlignment="1"/>
    <xf numFmtId="0" fontId="67" fillId="20" borderId="5" xfId="0" applyFont="1" applyFill="1" applyBorder="1" applyAlignment="1">
      <alignment horizontal="center" vertical="center"/>
    </xf>
    <xf numFmtId="0" fontId="67" fillId="20" borderId="5" xfId="0" applyFont="1" applyFill="1" applyBorder="1" applyAlignment="1">
      <alignment horizontal="center" vertical="center" wrapText="1"/>
    </xf>
    <xf numFmtId="0" fontId="68" fillId="0" borderId="87" xfId="0" applyFont="1" applyBorder="1" applyAlignment="1"/>
    <xf numFmtId="166" fontId="68" fillId="0" borderId="87" xfId="1" applyNumberFormat="1" applyFont="1" applyBorder="1" applyAlignment="1"/>
    <xf numFmtId="14" fontId="68" fillId="0" borderId="87" xfId="0" applyNumberFormat="1" applyFont="1" applyBorder="1" applyAlignment="1"/>
    <xf numFmtId="3" fontId="68" fillId="0" borderId="87" xfId="0" applyNumberFormat="1" applyFont="1" applyBorder="1" applyAlignment="1"/>
    <xf numFmtId="0" fontId="68" fillId="0" borderId="61" xfId="0" applyFont="1" applyBorder="1" applyAlignment="1"/>
    <xf numFmtId="166" fontId="68" fillId="0" borderId="61" xfId="1" applyNumberFormat="1" applyFont="1" applyBorder="1" applyAlignment="1"/>
    <xf numFmtId="3" fontId="68" fillId="0" borderId="61" xfId="0" applyNumberFormat="1" applyFont="1" applyBorder="1" applyAlignment="1"/>
    <xf numFmtId="14" fontId="68" fillId="0" borderId="61" xfId="0" applyNumberFormat="1" applyFont="1" applyBorder="1" applyAlignment="1"/>
    <xf numFmtId="0" fontId="68" fillId="0" borderId="79" xfId="0" applyFont="1" applyBorder="1" applyAlignment="1"/>
    <xf numFmtId="166" fontId="68" fillId="0" borderId="79" xfId="1" applyNumberFormat="1" applyFont="1" applyBorder="1" applyAlignment="1"/>
    <xf numFmtId="3" fontId="68" fillId="0" borderId="79" xfId="0" applyNumberFormat="1" applyFont="1" applyBorder="1" applyAlignment="1"/>
    <xf numFmtId="166" fontId="67" fillId="20" borderId="5" xfId="1" applyNumberFormat="1" applyFont="1" applyFill="1" applyBorder="1" applyAlignment="1"/>
    <xf numFmtId="0" fontId="69" fillId="20" borderId="5" xfId="0" applyFont="1" applyFill="1" applyBorder="1" applyAlignment="1"/>
    <xf numFmtId="3" fontId="67" fillId="20" borderId="5" xfId="0" applyNumberFormat="1" applyFont="1" applyFill="1" applyBorder="1" applyAlignment="1"/>
    <xf numFmtId="0" fontId="70" fillId="0" borderId="17" xfId="0" applyFont="1" applyFill="1" applyBorder="1"/>
    <xf numFmtId="0" fontId="70" fillId="0" borderId="32" xfId="0" applyFont="1" applyFill="1" applyBorder="1"/>
    <xf numFmtId="0" fontId="68" fillId="0" borderId="17" xfId="0" applyFont="1" applyFill="1" applyBorder="1" applyAlignment="1">
      <alignment horizontal="center" vertical="center"/>
    </xf>
    <xf numFmtId="0" fontId="68" fillId="0" borderId="17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6" fontId="47" fillId="0" borderId="0" xfId="1" applyNumberFormat="1" applyFont="1" applyFill="1" applyAlignment="1">
      <alignment horizontal="center" vertical="center"/>
    </xf>
    <xf numFmtId="164" fontId="46" fillId="0" borderId="0" xfId="0" applyNumberFormat="1" applyFont="1" applyAlignment="1">
      <alignment horizontal="center" vertical="center"/>
    </xf>
    <xf numFmtId="0" fontId="71" fillId="0" borderId="61" xfId="0" applyFont="1" applyFill="1" applyBorder="1" applyAlignment="1">
      <alignment horizontal="left" vertical="center"/>
    </xf>
    <xf numFmtId="0" fontId="71" fillId="0" borderId="61" xfId="0" applyFont="1" applyFill="1" applyBorder="1" applyAlignment="1">
      <alignment horizontal="center" vertical="center"/>
    </xf>
    <xf numFmtId="166" fontId="71" fillId="0" borderId="87" xfId="1" applyNumberFormat="1" applyFont="1" applyBorder="1" applyAlignment="1"/>
    <xf numFmtId="14" fontId="71" fillId="0" borderId="17" xfId="0" applyNumberFormat="1" applyFont="1" applyFill="1" applyBorder="1" applyAlignment="1">
      <alignment horizontal="right"/>
    </xf>
    <xf numFmtId="166" fontId="0" fillId="0" borderId="0" xfId="1" applyNumberFormat="1" applyFont="1"/>
    <xf numFmtId="9" fontId="0" fillId="0" borderId="0" xfId="1" applyNumberFormat="1" applyFont="1"/>
    <xf numFmtId="0" fontId="71" fillId="0" borderId="83" xfId="0" applyFont="1" applyFill="1" applyBorder="1" applyAlignment="1">
      <alignment horizontal="left" vertical="center"/>
    </xf>
    <xf numFmtId="0" fontId="71" fillId="0" borderId="83" xfId="0" applyFont="1" applyFill="1" applyBorder="1" applyAlignment="1">
      <alignment horizontal="center" vertical="center"/>
    </xf>
    <xf numFmtId="0" fontId="71" fillId="0" borderId="61" xfId="0" applyFont="1" applyBorder="1" applyAlignment="1"/>
    <xf numFmtId="166" fontId="71" fillId="0" borderId="61" xfId="1" applyNumberFormat="1" applyFont="1" applyBorder="1" applyAlignment="1"/>
    <xf numFmtId="14" fontId="71" fillId="0" borderId="61" xfId="0" applyNumberFormat="1" applyFont="1" applyBorder="1" applyAlignment="1"/>
    <xf numFmtId="0" fontId="48" fillId="0" borderId="5" xfId="0" applyFont="1" applyBorder="1" applyAlignment="1">
      <alignment wrapText="1"/>
    </xf>
    <xf numFmtId="166" fontId="72" fillId="0" borderId="61" xfId="1" applyNumberFormat="1" applyFont="1" applyBorder="1" applyAlignment="1"/>
    <xf numFmtId="0" fontId="72" fillId="0" borderId="61" xfId="0" applyFont="1" applyBorder="1" applyAlignment="1"/>
    <xf numFmtId="0" fontId="48" fillId="0" borderId="120" xfId="0" applyFont="1" applyBorder="1"/>
    <xf numFmtId="164" fontId="48" fillId="0" borderId="131" xfId="1" applyNumberFormat="1" applyFont="1" applyBorder="1"/>
    <xf numFmtId="0" fontId="18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64" fontId="18" fillId="0" borderId="0" xfId="1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48" fillId="0" borderId="119" xfId="1" applyNumberFormat="1" applyFont="1" applyBorder="1" applyAlignment="1"/>
    <xf numFmtId="0" fontId="71" fillId="0" borderId="87" xfId="0" applyFont="1" applyBorder="1" applyAlignment="1"/>
    <xf numFmtId="164" fontId="48" fillId="0" borderId="121" xfId="1" applyNumberFormat="1" applyFont="1" applyBorder="1"/>
    <xf numFmtId="164" fontId="52" fillId="0" borderId="120" xfId="1" applyNumberFormat="1" applyFont="1" applyBorder="1"/>
    <xf numFmtId="164" fontId="52" fillId="0" borderId="32" xfId="1" applyNumberFormat="1" applyFont="1" applyBorder="1"/>
    <xf numFmtId="164" fontId="52" fillId="0" borderId="119" xfId="1" applyNumberFormat="1" applyFont="1" applyBorder="1"/>
    <xf numFmtId="14" fontId="68" fillId="0" borderId="79" xfId="0" applyNumberFormat="1" applyFont="1" applyBorder="1" applyAlignment="1"/>
    <xf numFmtId="166" fontId="48" fillId="19" borderId="5" xfId="1" applyNumberFormat="1" applyFont="1" applyFill="1" applyBorder="1"/>
    <xf numFmtId="43" fontId="0" fillId="0" borderId="0" xfId="1" applyFont="1"/>
    <xf numFmtId="0" fontId="49" fillId="14" borderId="117" xfId="0" applyFont="1" applyFill="1" applyBorder="1" applyAlignment="1">
      <alignment horizontal="center"/>
    </xf>
    <xf numFmtId="0" fontId="48" fillId="0" borderId="5" xfId="0" applyFont="1" applyBorder="1" applyAlignment="1">
      <alignment horizontal="left" vertical="center"/>
    </xf>
    <xf numFmtId="164" fontId="48" fillId="0" borderId="5" xfId="1" applyNumberFormat="1" applyFont="1" applyFill="1" applyBorder="1" applyAlignment="1"/>
    <xf numFmtId="0" fontId="48" fillId="0" borderId="5" xfId="0" applyFont="1" applyBorder="1" applyAlignment="1">
      <alignment horizontal="left"/>
    </xf>
    <xf numFmtId="0" fontId="48" fillId="0" borderId="5" xfId="0" applyFont="1" applyBorder="1" applyAlignment="1">
      <alignment horizontal="left" wrapText="1"/>
    </xf>
    <xf numFmtId="0" fontId="48" fillId="0" borderId="5" xfId="0" applyFont="1" applyBorder="1" applyAlignment="1">
      <alignment horizontal="center" wrapText="1"/>
    </xf>
    <xf numFmtId="0" fontId="48" fillId="19" borderId="32" xfId="0" applyFont="1" applyFill="1" applyBorder="1" applyAlignment="1">
      <alignment horizontal="center"/>
    </xf>
    <xf numFmtId="0" fontId="48" fillId="0" borderId="119" xfId="0" applyFont="1" applyBorder="1" applyAlignment="1">
      <alignment horizontal="center"/>
    </xf>
    <xf numFmtId="164" fontId="52" fillId="0" borderId="5" xfId="1" applyNumberFormat="1" applyFont="1" applyFill="1" applyBorder="1"/>
    <xf numFmtId="164" fontId="48" fillId="0" borderId="5" xfId="1" applyNumberFormat="1" applyFont="1" applyFill="1" applyBorder="1"/>
    <xf numFmtId="164" fontId="48" fillId="5" borderId="5" xfId="1" applyNumberFormat="1" applyFont="1" applyFill="1" applyBorder="1"/>
    <xf numFmtId="0" fontId="48" fillId="0" borderId="5" xfId="0" applyFont="1" applyFill="1" applyBorder="1" applyAlignment="1">
      <alignment horizontal="center"/>
    </xf>
    <xf numFmtId="164" fontId="48" fillId="0" borderId="5" xfId="1" applyNumberFormat="1" applyFont="1" applyFill="1" applyBorder="1" applyAlignment="1">
      <alignment vertical="center"/>
    </xf>
    <xf numFmtId="166" fontId="62" fillId="0" borderId="5" xfId="1" quotePrefix="1" applyNumberFormat="1" applyFont="1" applyBorder="1"/>
    <xf numFmtId="14" fontId="48" fillId="0" borderId="5" xfId="0" applyNumberFormat="1" applyFont="1" applyFill="1" applyBorder="1"/>
    <xf numFmtId="0" fontId="62" fillId="12" borderId="5" xfId="0" applyFont="1" applyFill="1" applyBorder="1" applyAlignment="1">
      <alignment horizontal="center"/>
    </xf>
    <xf numFmtId="0" fontId="62" fillId="12" borderId="5" xfId="0" applyFont="1" applyFill="1" applyBorder="1"/>
    <xf numFmtId="164" fontId="62" fillId="12" borderId="5" xfId="1" applyNumberFormat="1" applyFont="1" applyFill="1" applyBorder="1" applyAlignment="1"/>
    <xf numFmtId="164" fontId="62" fillId="12" borderId="5" xfId="1" applyNumberFormat="1" applyFont="1" applyFill="1" applyBorder="1"/>
    <xf numFmtId="164" fontId="62" fillId="12" borderId="5" xfId="1" applyNumberFormat="1" applyFont="1" applyFill="1" applyBorder="1" applyAlignment="1">
      <alignment vertical="center"/>
    </xf>
    <xf numFmtId="164" fontId="62" fillId="12" borderId="5" xfId="1" quotePrefix="1" applyNumberFormat="1" applyFont="1" applyFill="1" applyBorder="1"/>
    <xf numFmtId="166" fontId="62" fillId="12" borderId="5" xfId="1" quotePrefix="1" applyNumberFormat="1" applyFont="1" applyFill="1" applyBorder="1"/>
    <xf numFmtId="0" fontId="48" fillId="0" borderId="5" xfId="0" applyFont="1" applyBorder="1" applyAlignment="1">
      <alignment horizontal="center" vertical="center" wrapText="1"/>
    </xf>
    <xf numFmtId="0" fontId="48" fillId="0" borderId="119" xfId="0" applyFont="1" applyBorder="1" applyAlignment="1">
      <alignment horizontal="center" vertical="center"/>
    </xf>
    <xf numFmtId="0" fontId="0" fillId="0" borderId="61" xfId="0" applyFont="1" applyBorder="1" applyAlignment="1"/>
    <xf numFmtId="0" fontId="68" fillId="0" borderId="84" xfId="0" applyFont="1" applyBorder="1" applyAlignment="1"/>
    <xf numFmtId="166" fontId="68" fillId="0" borderId="84" xfId="1" applyNumberFormat="1" applyFont="1" applyBorder="1" applyAlignment="1"/>
    <xf numFmtId="14" fontId="68" fillId="0" borderId="84" xfId="0" applyNumberFormat="1" applyFont="1" applyBorder="1" applyAlignment="1"/>
    <xf numFmtId="3" fontId="68" fillId="0" borderId="84" xfId="0" applyNumberFormat="1" applyFont="1" applyBorder="1" applyAlignment="1"/>
    <xf numFmtId="0" fontId="0" fillId="0" borderId="84" xfId="0" applyFont="1" applyBorder="1" applyAlignment="1"/>
    <xf numFmtId="0" fontId="68" fillId="0" borderId="61" xfId="0" applyFont="1" applyFill="1" applyBorder="1" applyAlignment="1"/>
    <xf numFmtId="166" fontId="0" fillId="0" borderId="0" xfId="0" applyNumberFormat="1"/>
    <xf numFmtId="0" fontId="48" fillId="0" borderId="32" xfId="0" applyFont="1" applyBorder="1" applyAlignment="1">
      <alignment horizontal="left" vertical="center"/>
    </xf>
    <xf numFmtId="164" fontId="48" fillId="0" borderId="116" xfId="1" applyNumberFormat="1" applyFont="1" applyBorder="1" applyAlignment="1"/>
    <xf numFmtId="164" fontId="48" fillId="0" borderId="119" xfId="1" applyNumberFormat="1" applyFont="1" applyBorder="1" applyAlignment="1">
      <alignment vertical="center"/>
    </xf>
    <xf numFmtId="164" fontId="48" fillId="0" borderId="119" xfId="1" quotePrefix="1" applyNumberFormat="1" applyFont="1" applyBorder="1"/>
    <xf numFmtId="166" fontId="48" fillId="0" borderId="119" xfId="1" quotePrefix="1" applyNumberFormat="1" applyFont="1" applyBorder="1"/>
    <xf numFmtId="14" fontId="48" fillId="0" borderId="119" xfId="0" applyNumberFormat="1" applyFont="1" applyBorder="1"/>
    <xf numFmtId="166" fontId="68" fillId="0" borderId="61" xfId="1" applyNumberFormat="1" applyFont="1" applyBorder="1" applyAlignment="1">
      <alignment vertical="center"/>
    </xf>
    <xf numFmtId="0" fontId="48" fillId="0" borderId="120" xfId="0" applyFont="1" applyBorder="1" applyAlignment="1">
      <alignment horizontal="center"/>
    </xf>
    <xf numFmtId="166" fontId="68" fillId="0" borderId="84" xfId="1" applyNumberFormat="1" applyFont="1" applyBorder="1" applyAlignment="1">
      <alignment vertical="center"/>
    </xf>
    <xf numFmtId="49" fontId="48" fillId="0" borderId="5" xfId="1" applyNumberFormat="1" applyFont="1" applyBorder="1"/>
    <xf numFmtId="49" fontId="48" fillId="14" borderId="117" xfId="1" applyNumberFormat="1" applyFont="1" applyFill="1" applyBorder="1"/>
    <xf numFmtId="49" fontId="48" fillId="0" borderId="5" xfId="1" applyNumberFormat="1" applyFont="1" applyFill="1" applyBorder="1"/>
    <xf numFmtId="49" fontId="48" fillId="0" borderId="119" xfId="1" applyNumberFormat="1" applyFont="1" applyBorder="1"/>
    <xf numFmtId="49" fontId="48" fillId="14" borderId="119" xfId="1" applyNumberFormat="1" applyFont="1" applyFill="1" applyBorder="1"/>
    <xf numFmtId="49" fontId="48" fillId="19" borderId="5" xfId="1" applyNumberFormat="1" applyFont="1" applyFill="1" applyBorder="1"/>
    <xf numFmtId="49" fontId="48" fillId="14" borderId="5" xfId="1" applyNumberFormat="1" applyFont="1" applyFill="1" applyBorder="1"/>
    <xf numFmtId="49" fontId="48" fillId="0" borderId="32" xfId="1" applyNumberFormat="1" applyFont="1" applyBorder="1"/>
    <xf numFmtId="49" fontId="48" fillId="0" borderId="117" xfId="1" applyNumberFormat="1" applyFont="1" applyBorder="1"/>
    <xf numFmtId="49" fontId="48" fillId="14" borderId="32" xfId="1" applyNumberFormat="1" applyFont="1" applyFill="1" applyBorder="1"/>
    <xf numFmtId="166" fontId="68" fillId="0" borderId="17" xfId="1" applyNumberFormat="1" applyFont="1" applyBorder="1" applyAlignment="1">
      <alignment vertical="center"/>
    </xf>
    <xf numFmtId="0" fontId="72" fillId="0" borderId="87" xfId="0" applyFont="1" applyBorder="1" applyAlignment="1"/>
    <xf numFmtId="0" fontId="73" fillId="0" borderId="61" xfId="0" applyFont="1" applyBorder="1" applyAlignment="1"/>
    <xf numFmtId="166" fontId="0" fillId="0" borderId="0" xfId="1" applyNumberFormat="1" applyFont="1" applyAlignment="1"/>
    <xf numFmtId="166" fontId="69" fillId="20" borderId="5" xfId="0" applyNumberFormat="1" applyFont="1" applyFill="1" applyBorder="1" applyAlignment="1"/>
    <xf numFmtId="0" fontId="68" fillId="0" borderId="96" xfId="0" applyFont="1" applyBorder="1" applyAlignment="1"/>
    <xf numFmtId="0" fontId="68" fillId="0" borderId="132" xfId="0" applyFont="1" applyBorder="1" applyAlignment="1"/>
    <xf numFmtId="14" fontId="72" fillId="0" borderId="61" xfId="0" applyNumberFormat="1" applyFont="1" applyBorder="1" applyAlignment="1"/>
    <xf numFmtId="14" fontId="74" fillId="0" borderId="61" xfId="0" applyNumberFormat="1" applyFont="1" applyBorder="1" applyAlignment="1"/>
    <xf numFmtId="0" fontId="31" fillId="0" borderId="5" xfId="0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164" fontId="31" fillId="0" borderId="5" xfId="1" applyNumberFormat="1" applyFont="1" applyBorder="1" applyAlignment="1">
      <alignment horizontal="center" vertical="center"/>
    </xf>
    <xf numFmtId="14" fontId="31" fillId="0" borderId="5" xfId="0" applyNumberFormat="1" applyFont="1" applyBorder="1" applyAlignment="1">
      <alignment horizontal="center" vertical="center"/>
    </xf>
    <xf numFmtId="164" fontId="52" fillId="0" borderId="0" xfId="1" applyNumberFormat="1" applyFont="1" applyBorder="1"/>
    <xf numFmtId="0" fontId="59" fillId="0" borderId="5" xfId="0" applyFont="1" applyBorder="1" applyAlignment="1">
      <alignment wrapText="1"/>
    </xf>
    <xf numFmtId="164" fontId="6" fillId="0" borderId="14" xfId="1" applyNumberFormat="1" applyFont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  <xf numFmtId="164" fontId="10" fillId="0" borderId="18" xfId="1" applyNumberFormat="1" applyFont="1" applyBorder="1" applyAlignment="1">
      <alignment horizontal="center" vertical="center"/>
    </xf>
    <xf numFmtId="43" fontId="6" fillId="0" borderId="14" xfId="1" applyFont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/>
    </xf>
    <xf numFmtId="43" fontId="10" fillId="13" borderId="87" xfId="1" applyFont="1" applyFill="1" applyBorder="1" applyAlignment="1">
      <alignment horizontal="center" vertical="center"/>
    </xf>
    <xf numFmtId="14" fontId="6" fillId="13" borderId="88" xfId="1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66" fontId="68" fillId="0" borderId="87" xfId="1" applyNumberFormat="1" applyFont="1" applyBorder="1" applyAlignment="1">
      <alignment horizontal="center" vertical="center"/>
    </xf>
    <xf numFmtId="166" fontId="68" fillId="0" borderId="17" xfId="1" applyNumberFormat="1" applyFont="1" applyBorder="1" applyAlignment="1">
      <alignment horizontal="center" vertical="center"/>
    </xf>
    <xf numFmtId="3" fontId="68" fillId="0" borderId="87" xfId="0" applyNumberFormat="1" applyFont="1" applyBorder="1" applyAlignment="1">
      <alignment horizontal="center" vertical="center" wrapText="1"/>
    </xf>
    <xf numFmtId="3" fontId="68" fillId="0" borderId="87" xfId="0" applyNumberFormat="1" applyFont="1" applyBorder="1" applyAlignment="1">
      <alignment horizontal="right" wrapText="1"/>
    </xf>
    <xf numFmtId="0" fontId="48" fillId="0" borderId="5" xfId="0" applyFont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54" fillId="0" borderId="17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48" fillId="0" borderId="5" xfId="0" applyFont="1" applyBorder="1" applyAlignment="1">
      <alignment horizontal="center"/>
    </xf>
    <xf numFmtId="164" fontId="6" fillId="0" borderId="14" xfId="1" applyNumberFormat="1" applyFont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164" fontId="6" fillId="15" borderId="14" xfId="1" applyNumberFormat="1" applyFont="1" applyFill="1" applyBorder="1" applyAlignment="1">
      <alignment horizontal="center" vertical="center"/>
    </xf>
    <xf numFmtId="164" fontId="6" fillId="15" borderId="18" xfId="1" applyNumberFormat="1" applyFont="1" applyFill="1" applyBorder="1" applyAlignment="1">
      <alignment horizontal="center" vertical="center"/>
    </xf>
    <xf numFmtId="43" fontId="29" fillId="0" borderId="0" xfId="1" applyFont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  <xf numFmtId="43" fontId="2" fillId="0" borderId="19" xfId="1" applyFont="1" applyBorder="1" applyAlignment="1">
      <alignment horizontal="center" vertical="center"/>
    </xf>
    <xf numFmtId="43" fontId="2" fillId="0" borderId="65" xfId="1" applyFont="1" applyBorder="1" applyAlignment="1">
      <alignment horizontal="center" vertical="center"/>
    </xf>
    <xf numFmtId="43" fontId="2" fillId="0" borderId="67" xfId="1" applyFont="1" applyBorder="1" applyAlignment="1">
      <alignment horizontal="center" vertical="center"/>
    </xf>
    <xf numFmtId="43" fontId="2" fillId="0" borderId="37" xfId="1" applyFont="1" applyBorder="1" applyAlignment="1">
      <alignment horizontal="center" vertical="center" wrapText="1"/>
    </xf>
    <xf numFmtId="43" fontId="2" fillId="0" borderId="40" xfId="1" applyFont="1" applyBorder="1" applyAlignment="1">
      <alignment horizontal="center" vertical="center" wrapText="1"/>
    </xf>
    <xf numFmtId="43" fontId="2" fillId="0" borderId="42" xfId="1" applyFont="1" applyBorder="1" applyAlignment="1">
      <alignment horizontal="center" vertical="center" wrapText="1"/>
    </xf>
    <xf numFmtId="43" fontId="2" fillId="0" borderId="44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64" fontId="10" fillId="0" borderId="2" xfId="1" applyNumberFormat="1" applyFont="1" applyBorder="1" applyAlignment="1">
      <alignment horizontal="center" vertical="center"/>
    </xf>
    <xf numFmtId="164" fontId="10" fillId="0" borderId="18" xfId="1" applyNumberFormat="1" applyFont="1" applyBorder="1" applyAlignment="1">
      <alignment horizontal="center" vertical="center"/>
    </xf>
    <xf numFmtId="43" fontId="2" fillId="0" borderId="37" xfId="1" applyFont="1" applyBorder="1" applyAlignment="1">
      <alignment horizontal="center" vertical="center"/>
    </xf>
    <xf numFmtId="43" fontId="2" fillId="0" borderId="40" xfId="1" applyFont="1" applyBorder="1" applyAlignment="1">
      <alignment horizontal="center" vertical="center"/>
    </xf>
    <xf numFmtId="43" fontId="2" fillId="0" borderId="42" xfId="1" applyFont="1" applyBorder="1" applyAlignment="1">
      <alignment horizontal="center" vertical="center"/>
    </xf>
    <xf numFmtId="43" fontId="2" fillId="0" borderId="44" xfId="1" applyFont="1" applyBorder="1" applyAlignment="1">
      <alignment horizontal="center" vertical="center"/>
    </xf>
    <xf numFmtId="43" fontId="19" fillId="0" borderId="62" xfId="1" applyFont="1" applyBorder="1" applyAlignment="1">
      <alignment horizontal="center" vertical="center" wrapText="1"/>
    </xf>
    <xf numFmtId="43" fontId="19" fillId="0" borderId="65" xfId="1" applyFont="1" applyBorder="1" applyAlignment="1">
      <alignment horizontal="center" vertical="center" wrapText="1"/>
    </xf>
    <xf numFmtId="43" fontId="19" fillId="0" borderId="81" xfId="1" applyFont="1" applyBorder="1" applyAlignment="1">
      <alignment horizontal="center" vertical="center" wrapText="1"/>
    </xf>
    <xf numFmtId="43" fontId="19" fillId="0" borderId="67" xfId="1" applyFont="1" applyBorder="1" applyAlignment="1">
      <alignment horizontal="center" vertical="center" wrapText="1"/>
    </xf>
    <xf numFmtId="43" fontId="2" fillId="0" borderId="62" xfId="1" applyFont="1" applyBorder="1" applyAlignment="1">
      <alignment horizontal="center" vertical="center" wrapText="1"/>
    </xf>
    <xf numFmtId="43" fontId="2" fillId="0" borderId="18" xfId="1" applyFont="1" applyBorder="1" applyAlignment="1">
      <alignment horizontal="center" vertical="center"/>
    </xf>
    <xf numFmtId="43" fontId="2" fillId="0" borderId="11" xfId="1" applyFont="1" applyBorder="1" applyAlignment="1">
      <alignment horizontal="center" vertical="center"/>
    </xf>
    <xf numFmtId="43" fontId="2" fillId="0" borderId="14" xfId="1" applyFont="1" applyBorder="1" applyAlignment="1">
      <alignment horizontal="center" vertical="center"/>
    </xf>
    <xf numFmtId="43" fontId="2" fillId="0" borderId="62" xfId="1" applyFont="1" applyBorder="1" applyAlignment="1">
      <alignment horizontal="center" vertical="center"/>
    </xf>
    <xf numFmtId="43" fontId="2" fillId="0" borderId="81" xfId="1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43" fontId="2" fillId="0" borderId="23" xfId="1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 wrapText="1"/>
    </xf>
    <xf numFmtId="43" fontId="2" fillId="0" borderId="11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43" fontId="2" fillId="0" borderId="83" xfId="1" applyFont="1" applyBorder="1" applyAlignment="1">
      <alignment horizontal="center" vertical="center"/>
    </xf>
    <xf numFmtId="43" fontId="2" fillId="0" borderId="61" xfId="1" applyFont="1" applyBorder="1" applyAlignment="1">
      <alignment horizontal="center" vertical="center"/>
    </xf>
    <xf numFmtId="43" fontId="2" fillId="0" borderId="79" xfId="1" applyFont="1" applyBorder="1" applyAlignment="1">
      <alignment horizontal="center" vertical="center"/>
    </xf>
    <xf numFmtId="43" fontId="2" fillId="0" borderId="84" xfId="1" applyFont="1" applyBorder="1" applyAlignment="1">
      <alignment horizontal="center" vertical="center"/>
    </xf>
    <xf numFmtId="43" fontId="2" fillId="0" borderId="19" xfId="1" applyFont="1" applyBorder="1" applyAlignment="1">
      <alignment horizontal="center" vertical="center" wrapText="1"/>
    </xf>
    <xf numFmtId="43" fontId="4" fillId="2" borderId="0" xfId="1" applyFont="1" applyFill="1" applyAlignment="1">
      <alignment horizontal="center" vertical="center"/>
    </xf>
    <xf numFmtId="43" fontId="2" fillId="0" borderId="37" xfId="1" applyFont="1" applyFill="1" applyBorder="1" applyAlignment="1">
      <alignment horizontal="center" vertical="center" wrapText="1"/>
    </xf>
    <xf numFmtId="43" fontId="2" fillId="0" borderId="40" xfId="1" applyFont="1" applyFill="1" applyBorder="1" applyAlignment="1">
      <alignment horizontal="center" vertical="center" wrapText="1"/>
    </xf>
    <xf numFmtId="43" fontId="2" fillId="0" borderId="44" xfId="1" applyFont="1" applyFill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6" fillId="0" borderId="18" xfId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center" vertical="center"/>
    </xf>
    <xf numFmtId="164" fontId="10" fillId="0" borderId="18" xfId="2" applyNumberFormat="1" applyFont="1" applyBorder="1" applyAlignment="1">
      <alignment horizontal="center" vertical="center"/>
    </xf>
    <xf numFmtId="43" fontId="2" fillId="0" borderId="51" xfId="1" applyFont="1" applyBorder="1" applyAlignment="1">
      <alignment horizontal="center" vertical="center"/>
    </xf>
    <xf numFmtId="43" fontId="2" fillId="0" borderId="53" xfId="1" applyFont="1" applyBorder="1" applyAlignment="1">
      <alignment horizontal="center" vertical="center"/>
    </xf>
    <xf numFmtId="43" fontId="2" fillId="0" borderId="55" xfId="1" applyFont="1" applyBorder="1" applyAlignment="1">
      <alignment horizontal="center" vertical="center"/>
    </xf>
    <xf numFmtId="43" fontId="2" fillId="0" borderId="49" xfId="1" applyFont="1" applyBorder="1" applyAlignment="1">
      <alignment horizontal="center" vertical="center" wrapText="1"/>
    </xf>
    <xf numFmtId="43" fontId="2" fillId="0" borderId="51" xfId="1" applyFont="1" applyBorder="1" applyAlignment="1">
      <alignment horizontal="center" vertical="center" wrapText="1"/>
    </xf>
    <xf numFmtId="43" fontId="2" fillId="0" borderId="53" xfId="1" applyFont="1" applyBorder="1" applyAlignment="1">
      <alignment horizontal="center" vertical="center" wrapText="1"/>
    </xf>
    <xf numFmtId="43" fontId="2" fillId="0" borderId="55" xfId="1" applyFont="1" applyBorder="1" applyAlignment="1">
      <alignment horizontal="center" vertical="center" wrapText="1"/>
    </xf>
    <xf numFmtId="164" fontId="10" fillId="0" borderId="14" xfId="1" applyNumberFormat="1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66" fillId="0" borderId="0" xfId="0" applyFont="1" applyAlignment="1">
      <alignment horizontal="center"/>
    </xf>
    <xf numFmtId="0" fontId="67" fillId="20" borderId="5" xfId="0" applyFont="1" applyFill="1" applyBorder="1" applyAlignment="1">
      <alignment horizontal="center"/>
    </xf>
    <xf numFmtId="43" fontId="2" fillId="13" borderId="107" xfId="1" applyFont="1" applyFill="1" applyBorder="1" applyAlignment="1">
      <alignment horizontal="center" vertical="center" wrapText="1"/>
    </xf>
    <xf numFmtId="43" fontId="2" fillId="13" borderId="104" xfId="1" applyFont="1" applyFill="1" applyBorder="1" applyAlignment="1">
      <alignment horizontal="center" vertical="center" wrapText="1"/>
    </xf>
    <xf numFmtId="43" fontId="2" fillId="13" borderId="105" xfId="1" applyFont="1" applyFill="1" applyBorder="1" applyAlignment="1">
      <alignment horizontal="center" vertical="center" wrapText="1"/>
    </xf>
    <xf numFmtId="43" fontId="2" fillId="13" borderId="106" xfId="1" applyFont="1" applyFill="1" applyBorder="1" applyAlignment="1">
      <alignment horizontal="center" vertical="center" wrapText="1"/>
    </xf>
    <xf numFmtId="43" fontId="2" fillId="0" borderId="107" xfId="1" applyFont="1" applyBorder="1" applyAlignment="1">
      <alignment horizontal="center" vertical="center" wrapText="1"/>
    </xf>
    <xf numFmtId="43" fontId="2" fillId="0" borderId="104" xfId="1" applyFont="1" applyBorder="1" applyAlignment="1">
      <alignment horizontal="center" vertical="center" wrapText="1"/>
    </xf>
    <xf numFmtId="43" fontId="2" fillId="0" borderId="105" xfId="1" applyFont="1" applyBorder="1" applyAlignment="1">
      <alignment horizontal="center" vertical="center" wrapText="1"/>
    </xf>
    <xf numFmtId="43" fontId="2" fillId="0" borderId="106" xfId="1" applyFont="1" applyBorder="1" applyAlignment="1">
      <alignment horizontal="center" vertical="center" wrapText="1"/>
    </xf>
    <xf numFmtId="43" fontId="2" fillId="0" borderId="108" xfId="1" applyFont="1" applyBorder="1" applyAlignment="1">
      <alignment horizontal="center" vertical="center" wrapText="1"/>
    </xf>
    <xf numFmtId="43" fontId="10" fillId="13" borderId="2" xfId="1" applyFont="1" applyFill="1" applyBorder="1" applyAlignment="1">
      <alignment horizontal="center" vertical="center"/>
    </xf>
    <xf numFmtId="43" fontId="10" fillId="13" borderId="87" xfId="1" applyFont="1" applyFill="1" applyBorder="1" applyAlignment="1">
      <alignment horizontal="center" vertical="center"/>
    </xf>
    <xf numFmtId="14" fontId="6" fillId="13" borderId="89" xfId="1" applyNumberFormat="1" applyFont="1" applyFill="1" applyBorder="1" applyAlignment="1">
      <alignment horizontal="center" vertical="center"/>
    </xf>
    <xf numFmtId="14" fontId="6" fillId="13" borderId="88" xfId="1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43" fontId="2" fillId="13" borderId="109" xfId="1" applyFont="1" applyFill="1" applyBorder="1" applyAlignment="1">
      <alignment horizontal="center" vertical="center" wrapText="1"/>
    </xf>
    <xf numFmtId="43" fontId="2" fillId="13" borderId="104" xfId="1" applyFont="1" applyFill="1" applyBorder="1" applyAlignment="1">
      <alignment horizontal="center" vertical="center"/>
    </xf>
    <xf numFmtId="43" fontId="2" fillId="13" borderId="105" xfId="1" applyFont="1" applyFill="1" applyBorder="1" applyAlignment="1">
      <alignment horizontal="center" vertical="center"/>
    </xf>
    <xf numFmtId="43" fontId="4" fillId="0" borderId="107" xfId="1" applyFont="1" applyBorder="1" applyAlignment="1">
      <alignment horizontal="center" vertical="center" wrapText="1"/>
    </xf>
    <xf numFmtId="43" fontId="4" fillId="0" borderId="104" xfId="1" applyFont="1" applyBorder="1" applyAlignment="1">
      <alignment horizontal="center" vertical="center" wrapText="1"/>
    </xf>
    <xf numFmtId="43" fontId="4" fillId="0" borderId="105" xfId="1" applyFont="1" applyBorder="1" applyAlignment="1">
      <alignment horizontal="center" vertical="center" wrapText="1"/>
    </xf>
    <xf numFmtId="43" fontId="4" fillId="0" borderId="106" xfId="1" applyFont="1" applyBorder="1" applyAlignment="1">
      <alignment horizontal="center" vertical="center" wrapText="1"/>
    </xf>
    <xf numFmtId="43" fontId="2" fillId="13" borderId="101" xfId="1" applyFont="1" applyFill="1" applyBorder="1" applyAlignment="1">
      <alignment horizontal="center" vertical="center"/>
    </xf>
    <xf numFmtId="43" fontId="2" fillId="13" borderId="102" xfId="1" applyFont="1" applyFill="1" applyBorder="1" applyAlignment="1">
      <alignment horizontal="center" vertical="center"/>
    </xf>
    <xf numFmtId="43" fontId="2" fillId="13" borderId="103" xfId="1" applyFont="1" applyFill="1" applyBorder="1" applyAlignment="1">
      <alignment horizontal="center" vertical="center"/>
    </xf>
    <xf numFmtId="43" fontId="2" fillId="0" borderId="107" xfId="1" applyFont="1" applyFill="1" applyBorder="1" applyAlignment="1">
      <alignment horizontal="center" vertical="center" wrapText="1"/>
    </xf>
    <xf numFmtId="43" fontId="2" fillId="0" borderId="104" xfId="1" applyFont="1" applyFill="1" applyBorder="1" applyAlignment="1">
      <alignment horizontal="center" vertical="center" wrapText="1"/>
    </xf>
    <xf numFmtId="43" fontId="2" fillId="0" borderId="105" xfId="1" applyFont="1" applyFill="1" applyBorder="1" applyAlignment="1">
      <alignment horizontal="center" vertical="center" wrapText="1"/>
    </xf>
    <xf numFmtId="43" fontId="2" fillId="0" borderId="106" xfId="1" applyFont="1" applyFill="1" applyBorder="1" applyAlignment="1">
      <alignment horizontal="center" vertical="center" wrapText="1"/>
    </xf>
    <xf numFmtId="43" fontId="2" fillId="13" borderId="107" xfId="1" applyFont="1" applyFill="1" applyBorder="1" applyAlignment="1">
      <alignment horizontal="center" vertical="center"/>
    </xf>
    <xf numFmtId="43" fontId="2" fillId="13" borderId="106" xfId="1" applyFont="1" applyFill="1" applyBorder="1" applyAlignment="1">
      <alignment horizontal="center" vertical="center"/>
    </xf>
    <xf numFmtId="43" fontId="2" fillId="0" borderId="101" xfId="1" applyFont="1" applyFill="1" applyBorder="1" applyAlignment="1">
      <alignment horizontal="center" vertical="center" wrapText="1"/>
    </xf>
    <xf numFmtId="43" fontId="2" fillId="0" borderId="102" xfId="1" applyFont="1" applyFill="1" applyBorder="1" applyAlignment="1">
      <alignment horizontal="center" vertical="center"/>
    </xf>
    <xf numFmtId="43" fontId="2" fillId="0" borderId="103" xfId="1" applyFont="1" applyFill="1" applyBorder="1" applyAlignment="1">
      <alignment horizontal="center" vertical="center"/>
    </xf>
    <xf numFmtId="43" fontId="2" fillId="13" borderId="102" xfId="1" applyFont="1" applyFill="1" applyBorder="1" applyAlignment="1">
      <alignment horizontal="center" vertical="center" wrapText="1"/>
    </xf>
    <xf numFmtId="43" fontId="2" fillId="13" borderId="101" xfId="1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164" fontId="45" fillId="0" borderId="0" xfId="1" applyNumberFormat="1" applyFont="1" applyAlignment="1">
      <alignment horizontal="center" vertical="center"/>
    </xf>
    <xf numFmtId="166" fontId="68" fillId="0" borderId="79" xfId="1" applyNumberFormat="1" applyFont="1" applyBorder="1" applyAlignment="1">
      <alignment horizontal="center" vertical="center"/>
    </xf>
    <xf numFmtId="166" fontId="68" fillId="0" borderId="87" xfId="1" applyNumberFormat="1" applyFont="1" applyBorder="1" applyAlignment="1">
      <alignment horizontal="center" vertical="center"/>
    </xf>
    <xf numFmtId="166" fontId="68" fillId="0" borderId="79" xfId="1" applyNumberFormat="1" applyFont="1" applyFill="1" applyBorder="1" applyAlignment="1">
      <alignment horizontal="center" vertical="center" wrapText="1"/>
    </xf>
    <xf numFmtId="166" fontId="68" fillId="0" borderId="17" xfId="1" applyNumberFormat="1" applyFont="1" applyFill="1" applyBorder="1" applyAlignment="1">
      <alignment horizontal="center" vertical="center" wrapText="1"/>
    </xf>
    <xf numFmtId="166" fontId="68" fillId="0" borderId="87" xfId="1" applyNumberFormat="1" applyFont="1" applyFill="1" applyBorder="1" applyAlignment="1">
      <alignment horizontal="center" vertical="center" wrapText="1"/>
    </xf>
    <xf numFmtId="166" fontId="68" fillId="0" borderId="33" xfId="1" applyNumberFormat="1" applyFont="1" applyBorder="1" applyAlignment="1">
      <alignment horizontal="center" vertical="center"/>
    </xf>
    <xf numFmtId="166" fontId="68" fillId="0" borderId="17" xfId="1" applyNumberFormat="1" applyFont="1" applyBorder="1" applyAlignment="1">
      <alignment horizontal="center" vertical="center"/>
    </xf>
    <xf numFmtId="166" fontId="68" fillId="0" borderId="32" xfId="1" applyNumberFormat="1" applyFont="1" applyBorder="1" applyAlignment="1">
      <alignment horizontal="center" vertical="center"/>
    </xf>
    <xf numFmtId="166" fontId="68" fillId="0" borderId="79" xfId="1" applyNumberFormat="1" applyFont="1" applyBorder="1" applyAlignment="1">
      <alignment horizontal="center" vertical="center" wrapText="1"/>
    </xf>
    <xf numFmtId="166" fontId="68" fillId="0" borderId="87" xfId="1" applyNumberFormat="1" applyFont="1" applyBorder="1" applyAlignment="1">
      <alignment horizontal="center" vertical="center" wrapText="1"/>
    </xf>
    <xf numFmtId="3" fontId="68" fillId="0" borderId="79" xfId="0" applyNumberFormat="1" applyFont="1" applyBorder="1" applyAlignment="1">
      <alignment horizontal="right" vertical="center" wrapText="1"/>
    </xf>
    <xf numFmtId="3" fontId="68" fillId="0" borderId="87" xfId="0" applyNumberFormat="1" applyFont="1" applyBorder="1" applyAlignment="1">
      <alignment horizontal="right" vertical="center" wrapText="1"/>
    </xf>
    <xf numFmtId="3" fontId="68" fillId="0" borderId="79" xfId="0" applyNumberFormat="1" applyFont="1" applyBorder="1" applyAlignment="1">
      <alignment horizontal="center" vertical="center" wrapText="1"/>
    </xf>
    <xf numFmtId="3" fontId="68" fillId="0" borderId="17" xfId="0" applyNumberFormat="1" applyFont="1" applyBorder="1" applyAlignment="1">
      <alignment horizontal="center" vertical="center" wrapText="1"/>
    </xf>
    <xf numFmtId="3" fontId="68" fillId="0" borderId="87" xfId="0" applyNumberFormat="1" applyFont="1" applyBorder="1" applyAlignment="1">
      <alignment horizontal="center" vertical="center" wrapText="1"/>
    </xf>
    <xf numFmtId="3" fontId="68" fillId="0" borderId="79" xfId="0" applyNumberFormat="1" applyFont="1" applyBorder="1" applyAlignment="1">
      <alignment horizontal="right" wrapText="1"/>
    </xf>
    <xf numFmtId="3" fontId="68" fillId="0" borderId="87" xfId="0" applyNumberFormat="1" applyFont="1" applyBorder="1" applyAlignment="1">
      <alignment horizontal="right" wrapText="1"/>
    </xf>
    <xf numFmtId="3" fontId="68" fillId="0" borderId="33" xfId="0" applyNumberFormat="1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/>
    </xf>
    <xf numFmtId="164" fontId="48" fillId="0" borderId="33" xfId="1" applyNumberFormat="1" applyFont="1" applyBorder="1" applyAlignment="1">
      <alignment horizontal="center"/>
    </xf>
    <xf numFmtId="164" fontId="48" fillId="0" borderId="32" xfId="1" applyNumberFormat="1" applyFont="1" applyBorder="1" applyAlignment="1">
      <alignment horizontal="center"/>
    </xf>
    <xf numFmtId="166" fontId="48" fillId="0" borderId="33" xfId="1" quotePrefix="1" applyNumberFormat="1" applyFont="1" applyBorder="1" applyAlignment="1">
      <alignment horizontal="center"/>
    </xf>
    <xf numFmtId="166" fontId="48" fillId="0" borderId="32" xfId="1" quotePrefix="1" applyNumberFormat="1" applyFont="1" applyBorder="1" applyAlignment="1">
      <alignment horizontal="center"/>
    </xf>
    <xf numFmtId="166" fontId="48" fillId="0" borderId="33" xfId="0" applyNumberFormat="1" applyFont="1" applyBorder="1" applyAlignment="1">
      <alignment horizontal="center"/>
    </xf>
    <xf numFmtId="0" fontId="48" fillId="0" borderId="3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54" fillId="0" borderId="33" xfId="0" applyFont="1" applyBorder="1" applyAlignment="1">
      <alignment horizontal="center" vertical="center" wrapText="1"/>
    </xf>
    <xf numFmtId="0" fontId="54" fillId="0" borderId="17" xfId="0" applyFont="1" applyBorder="1" applyAlignment="1">
      <alignment horizontal="center" vertical="center" wrapText="1"/>
    </xf>
    <xf numFmtId="0" fontId="54" fillId="0" borderId="17" xfId="0" applyFont="1" applyBorder="1" applyAlignment="1">
      <alignment horizontal="center" vertical="center"/>
    </xf>
    <xf numFmtId="0" fontId="54" fillId="0" borderId="33" xfId="0" applyFont="1" applyBorder="1" applyAlignment="1">
      <alignment horizontal="center" vertical="center"/>
    </xf>
    <xf numFmtId="0" fontId="54" fillId="0" borderId="33" xfId="0" applyFont="1" applyFill="1" applyBorder="1" applyAlignment="1">
      <alignment horizontal="center" vertical="center"/>
    </xf>
    <xf numFmtId="0" fontId="54" fillId="0" borderId="17" xfId="0" applyFont="1" applyFill="1" applyBorder="1" applyAlignment="1">
      <alignment horizontal="center" vertical="center"/>
    </xf>
    <xf numFmtId="0" fontId="48" fillId="19" borderId="32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numFmt numFmtId="164" formatCode="_-* #,##0\ _₫_-;\-* #,##0\ _₫_-;_-* &quot;-&quot;??\ _₫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 style="medium">
          <color auto="1"/>
        </vertical>
        <horizontal style="hair">
          <color auto="1"/>
        </horizontal>
      </border>
    </dxf>
    <dxf>
      <border outline="0">
        <top style="hair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Times New Roman"/>
        <scheme val="none"/>
      </font>
      <numFmt numFmtId="164" formatCode="_-* #,##0\ _₫_-;\-* #,##0\ _₫_-;_-* &quot;-&quot;??\ _₫_-;_-@_-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hair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03:B136" totalsRowShown="0" headerRowDxfId="6" dataDxfId="4" headerRowBorderDxfId="5" tableBorderDxfId="3" totalsRowBorderDxfId="2">
  <tableColumns count="1">
    <tableColumn id="1" name="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>
    <tabColor theme="4" tint="-0.249977111117893"/>
  </sheetPr>
  <dimension ref="A1:T510"/>
  <sheetViews>
    <sheetView showWhiteSpace="0" topLeftCell="A381" zoomScale="55" zoomScaleNormal="55" zoomScaleSheetLayoutView="50" zoomScalePageLayoutView="73" workbookViewId="0"/>
  </sheetViews>
  <sheetFormatPr defaultColWidth="15.42578125" defaultRowHeight="25.5" x14ac:dyDescent="0.3"/>
  <cols>
    <col min="1" max="1" width="19.28515625" style="178" customWidth="1"/>
    <col min="2" max="2" width="6.5703125" style="1" customWidth="1"/>
    <col min="3" max="3" width="59.7109375" style="2" customWidth="1"/>
    <col min="4" max="4" width="48.7109375" style="3" customWidth="1"/>
    <col min="5" max="5" width="31.140625" style="1" customWidth="1"/>
    <col min="6" max="6" width="34.42578125" style="214" customWidth="1"/>
    <col min="7" max="7" width="37.28515625" style="1" customWidth="1"/>
    <col min="8" max="8" width="35.42578125" style="1" customWidth="1"/>
    <col min="9" max="9" width="29.140625" style="1" customWidth="1"/>
    <col min="10" max="10" width="24.42578125" style="1" customWidth="1"/>
    <col min="11" max="11" width="37.28515625" style="1" customWidth="1"/>
    <col min="12" max="12" width="32.28515625" style="1" customWidth="1"/>
    <col min="13" max="13" width="46.7109375" style="4" customWidth="1"/>
    <col min="14" max="14" width="36.140625" style="4" customWidth="1"/>
    <col min="15" max="15" width="23.140625" style="4" customWidth="1"/>
    <col min="16" max="16" width="24.140625" style="5" customWidth="1"/>
    <col min="17" max="17" width="26.42578125" style="307" bestFit="1" customWidth="1"/>
    <col min="18" max="18" width="15.42578125" style="5"/>
    <col min="19" max="19" width="26" style="5" bestFit="1" customWidth="1"/>
    <col min="20" max="16384" width="15.42578125" style="5"/>
  </cols>
  <sheetData>
    <row r="1" spans="1:19" x14ac:dyDescent="0.3">
      <c r="B1" s="1" t="s">
        <v>0</v>
      </c>
    </row>
    <row r="2" spans="1:19" ht="19.5" customHeight="1" x14ac:dyDescent="0.3">
      <c r="A2" s="1196" t="s">
        <v>1</v>
      </c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368"/>
      <c r="N2" s="368"/>
    </row>
    <row r="3" spans="1:19" ht="36.75" customHeight="1" x14ac:dyDescent="0.3">
      <c r="A3" s="1196"/>
      <c r="B3" s="1196"/>
      <c r="C3" s="1196"/>
      <c r="D3" s="1196"/>
      <c r="E3" s="1196"/>
      <c r="F3" s="1196"/>
      <c r="G3" s="1196"/>
      <c r="H3" s="1196"/>
      <c r="I3" s="1196"/>
      <c r="J3" s="1196"/>
      <c r="K3" s="1196"/>
      <c r="L3" s="1196"/>
      <c r="M3" s="368"/>
      <c r="N3" s="368"/>
    </row>
    <row r="4" spans="1:19" x14ac:dyDescent="0.3">
      <c r="C4" s="2" t="s">
        <v>2</v>
      </c>
      <c r="D4" s="6"/>
      <c r="G4" s="7"/>
      <c r="I4" s="439"/>
      <c r="M4" s="8"/>
      <c r="N4" s="9"/>
    </row>
    <row r="5" spans="1:19" ht="26.25" thickBot="1" x14ac:dyDescent="0.35">
      <c r="L5" s="318">
        <f>L61+L101+L140+L148+L174+L213+L227+L237+L246+L278+L284+L290+L313+L323+L343+L355+L364+L383+L396+L199</f>
        <v>515351496</v>
      </c>
      <c r="N5" s="1235" t="s">
        <v>3</v>
      </c>
      <c r="O5" s="1235"/>
    </row>
    <row r="6" spans="1:19" s="18" customFormat="1" ht="61.5" customHeight="1" thickBot="1" x14ac:dyDescent="0.3">
      <c r="A6" s="328" t="s">
        <v>4</v>
      </c>
      <c r="B6" s="10" t="s">
        <v>5</v>
      </c>
      <c r="C6" s="11" t="s">
        <v>6</v>
      </c>
      <c r="D6" s="12" t="s">
        <v>7</v>
      </c>
      <c r="E6" s="10" t="s">
        <v>8</v>
      </c>
      <c r="F6" s="215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14" t="s">
        <v>14</v>
      </c>
      <c r="L6" s="15" t="s">
        <v>15</v>
      </c>
      <c r="M6" s="16" t="s">
        <v>16</v>
      </c>
      <c r="N6" s="17" t="s">
        <v>17</v>
      </c>
      <c r="O6" s="180" t="s">
        <v>18</v>
      </c>
      <c r="Q6" s="308"/>
    </row>
    <row r="7" spans="1:19" s="42" customFormat="1" ht="19.5" hidden="1" customHeight="1" x14ac:dyDescent="0.3">
      <c r="A7" s="1243" t="s">
        <v>19</v>
      </c>
      <c r="B7" s="38" t="s">
        <v>20</v>
      </c>
      <c r="C7" s="527" t="s">
        <v>21</v>
      </c>
      <c r="D7" s="37" t="s">
        <v>22</v>
      </c>
      <c r="E7" s="538" t="s">
        <v>23</v>
      </c>
      <c r="F7" s="216"/>
      <c r="G7" s="216">
        <v>7930000</v>
      </c>
      <c r="H7" s="38"/>
      <c r="I7" s="38"/>
      <c r="J7" s="38"/>
      <c r="K7" s="38">
        <f t="shared" ref="K7:K38" si="0">SUM(G7:J7)</f>
        <v>7930000</v>
      </c>
      <c r="L7" s="38"/>
      <c r="M7" s="41"/>
      <c r="N7" s="41"/>
      <c r="O7" s="182"/>
      <c r="Q7" s="208"/>
      <c r="S7" s="208"/>
    </row>
    <row r="8" spans="1:19" s="42" customFormat="1" ht="19.5" hidden="1" customHeight="1" x14ac:dyDescent="0.3">
      <c r="A8" s="1243"/>
      <c r="B8" s="38" t="s">
        <v>24</v>
      </c>
      <c r="C8" s="527" t="s">
        <v>21</v>
      </c>
      <c r="D8" s="528" t="s">
        <v>25</v>
      </c>
      <c r="E8" s="538" t="s">
        <v>23</v>
      </c>
      <c r="F8" s="219"/>
      <c r="G8" s="219">
        <v>4952000</v>
      </c>
      <c r="H8" s="539">
        <v>9425000</v>
      </c>
      <c r="I8" s="219">
        <f>3623000+5790000</f>
        <v>9413000</v>
      </c>
      <c r="J8" s="219">
        <v>5506500</v>
      </c>
      <c r="K8" s="529">
        <f t="shared" si="0"/>
        <v>29296500</v>
      </c>
      <c r="L8" s="529"/>
      <c r="M8" s="530"/>
      <c r="N8" s="530"/>
      <c r="O8" s="540"/>
      <c r="Q8" s="208"/>
      <c r="S8" s="208"/>
    </row>
    <row r="9" spans="1:19" s="42" customFormat="1" ht="19.5" hidden="1" customHeight="1" x14ac:dyDescent="0.3">
      <c r="A9" s="1243"/>
      <c r="B9" s="38" t="s">
        <v>26</v>
      </c>
      <c r="C9" s="527" t="s">
        <v>21</v>
      </c>
      <c r="D9" s="528" t="s">
        <v>27</v>
      </c>
      <c r="E9" s="538" t="s">
        <v>23</v>
      </c>
      <c r="F9" s="219"/>
      <c r="G9" s="219">
        <v>17335900</v>
      </c>
      <c r="H9" s="529"/>
      <c r="I9" s="529"/>
      <c r="J9" s="529"/>
      <c r="K9" s="529">
        <f t="shared" si="0"/>
        <v>17335900</v>
      </c>
      <c r="L9" s="529"/>
      <c r="M9" s="530"/>
      <c r="N9" s="534"/>
      <c r="O9" s="535"/>
      <c r="Q9" s="208"/>
      <c r="S9" s="208"/>
    </row>
    <row r="10" spans="1:19" s="42" customFormat="1" ht="19.5" hidden="1" customHeight="1" x14ac:dyDescent="0.3">
      <c r="A10" s="1243"/>
      <c r="B10" s="38" t="s">
        <v>28</v>
      </c>
      <c r="C10" s="527" t="s">
        <v>29</v>
      </c>
      <c r="D10" s="37" t="s">
        <v>22</v>
      </c>
      <c r="E10" s="529"/>
      <c r="F10" s="219"/>
      <c r="G10" s="529">
        <v>2000000</v>
      </c>
      <c r="H10" s="529"/>
      <c r="I10" s="529"/>
      <c r="J10" s="529"/>
      <c r="K10" s="529">
        <f t="shared" si="0"/>
        <v>2000000</v>
      </c>
      <c r="L10" s="529"/>
      <c r="M10" s="530"/>
      <c r="N10" s="534"/>
      <c r="O10" s="535"/>
      <c r="Q10" s="208"/>
      <c r="S10" s="208"/>
    </row>
    <row r="11" spans="1:19" s="42" customFormat="1" ht="18" hidden="1" customHeight="1" x14ac:dyDescent="0.3">
      <c r="A11" s="1243"/>
      <c r="B11" s="26" t="s">
        <v>30</v>
      </c>
      <c r="C11" s="36" t="s">
        <v>31</v>
      </c>
      <c r="D11" s="37" t="s">
        <v>32</v>
      </c>
      <c r="E11" s="38">
        <v>102730000</v>
      </c>
      <c r="F11" s="216">
        <v>112165000</v>
      </c>
      <c r="G11" s="38">
        <v>30000000</v>
      </c>
      <c r="H11" s="38">
        <v>40000000</v>
      </c>
      <c r="I11" s="38">
        <v>10000000</v>
      </c>
      <c r="J11" s="38">
        <f>20000000+12165000</f>
        <v>32165000</v>
      </c>
      <c r="K11" s="26">
        <f t="shared" si="0"/>
        <v>112165000</v>
      </c>
      <c r="L11" s="26">
        <f t="shared" ref="L11:L17" si="1">IF(F11="",E11-K11,F11-K11)</f>
        <v>0</v>
      </c>
      <c r="M11" s="41"/>
      <c r="N11" s="41"/>
      <c r="O11" s="182"/>
      <c r="Q11" s="208"/>
      <c r="S11" s="208"/>
    </row>
    <row r="12" spans="1:19" s="42" customFormat="1" ht="18" hidden="1" customHeight="1" x14ac:dyDescent="0.3">
      <c r="A12" s="1243"/>
      <c r="B12" s="26" t="s">
        <v>33</v>
      </c>
      <c r="C12" s="36" t="s">
        <v>34</v>
      </c>
      <c r="D12" s="37" t="s">
        <v>35</v>
      </c>
      <c r="E12" s="38">
        <v>123524500</v>
      </c>
      <c r="F12" s="216">
        <v>120538440</v>
      </c>
      <c r="G12" s="38">
        <v>37057350</v>
      </c>
      <c r="H12" s="38">
        <v>49409800</v>
      </c>
      <c r="I12" s="38">
        <v>34071290</v>
      </c>
      <c r="J12" s="38"/>
      <c r="K12" s="26">
        <f t="shared" si="0"/>
        <v>120538440</v>
      </c>
      <c r="L12" s="26">
        <f t="shared" si="1"/>
        <v>0</v>
      </c>
      <c r="M12" s="41" t="s">
        <v>36</v>
      </c>
      <c r="N12" s="41" t="s">
        <v>37</v>
      </c>
      <c r="O12" s="183">
        <v>43809</v>
      </c>
      <c r="P12" s="179" t="s">
        <v>38</v>
      </c>
      <c r="Q12" s="309"/>
      <c r="R12" s="103"/>
      <c r="S12" s="208"/>
    </row>
    <row r="13" spans="1:19" s="42" customFormat="1" ht="18" hidden="1" customHeight="1" x14ac:dyDescent="0.3">
      <c r="A13" s="1243"/>
      <c r="B13" s="26" t="s">
        <v>39</v>
      </c>
      <c r="C13" s="36" t="s">
        <v>40</v>
      </c>
      <c r="D13" s="37" t="s">
        <v>41</v>
      </c>
      <c r="E13" s="38">
        <v>2905100</v>
      </c>
      <c r="F13" s="216"/>
      <c r="G13" s="38">
        <v>2905100</v>
      </c>
      <c r="H13" s="38"/>
      <c r="I13" s="38"/>
      <c r="J13" s="38"/>
      <c r="K13" s="26">
        <f t="shared" si="0"/>
        <v>2905100</v>
      </c>
      <c r="L13" s="26">
        <f t="shared" si="1"/>
        <v>0</v>
      </c>
      <c r="M13" s="41" t="s">
        <v>42</v>
      </c>
      <c r="N13" s="41"/>
      <c r="O13" s="183"/>
      <c r="P13" s="207" t="s">
        <v>43</v>
      </c>
      <c r="Q13" s="207">
        <v>305000</v>
      </c>
    </row>
    <row r="14" spans="1:19" s="42" customFormat="1" ht="18" hidden="1" customHeight="1" x14ac:dyDescent="0.3">
      <c r="A14" s="1243"/>
      <c r="B14" s="26" t="s">
        <v>44</v>
      </c>
      <c r="C14" s="36" t="s">
        <v>45</v>
      </c>
      <c r="D14" s="37" t="s">
        <v>46</v>
      </c>
      <c r="E14" s="38">
        <f>1700000+170000</f>
        <v>1870000</v>
      </c>
      <c r="F14" s="216"/>
      <c r="G14" s="38">
        <v>850000</v>
      </c>
      <c r="H14" s="38">
        <v>850000</v>
      </c>
      <c r="I14" s="38">
        <v>170000</v>
      </c>
      <c r="J14" s="38"/>
      <c r="K14" s="26">
        <f t="shared" si="0"/>
        <v>1870000</v>
      </c>
      <c r="L14" s="26">
        <f t="shared" si="1"/>
        <v>0</v>
      </c>
      <c r="M14" s="41" t="s">
        <v>47</v>
      </c>
      <c r="N14" s="41"/>
      <c r="O14" s="183"/>
      <c r="P14" s="207" t="s">
        <v>48</v>
      </c>
      <c r="Q14" s="207">
        <v>5005000</v>
      </c>
    </row>
    <row r="15" spans="1:19" s="42" customFormat="1" ht="18" hidden="1" customHeight="1" x14ac:dyDescent="0.3">
      <c r="A15" s="1243"/>
      <c r="B15" s="26" t="s">
        <v>49</v>
      </c>
      <c r="C15" s="36" t="s">
        <v>50</v>
      </c>
      <c r="D15" s="37" t="s">
        <v>51</v>
      </c>
      <c r="E15" s="38">
        <v>53807930</v>
      </c>
      <c r="F15" s="216"/>
      <c r="G15" s="38">
        <v>16142379</v>
      </c>
      <c r="H15" s="38">
        <v>21523172</v>
      </c>
      <c r="I15" s="38">
        <v>16142379</v>
      </c>
      <c r="J15" s="38"/>
      <c r="K15" s="26">
        <f t="shared" si="0"/>
        <v>53807930</v>
      </c>
      <c r="L15" s="26">
        <f t="shared" si="1"/>
        <v>0</v>
      </c>
      <c r="M15" s="41" t="s">
        <v>52</v>
      </c>
      <c r="N15" s="41" t="s">
        <v>53</v>
      </c>
      <c r="O15" s="183">
        <v>43827</v>
      </c>
      <c r="P15" s="207" t="s">
        <v>54</v>
      </c>
      <c r="Q15" s="207">
        <v>900000</v>
      </c>
    </row>
    <row r="16" spans="1:19" s="42" customFormat="1" ht="18" hidden="1" customHeight="1" x14ac:dyDescent="0.3">
      <c r="A16" s="1243"/>
      <c r="B16" s="26" t="s">
        <v>55</v>
      </c>
      <c r="C16" s="36" t="s">
        <v>56</v>
      </c>
      <c r="D16" s="37" t="s">
        <v>57</v>
      </c>
      <c r="E16" s="38">
        <v>58848020</v>
      </c>
      <c r="F16" s="216"/>
      <c r="G16" s="38">
        <v>58848020</v>
      </c>
      <c r="H16" s="38"/>
      <c r="I16" s="38"/>
      <c r="J16" s="38"/>
      <c r="K16" s="26">
        <f t="shared" si="0"/>
        <v>58848020</v>
      </c>
      <c r="L16" s="26">
        <f t="shared" si="1"/>
        <v>0</v>
      </c>
      <c r="M16" s="41" t="s">
        <v>47</v>
      </c>
      <c r="N16" s="41"/>
      <c r="O16" s="183"/>
      <c r="P16" s="207" t="s">
        <v>58</v>
      </c>
      <c r="Q16" s="207">
        <v>450000</v>
      </c>
    </row>
    <row r="17" spans="1:17" s="42" customFormat="1" ht="18" hidden="1" customHeight="1" x14ac:dyDescent="0.3">
      <c r="A17" s="1243"/>
      <c r="B17" s="26" t="s">
        <v>59</v>
      </c>
      <c r="C17" s="36" t="s">
        <v>60</v>
      </c>
      <c r="D17" s="37" t="s">
        <v>61</v>
      </c>
      <c r="E17" s="38">
        <v>47100000</v>
      </c>
      <c r="F17" s="216"/>
      <c r="G17" s="38">
        <v>23550000</v>
      </c>
      <c r="H17" s="38">
        <v>23550000</v>
      </c>
      <c r="I17" s="38"/>
      <c r="J17" s="38"/>
      <c r="K17" s="26">
        <f t="shared" si="0"/>
        <v>47100000</v>
      </c>
      <c r="L17" s="26">
        <f t="shared" si="1"/>
        <v>0</v>
      </c>
      <c r="M17" s="41"/>
      <c r="N17" s="41"/>
      <c r="O17" s="183"/>
      <c r="P17" s="207" t="s">
        <v>62</v>
      </c>
      <c r="Q17" s="207">
        <v>2705000</v>
      </c>
    </row>
    <row r="18" spans="1:17" s="42" customFormat="1" ht="18" hidden="1" customHeight="1" x14ac:dyDescent="0.3">
      <c r="A18" s="1243"/>
      <c r="B18" s="26" t="s">
        <v>63</v>
      </c>
      <c r="C18" s="36" t="s">
        <v>64</v>
      </c>
      <c r="D18" s="37" t="s">
        <v>65</v>
      </c>
      <c r="E18" s="38">
        <v>4900000</v>
      </c>
      <c r="F18" s="216"/>
      <c r="G18" s="38">
        <v>2450000</v>
      </c>
      <c r="H18" s="38">
        <v>2450000</v>
      </c>
      <c r="I18" s="38"/>
      <c r="J18" s="38"/>
      <c r="K18" s="26">
        <f t="shared" si="0"/>
        <v>4900000</v>
      </c>
      <c r="L18" s="26"/>
      <c r="M18" s="41"/>
      <c r="N18" s="41"/>
      <c r="O18" s="183"/>
      <c r="P18" s="207" t="s">
        <v>66</v>
      </c>
      <c r="Q18" s="207">
        <v>5320000</v>
      </c>
    </row>
    <row r="19" spans="1:17" s="382" customFormat="1" ht="18" hidden="1" customHeight="1" x14ac:dyDescent="0.3">
      <c r="A19" s="1243"/>
      <c r="B19" s="26" t="s">
        <v>67</v>
      </c>
      <c r="C19" s="378" t="s">
        <v>68</v>
      </c>
      <c r="D19" s="445" t="s">
        <v>69</v>
      </c>
      <c r="E19" s="112">
        <f>20082304*2</f>
        <v>40164608</v>
      </c>
      <c r="F19" s="112">
        <v>50205760</v>
      </c>
      <c r="G19" s="112">
        <v>20082304</v>
      </c>
      <c r="H19" s="112">
        <v>30123456</v>
      </c>
      <c r="I19" s="112"/>
      <c r="J19" s="112"/>
      <c r="K19" s="111">
        <f t="shared" si="0"/>
        <v>50205760</v>
      </c>
      <c r="L19" s="111">
        <f t="shared" ref="L19:L49" si="2">IF(F19="",E19-K19,F19-K19)</f>
        <v>0</v>
      </c>
      <c r="M19" s="380" t="s">
        <v>70</v>
      </c>
      <c r="N19" s="380"/>
      <c r="O19" s="381"/>
      <c r="P19" s="446" t="s">
        <v>71</v>
      </c>
      <c r="Q19" s="446">
        <v>4070000</v>
      </c>
    </row>
    <row r="20" spans="1:17" s="42" customFormat="1" ht="18" hidden="1" customHeight="1" x14ac:dyDescent="0.3">
      <c r="A20" s="1243"/>
      <c r="B20" s="26" t="s">
        <v>72</v>
      </c>
      <c r="C20" s="36" t="s">
        <v>40</v>
      </c>
      <c r="D20" s="37" t="s">
        <v>41</v>
      </c>
      <c r="E20" s="38">
        <v>3650350</v>
      </c>
      <c r="F20" s="216"/>
      <c r="G20" s="38">
        <v>3650350</v>
      </c>
      <c r="H20" s="38"/>
      <c r="I20" s="38"/>
      <c r="J20" s="38"/>
      <c r="K20" s="26">
        <f t="shared" si="0"/>
        <v>3650350</v>
      </c>
      <c r="L20" s="26">
        <f t="shared" si="2"/>
        <v>0</v>
      </c>
      <c r="M20" s="41" t="s">
        <v>47</v>
      </c>
      <c r="N20" s="41"/>
      <c r="O20" s="183"/>
      <c r="P20" s="205" t="s">
        <v>73</v>
      </c>
      <c r="Q20" s="205">
        <f>10.5*300000</f>
        <v>3150000</v>
      </c>
    </row>
    <row r="21" spans="1:17" s="42" customFormat="1" ht="18" hidden="1" customHeight="1" x14ac:dyDescent="0.3">
      <c r="A21" s="1243"/>
      <c r="B21" s="26" t="s">
        <v>74</v>
      </c>
      <c r="C21" s="36" t="s">
        <v>75</v>
      </c>
      <c r="D21" s="37" t="s">
        <v>76</v>
      </c>
      <c r="E21" s="38">
        <v>23000000</v>
      </c>
      <c r="F21" s="216"/>
      <c r="G21" s="38">
        <v>11500000</v>
      </c>
      <c r="H21" s="38">
        <v>11500000</v>
      </c>
      <c r="I21" s="38"/>
      <c r="J21" s="38"/>
      <c r="K21" s="26">
        <f t="shared" si="0"/>
        <v>23000000</v>
      </c>
      <c r="L21" s="26">
        <f t="shared" si="2"/>
        <v>0</v>
      </c>
      <c r="M21" s="41"/>
      <c r="N21" s="41"/>
      <c r="O21" s="183"/>
      <c r="P21" s="205" t="s">
        <v>77</v>
      </c>
      <c r="Q21" s="205">
        <v>2100000</v>
      </c>
    </row>
    <row r="22" spans="1:17" s="42" customFormat="1" ht="18" hidden="1" customHeight="1" x14ac:dyDescent="0.3">
      <c r="A22" s="1243"/>
      <c r="B22" s="26" t="s">
        <v>78</v>
      </c>
      <c r="C22" s="36" t="s">
        <v>79</v>
      </c>
      <c r="D22" s="37" t="s">
        <v>80</v>
      </c>
      <c r="E22" s="38">
        <v>74250000</v>
      </c>
      <c r="F22" s="216"/>
      <c r="G22" s="38">
        <v>59300000</v>
      </c>
      <c r="H22" s="38">
        <v>14950000</v>
      </c>
      <c r="I22" s="38"/>
      <c r="J22" s="38"/>
      <c r="K22" s="26">
        <f t="shared" si="0"/>
        <v>74250000</v>
      </c>
      <c r="L22" s="26">
        <f t="shared" si="2"/>
        <v>0</v>
      </c>
      <c r="M22" s="41" t="s">
        <v>47</v>
      </c>
      <c r="N22" s="41" t="s">
        <v>81</v>
      </c>
      <c r="O22" s="183"/>
      <c r="P22" s="205" t="s">
        <v>82</v>
      </c>
      <c r="Q22" s="205">
        <v>4720000</v>
      </c>
    </row>
    <row r="23" spans="1:17" s="42" customFormat="1" ht="18" hidden="1" customHeight="1" x14ac:dyDescent="0.3">
      <c r="A23" s="1243"/>
      <c r="B23" s="26" t="s">
        <v>83</v>
      </c>
      <c r="C23" s="36" t="s">
        <v>84</v>
      </c>
      <c r="D23" s="37" t="s">
        <v>85</v>
      </c>
      <c r="E23" s="38">
        <v>3911000</v>
      </c>
      <c r="F23" s="216"/>
      <c r="G23" s="38">
        <v>3911000</v>
      </c>
      <c r="H23" s="38"/>
      <c r="I23" s="38"/>
      <c r="J23" s="38"/>
      <c r="K23" s="26">
        <f t="shared" si="0"/>
        <v>3911000</v>
      </c>
      <c r="L23" s="26">
        <f t="shared" si="2"/>
        <v>0</v>
      </c>
      <c r="M23" s="41" t="s">
        <v>47</v>
      </c>
      <c r="N23" s="41"/>
      <c r="O23" s="183"/>
      <c r="P23" s="205" t="s">
        <v>86</v>
      </c>
      <c r="Q23" s="205">
        <v>4320000</v>
      </c>
    </row>
    <row r="24" spans="1:17" s="42" customFormat="1" ht="18" hidden="1" customHeight="1" x14ac:dyDescent="0.3">
      <c r="A24" s="1243"/>
      <c r="B24" s="26" t="s">
        <v>87</v>
      </c>
      <c r="C24" s="36" t="s">
        <v>88</v>
      </c>
      <c r="D24" s="37" t="s">
        <v>57</v>
      </c>
      <c r="E24" s="38">
        <v>37519200</v>
      </c>
      <c r="F24" s="216"/>
      <c r="G24" s="38">
        <f>22550400+14968800</f>
        <v>37519200</v>
      </c>
      <c r="H24" s="38"/>
      <c r="I24" s="38"/>
      <c r="J24" s="38"/>
      <c r="K24" s="26">
        <f t="shared" si="0"/>
        <v>37519200</v>
      </c>
      <c r="L24" s="26">
        <f t="shared" si="2"/>
        <v>0</v>
      </c>
      <c r="M24" s="41" t="s">
        <v>89</v>
      </c>
      <c r="N24" s="41"/>
      <c r="O24" s="183"/>
      <c r="P24" s="204" t="s">
        <v>90</v>
      </c>
      <c r="Q24" s="205">
        <v>5520000</v>
      </c>
    </row>
    <row r="25" spans="1:17" s="42" customFormat="1" ht="18" hidden="1" customHeight="1" x14ac:dyDescent="0.3">
      <c r="A25" s="1243"/>
      <c r="B25" s="26" t="s">
        <v>91</v>
      </c>
      <c r="C25" s="36" t="s">
        <v>92</v>
      </c>
      <c r="D25" s="37" t="s">
        <v>93</v>
      </c>
      <c r="E25" s="38">
        <v>4840000</v>
      </c>
      <c r="F25" s="216"/>
      <c r="G25" s="38">
        <v>2420000</v>
      </c>
      <c r="H25" s="38">
        <v>2420000</v>
      </c>
      <c r="I25" s="38"/>
      <c r="J25" s="38"/>
      <c r="K25" s="26">
        <f t="shared" si="0"/>
        <v>4840000</v>
      </c>
      <c r="L25" s="26">
        <f t="shared" si="2"/>
        <v>0</v>
      </c>
      <c r="M25" s="41" t="s">
        <v>47</v>
      </c>
      <c r="N25" s="41"/>
      <c r="O25" s="183"/>
      <c r="P25" s="205" t="s">
        <v>94</v>
      </c>
      <c r="Q25" s="205">
        <v>300000</v>
      </c>
    </row>
    <row r="26" spans="1:17" s="42" customFormat="1" ht="18" hidden="1" customHeight="1" x14ac:dyDescent="0.3">
      <c r="A26" s="1243"/>
      <c r="B26" s="26" t="s">
        <v>95</v>
      </c>
      <c r="C26" s="36" t="s">
        <v>96</v>
      </c>
      <c r="D26" s="37" t="s">
        <v>57</v>
      </c>
      <c r="E26" s="38">
        <v>3628800</v>
      </c>
      <c r="F26" s="216"/>
      <c r="G26" s="38">
        <v>3628800</v>
      </c>
      <c r="H26" s="38"/>
      <c r="I26" s="38"/>
      <c r="J26" s="38"/>
      <c r="K26" s="26">
        <f t="shared" si="0"/>
        <v>3628800</v>
      </c>
      <c r="L26" s="26">
        <f t="shared" si="2"/>
        <v>0</v>
      </c>
      <c r="M26" s="41"/>
      <c r="N26" s="41"/>
      <c r="O26" s="183"/>
      <c r="P26" s="205" t="s">
        <v>97</v>
      </c>
      <c r="Q26" s="205">
        <v>610000</v>
      </c>
    </row>
    <row r="27" spans="1:17" s="42" customFormat="1" ht="18" hidden="1" customHeight="1" x14ac:dyDescent="0.3">
      <c r="A27" s="1243"/>
      <c r="B27" s="26" t="s">
        <v>98</v>
      </c>
      <c r="C27" s="36" t="s">
        <v>99</v>
      </c>
      <c r="D27" s="37" t="s">
        <v>100</v>
      </c>
      <c r="E27" s="38">
        <f>124497000/0.3</f>
        <v>414990000</v>
      </c>
      <c r="F27" s="216">
        <v>549620000</v>
      </c>
      <c r="G27" s="38">
        <v>124497000</v>
      </c>
      <c r="H27" s="38">
        <v>165996000</v>
      </c>
      <c r="I27" s="38">
        <v>231646000</v>
      </c>
      <c r="J27" s="38"/>
      <c r="K27" s="26">
        <f t="shared" si="0"/>
        <v>522139000</v>
      </c>
      <c r="L27" s="26">
        <f t="shared" si="2"/>
        <v>27481000</v>
      </c>
      <c r="M27" s="41"/>
      <c r="N27" s="41"/>
      <c r="O27" s="183"/>
      <c r="P27" s="205" t="s">
        <v>101</v>
      </c>
      <c r="Q27" s="205">
        <v>455000</v>
      </c>
    </row>
    <row r="28" spans="1:17" s="42" customFormat="1" ht="18" hidden="1" customHeight="1" x14ac:dyDescent="0.3">
      <c r="A28" s="1243"/>
      <c r="B28" s="26" t="s">
        <v>102</v>
      </c>
      <c r="C28" s="36" t="s">
        <v>103</v>
      </c>
      <c r="D28" s="37" t="s">
        <v>104</v>
      </c>
      <c r="E28" s="38">
        <v>21070000</v>
      </c>
      <c r="F28" s="216">
        <f>21070000-600000-1000000</f>
        <v>19470000</v>
      </c>
      <c r="G28" s="38">
        <v>14749000</v>
      </c>
      <c r="H28" s="38">
        <v>4721000</v>
      </c>
      <c r="I28" s="38"/>
      <c r="J28" s="38"/>
      <c r="K28" s="26">
        <f t="shared" si="0"/>
        <v>19470000</v>
      </c>
      <c r="L28" s="26">
        <f t="shared" si="2"/>
        <v>0</v>
      </c>
      <c r="M28" s="41"/>
      <c r="N28" s="41"/>
      <c r="O28" s="183"/>
      <c r="P28" s="205" t="s">
        <v>105</v>
      </c>
      <c r="Q28" s="205">
        <v>250000</v>
      </c>
    </row>
    <row r="29" spans="1:17" s="42" customFormat="1" ht="18" hidden="1" customHeight="1" x14ac:dyDescent="0.3">
      <c r="A29" s="1243"/>
      <c r="B29" s="26" t="s">
        <v>106</v>
      </c>
      <c r="C29" s="36" t="s">
        <v>107</v>
      </c>
      <c r="D29" s="37" t="s">
        <v>108</v>
      </c>
      <c r="E29" s="38">
        <v>51030000</v>
      </c>
      <c r="F29" s="216">
        <v>44705000</v>
      </c>
      <c r="G29" s="38">
        <v>15309000</v>
      </c>
      <c r="H29" s="38">
        <v>20412000</v>
      </c>
      <c r="I29" s="38">
        <v>8984000</v>
      </c>
      <c r="J29" s="38"/>
      <c r="K29" s="26">
        <f t="shared" si="0"/>
        <v>44705000</v>
      </c>
      <c r="L29" s="26">
        <f t="shared" si="2"/>
        <v>0</v>
      </c>
      <c r="M29" s="41"/>
      <c r="N29" s="41"/>
      <c r="O29" s="183"/>
      <c r="P29" s="205"/>
      <c r="Q29" s="522">
        <f>SUM(Q13:Q28)</f>
        <v>40180000</v>
      </c>
    </row>
    <row r="30" spans="1:17" s="42" customFormat="1" ht="18" hidden="1" customHeight="1" x14ac:dyDescent="0.3">
      <c r="A30" s="1243"/>
      <c r="B30" s="26" t="s">
        <v>109</v>
      </c>
      <c r="C30" s="36" t="s">
        <v>110</v>
      </c>
      <c r="D30" s="37" t="s">
        <v>111</v>
      </c>
      <c r="E30" s="38">
        <f>7920000/0.6</f>
        <v>13200000</v>
      </c>
      <c r="F30" s="216"/>
      <c r="G30" s="38">
        <v>7920000</v>
      </c>
      <c r="H30" s="38"/>
      <c r="I30" s="38"/>
      <c r="J30" s="38"/>
      <c r="K30" s="26">
        <f t="shared" si="0"/>
        <v>7920000</v>
      </c>
      <c r="L30" s="26">
        <f t="shared" si="2"/>
        <v>5280000</v>
      </c>
      <c r="M30" s="41"/>
      <c r="N30" s="41"/>
      <c r="O30" s="183"/>
      <c r="P30" s="205"/>
      <c r="Q30" s="205"/>
    </row>
    <row r="31" spans="1:17" s="42" customFormat="1" ht="18" hidden="1" customHeight="1" x14ac:dyDescent="0.3">
      <c r="A31" s="1243"/>
      <c r="B31" s="26" t="s">
        <v>112</v>
      </c>
      <c r="C31" s="36" t="s">
        <v>113</v>
      </c>
      <c r="D31" s="37" t="s">
        <v>114</v>
      </c>
      <c r="E31" s="38">
        <v>10782000</v>
      </c>
      <c r="F31" s="216"/>
      <c r="G31" s="38">
        <v>10782000</v>
      </c>
      <c r="H31" s="38"/>
      <c r="I31" s="38"/>
      <c r="J31" s="38"/>
      <c r="K31" s="26">
        <f t="shared" si="0"/>
        <v>10782000</v>
      </c>
      <c r="L31" s="26">
        <f t="shared" si="2"/>
        <v>0</v>
      </c>
      <c r="M31" s="41"/>
      <c r="N31" s="41"/>
      <c r="O31" s="183"/>
      <c r="P31" s="205"/>
      <c r="Q31" s="205"/>
    </row>
    <row r="32" spans="1:17" s="42" customFormat="1" ht="18" hidden="1" customHeight="1" x14ac:dyDescent="0.3">
      <c r="A32" s="1243"/>
      <c r="B32" s="26" t="s">
        <v>115</v>
      </c>
      <c r="C32" s="36" t="s">
        <v>116</v>
      </c>
      <c r="D32" s="37" t="s">
        <v>57</v>
      </c>
      <c r="E32" s="38">
        <v>1650000</v>
      </c>
      <c r="F32" s="216"/>
      <c r="G32" s="38">
        <v>1650000</v>
      </c>
      <c r="H32" s="38"/>
      <c r="I32" s="38"/>
      <c r="J32" s="38"/>
      <c r="K32" s="26">
        <f t="shared" si="0"/>
        <v>1650000</v>
      </c>
      <c r="L32" s="26">
        <f t="shared" si="2"/>
        <v>0</v>
      </c>
      <c r="M32" s="41"/>
      <c r="N32" s="41"/>
      <c r="O32" s="183"/>
      <c r="P32" s="205"/>
      <c r="Q32" s="205"/>
    </row>
    <row r="33" spans="1:17" s="42" customFormat="1" ht="18" hidden="1" customHeight="1" x14ac:dyDescent="0.3">
      <c r="A33" s="1243"/>
      <c r="B33" s="26" t="s">
        <v>117</v>
      </c>
      <c r="C33" s="36" t="s">
        <v>118</v>
      </c>
      <c r="D33" s="37" t="s">
        <v>119</v>
      </c>
      <c r="E33" s="38">
        <v>86020559</v>
      </c>
      <c r="F33" s="216">
        <v>115897228</v>
      </c>
      <c r="G33" s="38">
        <v>25806167</v>
      </c>
      <c r="H33" s="38">
        <v>34408223</v>
      </c>
      <c r="I33" s="38">
        <v>55682838</v>
      </c>
      <c r="J33" s="38"/>
      <c r="K33" s="26">
        <f t="shared" si="0"/>
        <v>115897228</v>
      </c>
      <c r="L33" s="26">
        <f t="shared" si="2"/>
        <v>0</v>
      </c>
      <c r="M33" s="41"/>
      <c r="N33" s="41"/>
      <c r="O33" s="183"/>
      <c r="P33" s="205"/>
      <c r="Q33" s="205"/>
    </row>
    <row r="34" spans="1:17" s="42" customFormat="1" ht="18" hidden="1" customHeight="1" x14ac:dyDescent="0.3">
      <c r="A34" s="1243"/>
      <c r="B34" s="26" t="s">
        <v>120</v>
      </c>
      <c r="C34" s="36" t="s">
        <v>121</v>
      </c>
      <c r="D34" s="37" t="s">
        <v>114</v>
      </c>
      <c r="E34" s="38">
        <v>1020000</v>
      </c>
      <c r="F34" s="216"/>
      <c r="G34" s="38">
        <v>1020000</v>
      </c>
      <c r="H34" s="38"/>
      <c r="I34" s="38"/>
      <c r="J34" s="38"/>
      <c r="K34" s="26">
        <f t="shared" si="0"/>
        <v>1020000</v>
      </c>
      <c r="L34" s="26">
        <f t="shared" si="2"/>
        <v>0</v>
      </c>
      <c r="M34" s="41"/>
      <c r="N34" s="41"/>
      <c r="O34" s="183"/>
      <c r="P34" s="205"/>
      <c r="Q34" s="205"/>
    </row>
    <row r="35" spans="1:17" s="42" customFormat="1" ht="18" hidden="1" customHeight="1" x14ac:dyDescent="0.3">
      <c r="A35" s="1243"/>
      <c r="B35" s="26" t="s">
        <v>122</v>
      </c>
      <c r="C35" s="36" t="s">
        <v>123</v>
      </c>
      <c r="D35" s="37" t="s">
        <v>124</v>
      </c>
      <c r="E35" s="38">
        <v>25289604</v>
      </c>
      <c r="F35" s="216"/>
      <c r="G35" s="38">
        <v>25289604</v>
      </c>
      <c r="H35" s="38"/>
      <c r="I35" s="38"/>
      <c r="J35" s="38"/>
      <c r="K35" s="26">
        <f t="shared" si="0"/>
        <v>25289604</v>
      </c>
      <c r="L35" s="26">
        <f t="shared" si="2"/>
        <v>0</v>
      </c>
      <c r="M35" s="41"/>
      <c r="N35" s="41"/>
      <c r="O35" s="183"/>
      <c r="P35" s="205"/>
      <c r="Q35" s="205"/>
    </row>
    <row r="36" spans="1:17" s="42" customFormat="1" ht="18" hidden="1" customHeight="1" x14ac:dyDescent="0.3">
      <c r="A36" s="1243"/>
      <c r="B36" s="26" t="s">
        <v>125</v>
      </c>
      <c r="C36" s="36" t="s">
        <v>126</v>
      </c>
      <c r="D36" s="37" t="s">
        <v>127</v>
      </c>
      <c r="E36" s="38">
        <v>7500000</v>
      </c>
      <c r="F36" s="216"/>
      <c r="G36" s="38">
        <v>7500000</v>
      </c>
      <c r="H36" s="38"/>
      <c r="I36" s="38"/>
      <c r="J36" s="38"/>
      <c r="K36" s="26">
        <f t="shared" si="0"/>
        <v>7500000</v>
      </c>
      <c r="L36" s="26">
        <f t="shared" si="2"/>
        <v>0</v>
      </c>
      <c r="M36" s="41"/>
      <c r="N36" s="41"/>
      <c r="O36" s="183"/>
      <c r="P36" s="205"/>
      <c r="Q36" s="205"/>
    </row>
    <row r="37" spans="1:17" s="382" customFormat="1" ht="18" hidden="1" customHeight="1" x14ac:dyDescent="0.3">
      <c r="A37" s="1243"/>
      <c r="B37" s="26" t="s">
        <v>128</v>
      </c>
      <c r="C37" s="378" t="s">
        <v>129</v>
      </c>
      <c r="D37" s="445" t="s">
        <v>130</v>
      </c>
      <c r="E37" s="112">
        <v>12000000</v>
      </c>
      <c r="F37" s="112"/>
      <c r="G37" s="112">
        <v>8400000</v>
      </c>
      <c r="H37" s="112">
        <v>3600000</v>
      </c>
      <c r="I37" s="112"/>
      <c r="J37" s="112"/>
      <c r="K37" s="111">
        <f t="shared" si="0"/>
        <v>12000000</v>
      </c>
      <c r="L37" s="111">
        <f t="shared" si="2"/>
        <v>0</v>
      </c>
      <c r="M37" s="380"/>
      <c r="N37" s="380"/>
      <c r="O37" s="381"/>
      <c r="P37" s="385"/>
      <c r="Q37" s="385"/>
    </row>
    <row r="38" spans="1:17" s="42" customFormat="1" ht="18" hidden="1" customHeight="1" x14ac:dyDescent="0.3">
      <c r="A38" s="1243"/>
      <c r="B38" s="26" t="s">
        <v>131</v>
      </c>
      <c r="C38" s="36" t="s">
        <v>132</v>
      </c>
      <c r="D38" s="37" t="s">
        <v>133</v>
      </c>
      <c r="E38" s="38">
        <v>900000</v>
      </c>
      <c r="F38" s="216"/>
      <c r="G38" s="38">
        <v>270000</v>
      </c>
      <c r="H38" s="38"/>
      <c r="I38" s="38"/>
      <c r="J38" s="38"/>
      <c r="K38" s="26">
        <f t="shared" si="0"/>
        <v>270000</v>
      </c>
      <c r="L38" s="26">
        <f t="shared" si="2"/>
        <v>630000</v>
      </c>
      <c r="M38" s="41"/>
      <c r="N38" s="41"/>
      <c r="O38" s="183"/>
      <c r="P38" s="205"/>
      <c r="Q38" s="205"/>
    </row>
    <row r="39" spans="1:17" s="42" customFormat="1" ht="18" hidden="1" customHeight="1" x14ac:dyDescent="0.3">
      <c r="A39" s="1243"/>
      <c r="B39" s="26" t="s">
        <v>134</v>
      </c>
      <c r="C39" s="36" t="s">
        <v>135</v>
      </c>
      <c r="D39" s="37" t="s">
        <v>136</v>
      </c>
      <c r="E39" s="38">
        <v>1580000</v>
      </c>
      <c r="F39" s="216"/>
      <c r="G39" s="38">
        <v>1580000</v>
      </c>
      <c r="H39" s="38"/>
      <c r="I39" s="38"/>
      <c r="J39" s="38"/>
      <c r="K39" s="26">
        <f t="shared" ref="K39:K60" si="3">SUM(G39:J39)</f>
        <v>1580000</v>
      </c>
      <c r="L39" s="26">
        <f t="shared" si="2"/>
        <v>0</v>
      </c>
      <c r="M39" s="41"/>
      <c r="N39" s="41"/>
      <c r="O39" s="183"/>
      <c r="P39" s="205"/>
      <c r="Q39" s="205"/>
    </row>
    <row r="40" spans="1:17" s="42" customFormat="1" ht="18" hidden="1" customHeight="1" x14ac:dyDescent="0.3">
      <c r="A40" s="1243"/>
      <c r="B40" s="26" t="s">
        <v>137</v>
      </c>
      <c r="C40" s="36" t="s">
        <v>138</v>
      </c>
      <c r="D40" s="37" t="s">
        <v>139</v>
      </c>
      <c r="E40" s="38">
        <v>19000000</v>
      </c>
      <c r="F40" s="216"/>
      <c r="G40" s="38">
        <v>2000000</v>
      </c>
      <c r="H40" s="38">
        <v>17000000</v>
      </c>
      <c r="I40" s="38"/>
      <c r="J40" s="38"/>
      <c r="K40" s="26">
        <f t="shared" si="3"/>
        <v>19000000</v>
      </c>
      <c r="L40" s="26">
        <f t="shared" si="2"/>
        <v>0</v>
      </c>
      <c r="M40" s="41"/>
      <c r="N40" s="41"/>
      <c r="O40" s="183"/>
      <c r="P40" s="205"/>
      <c r="Q40" s="205"/>
    </row>
    <row r="41" spans="1:17" s="42" customFormat="1" ht="18" hidden="1" customHeight="1" x14ac:dyDescent="0.3">
      <c r="A41" s="1243"/>
      <c r="B41" s="26" t="s">
        <v>140</v>
      </c>
      <c r="C41" s="36" t="s">
        <v>141</v>
      </c>
      <c r="D41" s="37" t="s">
        <v>142</v>
      </c>
      <c r="E41" s="38">
        <v>27478000</v>
      </c>
      <c r="F41" s="216"/>
      <c r="G41" s="38">
        <v>27478000</v>
      </c>
      <c r="H41" s="38"/>
      <c r="I41" s="38"/>
      <c r="J41" s="38"/>
      <c r="K41" s="26">
        <f t="shared" si="3"/>
        <v>27478000</v>
      </c>
      <c r="L41" s="26">
        <f t="shared" si="2"/>
        <v>0</v>
      </c>
      <c r="M41" s="41" t="s">
        <v>143</v>
      </c>
      <c r="N41" s="41"/>
      <c r="O41" s="183"/>
      <c r="P41" s="205"/>
      <c r="Q41" s="205"/>
    </row>
    <row r="42" spans="1:17" s="42" customFormat="1" ht="18" hidden="1" customHeight="1" x14ac:dyDescent="0.3">
      <c r="A42" s="1243"/>
      <c r="B42" s="26" t="s">
        <v>144</v>
      </c>
      <c r="C42" s="36" t="s">
        <v>145</v>
      </c>
      <c r="D42" s="37" t="s">
        <v>146</v>
      </c>
      <c r="E42" s="38">
        <v>2090000</v>
      </c>
      <c r="F42" s="216"/>
      <c r="G42" s="38">
        <v>2090000</v>
      </c>
      <c r="H42" s="38"/>
      <c r="I42" s="38"/>
      <c r="J42" s="38"/>
      <c r="K42" s="26">
        <f t="shared" si="3"/>
        <v>2090000</v>
      </c>
      <c r="L42" s="26">
        <f t="shared" si="2"/>
        <v>0</v>
      </c>
      <c r="M42" s="41"/>
      <c r="N42" s="41"/>
      <c r="O42" s="183"/>
      <c r="P42" s="205"/>
      <c r="Q42" s="205"/>
    </row>
    <row r="43" spans="1:17" s="42" customFormat="1" ht="18" hidden="1" customHeight="1" x14ac:dyDescent="0.3">
      <c r="A43" s="1243"/>
      <c r="B43" s="26" t="s">
        <v>147</v>
      </c>
      <c r="C43" s="36" t="s">
        <v>148</v>
      </c>
      <c r="D43" s="37" t="s">
        <v>111</v>
      </c>
      <c r="E43" s="38">
        <v>5196000</v>
      </c>
      <c r="F43" s="216"/>
      <c r="G43" s="38">
        <v>5196000</v>
      </c>
      <c r="H43" s="38"/>
      <c r="I43" s="38"/>
      <c r="J43" s="38"/>
      <c r="K43" s="26">
        <f t="shared" si="3"/>
        <v>5196000</v>
      </c>
      <c r="L43" s="26">
        <f t="shared" si="2"/>
        <v>0</v>
      </c>
      <c r="M43" s="41"/>
      <c r="N43" s="41"/>
      <c r="O43" s="183"/>
      <c r="P43" s="205"/>
      <c r="Q43" s="205"/>
    </row>
    <row r="44" spans="1:17" s="42" customFormat="1" ht="18" hidden="1" customHeight="1" x14ac:dyDescent="0.3">
      <c r="A44" s="1243"/>
      <c r="B44" s="26" t="s">
        <v>149</v>
      </c>
      <c r="C44" s="36" t="s">
        <v>88</v>
      </c>
      <c r="D44" s="37" t="s">
        <v>57</v>
      </c>
      <c r="E44" s="38">
        <v>1512001</v>
      </c>
      <c r="F44" s="216"/>
      <c r="G44" s="38">
        <v>1512001</v>
      </c>
      <c r="H44" s="38"/>
      <c r="I44" s="38"/>
      <c r="J44" s="38"/>
      <c r="K44" s="26">
        <f t="shared" si="3"/>
        <v>1512001</v>
      </c>
      <c r="L44" s="26">
        <f t="shared" si="2"/>
        <v>0</v>
      </c>
      <c r="M44" s="41" t="s">
        <v>150</v>
      </c>
      <c r="N44" s="41"/>
      <c r="O44" s="183"/>
      <c r="P44" s="205"/>
      <c r="Q44" s="205"/>
    </row>
    <row r="45" spans="1:17" s="42" customFormat="1" ht="18" hidden="1" customHeight="1" x14ac:dyDescent="0.3">
      <c r="A45" s="1243"/>
      <c r="B45" s="26" t="s">
        <v>151</v>
      </c>
      <c r="C45" s="36" t="s">
        <v>152</v>
      </c>
      <c r="D45" s="37" t="s">
        <v>153</v>
      </c>
      <c r="E45" s="38">
        <v>15105600</v>
      </c>
      <c r="F45" s="216"/>
      <c r="G45" s="38">
        <v>15105600</v>
      </c>
      <c r="H45" s="38"/>
      <c r="I45" s="38"/>
      <c r="J45" s="38"/>
      <c r="K45" s="26">
        <f t="shared" si="3"/>
        <v>15105600</v>
      </c>
      <c r="L45" s="26">
        <f t="shared" si="2"/>
        <v>0</v>
      </c>
      <c r="M45" s="41"/>
      <c r="N45" s="41"/>
      <c r="O45" s="183"/>
      <c r="P45" s="205"/>
      <c r="Q45" s="205"/>
    </row>
    <row r="46" spans="1:17" s="42" customFormat="1" ht="18" hidden="1" customHeight="1" x14ac:dyDescent="0.3">
      <c r="A46" s="1243"/>
      <c r="B46" s="26" t="s">
        <v>154</v>
      </c>
      <c r="C46" s="36" t="s">
        <v>155</v>
      </c>
      <c r="D46" s="37" t="s">
        <v>156</v>
      </c>
      <c r="E46" s="38">
        <v>7500000</v>
      </c>
      <c r="F46" s="216"/>
      <c r="G46" s="38">
        <v>7500000</v>
      </c>
      <c r="H46" s="38"/>
      <c r="I46" s="38"/>
      <c r="J46" s="38"/>
      <c r="K46" s="26">
        <f t="shared" si="3"/>
        <v>7500000</v>
      </c>
      <c r="L46" s="26">
        <f t="shared" si="2"/>
        <v>0</v>
      </c>
      <c r="M46" s="41"/>
      <c r="N46" s="41"/>
      <c r="O46" s="183"/>
      <c r="P46" s="205"/>
      <c r="Q46" s="205"/>
    </row>
    <row r="47" spans="1:17" s="42" customFormat="1" ht="18" hidden="1" customHeight="1" x14ac:dyDescent="0.3">
      <c r="A47" s="1243"/>
      <c r="B47" s="26" t="s">
        <v>157</v>
      </c>
      <c r="C47" s="36" t="s">
        <v>158</v>
      </c>
      <c r="D47" s="37" t="s">
        <v>159</v>
      </c>
      <c r="E47" s="38">
        <v>8200000</v>
      </c>
      <c r="F47" s="216"/>
      <c r="G47" s="38">
        <v>8200000</v>
      </c>
      <c r="H47" s="38"/>
      <c r="I47" s="38"/>
      <c r="J47" s="38"/>
      <c r="K47" s="26">
        <f t="shared" si="3"/>
        <v>8200000</v>
      </c>
      <c r="L47" s="26">
        <f t="shared" si="2"/>
        <v>0</v>
      </c>
      <c r="M47" s="41"/>
      <c r="N47" s="41"/>
      <c r="O47" s="183"/>
      <c r="P47" s="205"/>
      <c r="Q47" s="205"/>
    </row>
    <row r="48" spans="1:17" s="42" customFormat="1" ht="18" hidden="1" customHeight="1" x14ac:dyDescent="0.3">
      <c r="A48" s="1243"/>
      <c r="B48" s="26" t="s">
        <v>160</v>
      </c>
      <c r="C48" s="36" t="s">
        <v>161</v>
      </c>
      <c r="D48" s="37" t="s">
        <v>162</v>
      </c>
      <c r="E48" s="38">
        <v>58500000</v>
      </c>
      <c r="F48" s="216">
        <v>58500000</v>
      </c>
      <c r="G48" s="38">
        <v>40000000</v>
      </c>
      <c r="H48" s="38">
        <v>18500000</v>
      </c>
      <c r="I48" s="38"/>
      <c r="J48" s="38"/>
      <c r="K48" s="26">
        <f t="shared" si="3"/>
        <v>58500000</v>
      </c>
      <c r="L48" s="26">
        <f t="shared" si="2"/>
        <v>0</v>
      </c>
      <c r="M48" s="41"/>
      <c r="N48" s="41"/>
      <c r="O48" s="183"/>
      <c r="P48" s="205"/>
      <c r="Q48" s="205"/>
    </row>
    <row r="49" spans="1:20" s="42" customFormat="1" ht="18" hidden="1" customHeight="1" x14ac:dyDescent="0.3">
      <c r="A49" s="1243"/>
      <c r="B49" s="26" t="s">
        <v>163</v>
      </c>
      <c r="C49" s="36" t="s">
        <v>164</v>
      </c>
      <c r="D49" s="37" t="s">
        <v>165</v>
      </c>
      <c r="E49" s="38"/>
      <c r="F49" s="216">
        <v>40140000</v>
      </c>
      <c r="G49" s="38">
        <v>40140000</v>
      </c>
      <c r="H49" s="38"/>
      <c r="I49" s="38"/>
      <c r="J49" s="38"/>
      <c r="K49" s="26">
        <f t="shared" si="3"/>
        <v>40140000</v>
      </c>
      <c r="L49" s="26">
        <f t="shared" si="2"/>
        <v>0</v>
      </c>
      <c r="M49" s="41"/>
      <c r="N49" s="41"/>
      <c r="O49" s="183"/>
      <c r="P49" s="205"/>
      <c r="Q49" s="205"/>
    </row>
    <row r="50" spans="1:20" s="42" customFormat="1" ht="18" hidden="1" customHeight="1" x14ac:dyDescent="0.3">
      <c r="A50" s="1243"/>
      <c r="B50" s="26" t="s">
        <v>166</v>
      </c>
      <c r="C50" s="36" t="s">
        <v>167</v>
      </c>
      <c r="D50" s="37" t="s">
        <v>168</v>
      </c>
      <c r="E50" s="38">
        <v>3675000</v>
      </c>
      <c r="F50" s="216"/>
      <c r="G50" s="38">
        <v>3675000</v>
      </c>
      <c r="H50" s="38"/>
      <c r="I50" s="38"/>
      <c r="J50" s="38"/>
      <c r="K50" s="26">
        <f t="shared" si="3"/>
        <v>3675000</v>
      </c>
      <c r="L50" s="26"/>
      <c r="M50" s="41"/>
      <c r="N50" s="41"/>
      <c r="O50" s="183"/>
      <c r="P50" s="205"/>
      <c r="Q50" s="205"/>
    </row>
    <row r="51" spans="1:20" s="42" customFormat="1" ht="18" hidden="1" customHeight="1" x14ac:dyDescent="0.3">
      <c r="A51" s="1243"/>
      <c r="B51" s="26" t="s">
        <v>169</v>
      </c>
      <c r="C51" s="36" t="s">
        <v>170</v>
      </c>
      <c r="D51" s="503" t="s">
        <v>171</v>
      </c>
      <c r="E51" s="38"/>
      <c r="F51" s="216">
        <v>97092000</v>
      </c>
      <c r="G51" s="38">
        <v>97092000</v>
      </c>
      <c r="H51" s="38"/>
      <c r="I51" s="38"/>
      <c r="J51" s="38"/>
      <c r="K51" s="38">
        <f t="shared" si="3"/>
        <v>97092000</v>
      </c>
      <c r="L51" s="38"/>
      <c r="M51" s="41"/>
      <c r="N51" s="41"/>
      <c r="O51" s="183"/>
      <c r="P51" s="205"/>
      <c r="Q51" s="205"/>
    </row>
    <row r="52" spans="1:20" s="42" customFormat="1" ht="18" hidden="1" customHeight="1" x14ac:dyDescent="0.3">
      <c r="A52" s="1243"/>
      <c r="B52" s="26"/>
      <c r="C52" s="36" t="s">
        <v>172</v>
      </c>
      <c r="D52" s="503" t="s">
        <v>173</v>
      </c>
      <c r="E52" s="38">
        <v>18300000</v>
      </c>
      <c r="F52" s="216"/>
      <c r="G52" s="38">
        <v>18300000</v>
      </c>
      <c r="H52" s="38"/>
      <c r="I52" s="38"/>
      <c r="J52" s="38"/>
      <c r="K52" s="38">
        <f t="shared" si="3"/>
        <v>18300000</v>
      </c>
      <c r="L52" s="26">
        <f>IF(F52="",E52-K52,F52-K52)</f>
        <v>0</v>
      </c>
      <c r="M52" s="41"/>
      <c r="N52" s="41"/>
      <c r="O52" s="183"/>
      <c r="P52" s="205"/>
      <c r="Q52" s="205"/>
    </row>
    <row r="53" spans="1:20" s="128" customFormat="1" ht="25.5" hidden="1" customHeight="1" x14ac:dyDescent="0.3">
      <c r="A53" s="1243"/>
      <c r="B53" s="26" t="s">
        <v>174</v>
      </c>
      <c r="C53" s="109" t="s">
        <v>175</v>
      </c>
      <c r="D53" s="110" t="s">
        <v>176</v>
      </c>
      <c r="E53" s="111"/>
      <c r="F53" s="29"/>
      <c r="G53" s="111">
        <v>14023217</v>
      </c>
      <c r="H53" s="111"/>
      <c r="I53" s="111"/>
      <c r="J53" s="111"/>
      <c r="K53" s="111">
        <f t="shared" si="3"/>
        <v>14023217</v>
      </c>
      <c r="L53" s="111"/>
      <c r="M53" s="115"/>
      <c r="N53" s="115"/>
      <c r="O53" s="202"/>
      <c r="P53" s="206"/>
      <c r="Q53" s="206"/>
    </row>
    <row r="54" spans="1:20" s="128" customFormat="1" ht="21" hidden="1" customHeight="1" x14ac:dyDescent="0.3">
      <c r="A54" s="1243"/>
      <c r="B54" s="26" t="s">
        <v>177</v>
      </c>
      <c r="C54" s="109" t="s">
        <v>178</v>
      </c>
      <c r="D54" s="110" t="s">
        <v>179</v>
      </c>
      <c r="E54" s="111"/>
      <c r="F54" s="29"/>
      <c r="G54" s="111">
        <v>8767550</v>
      </c>
      <c r="H54" s="111"/>
      <c r="I54" s="111"/>
      <c r="J54" s="111"/>
      <c r="K54" s="111">
        <f t="shared" si="3"/>
        <v>8767550</v>
      </c>
      <c r="L54" s="111"/>
      <c r="M54" s="115"/>
      <c r="N54" s="115"/>
      <c r="O54" s="202"/>
      <c r="P54" s="206"/>
      <c r="Q54" s="206"/>
    </row>
    <row r="55" spans="1:20" s="128" customFormat="1" ht="21.75" hidden="1" customHeight="1" x14ac:dyDescent="0.3">
      <c r="A55" s="1243"/>
      <c r="B55" s="26" t="s">
        <v>180</v>
      </c>
      <c r="C55" s="109" t="s">
        <v>181</v>
      </c>
      <c r="D55" s="129" t="s">
        <v>182</v>
      </c>
      <c r="E55" s="111">
        <v>25000000</v>
      </c>
      <c r="F55" s="29"/>
      <c r="G55" s="111">
        <v>15000000</v>
      </c>
      <c r="H55" s="111">
        <v>10000000</v>
      </c>
      <c r="I55" s="111"/>
      <c r="J55" s="111"/>
      <c r="K55" s="111">
        <f t="shared" si="3"/>
        <v>25000000</v>
      </c>
      <c r="L55" s="26">
        <f>IF(F55="",E55-K55,F55-K55)</f>
        <v>0</v>
      </c>
      <c r="M55" s="115"/>
      <c r="N55" s="115"/>
      <c r="O55" s="202"/>
      <c r="Q55" s="310"/>
    </row>
    <row r="56" spans="1:20" s="128" customFormat="1" ht="21.75" hidden="1" customHeight="1" x14ac:dyDescent="0.3">
      <c r="A56" s="1243"/>
      <c r="B56" s="26" t="s">
        <v>183</v>
      </c>
      <c r="C56" s="109" t="s">
        <v>184</v>
      </c>
      <c r="D56" s="129" t="s">
        <v>182</v>
      </c>
      <c r="E56" s="111">
        <f>G56+H56+I56</f>
        <v>99341661</v>
      </c>
      <c r="F56" s="358"/>
      <c r="G56" s="111">
        <v>31209484</v>
      </c>
      <c r="H56" s="111">
        <v>38329679</v>
      </c>
      <c r="I56" s="111">
        <v>29802498</v>
      </c>
      <c r="J56" s="111"/>
      <c r="K56" s="111">
        <f t="shared" si="3"/>
        <v>99341661</v>
      </c>
      <c r="L56" s="26"/>
      <c r="M56" s="115"/>
      <c r="N56" s="115"/>
      <c r="O56" s="202"/>
      <c r="Q56" s="310"/>
    </row>
    <row r="57" spans="1:20" s="128" customFormat="1" ht="24.75" hidden="1" customHeight="1" x14ac:dyDescent="0.3">
      <c r="A57" s="1244"/>
      <c r="B57" s="26" t="s">
        <v>185</v>
      </c>
      <c r="C57" s="109" t="s">
        <v>186</v>
      </c>
      <c r="D57" s="129" t="s">
        <v>182</v>
      </c>
      <c r="E57" s="82">
        <v>30000000</v>
      </c>
      <c r="F57" s="1179"/>
      <c r="G57" s="82">
        <v>15000000</v>
      </c>
      <c r="H57" s="82">
        <v>15000000</v>
      </c>
      <c r="I57" s="82"/>
      <c r="J57" s="82"/>
      <c r="K57" s="111">
        <f t="shared" si="3"/>
        <v>30000000</v>
      </c>
      <c r="L57" s="111"/>
      <c r="M57" s="133"/>
      <c r="N57" s="133"/>
      <c r="O57" s="203"/>
      <c r="Q57" s="310"/>
    </row>
    <row r="58" spans="1:20" s="128" customFormat="1" ht="24.75" hidden="1" customHeight="1" x14ac:dyDescent="0.3">
      <c r="A58" s="1244"/>
      <c r="B58" s="26"/>
      <c r="C58" s="100" t="s">
        <v>187</v>
      </c>
      <c r="D58" s="155" t="s">
        <v>188</v>
      </c>
      <c r="E58" s="82"/>
      <c r="F58" s="1179"/>
      <c r="G58" s="82">
        <v>10000000</v>
      </c>
      <c r="H58" s="82"/>
      <c r="I58" s="82"/>
      <c r="J58" s="82"/>
      <c r="K58" s="111">
        <f t="shared" si="3"/>
        <v>10000000</v>
      </c>
      <c r="L58" s="82"/>
      <c r="M58" s="133"/>
      <c r="N58" s="610"/>
      <c r="O58" s="611"/>
      <c r="Q58" s="310"/>
    </row>
    <row r="59" spans="1:20" s="128" customFormat="1" ht="24.75" hidden="1" customHeight="1" x14ac:dyDescent="0.3">
      <c r="A59" s="1244"/>
      <c r="B59" s="26"/>
      <c r="C59" s="100" t="s">
        <v>189</v>
      </c>
      <c r="D59" s="155" t="s">
        <v>190</v>
      </c>
      <c r="E59" s="82">
        <v>41039000</v>
      </c>
      <c r="F59" s="1179">
        <v>41039000</v>
      </c>
      <c r="G59" s="82">
        <v>41039000</v>
      </c>
      <c r="H59" s="82"/>
      <c r="I59" s="82"/>
      <c r="J59" s="82"/>
      <c r="K59" s="111">
        <f>SUM(G59:J59)</f>
        <v>41039000</v>
      </c>
      <c r="L59" s="82"/>
      <c r="M59" s="133"/>
      <c r="N59" s="610"/>
      <c r="O59" s="611"/>
      <c r="Q59" s="310"/>
    </row>
    <row r="60" spans="1:20" s="52" customFormat="1" ht="21.75" hidden="1" customHeight="1" thickBot="1" x14ac:dyDescent="0.35">
      <c r="A60" s="1244"/>
      <c r="B60" s="26" t="s">
        <v>191</v>
      </c>
      <c r="C60" s="53" t="s">
        <v>192</v>
      </c>
      <c r="D60" s="54"/>
      <c r="E60" s="1179"/>
      <c r="F60" s="1179"/>
      <c r="G60" s="1179">
        <f>Q29</f>
        <v>40180000</v>
      </c>
      <c r="H60" s="1179"/>
      <c r="I60" s="1179"/>
      <c r="J60" s="1179"/>
      <c r="K60" s="1179">
        <f t="shared" si="3"/>
        <v>40180000</v>
      </c>
      <c r="L60" s="1179"/>
      <c r="M60" s="98"/>
      <c r="N60" s="49"/>
      <c r="O60" s="356"/>
      <c r="Q60" s="314"/>
    </row>
    <row r="61" spans="1:20" ht="27.75" hidden="1" customHeight="1" thickBot="1" x14ac:dyDescent="0.35">
      <c r="A61" s="1245"/>
      <c r="B61" s="185"/>
      <c r="C61" s="185"/>
      <c r="D61" s="185"/>
      <c r="E61" s="185"/>
      <c r="F61" s="217"/>
      <c r="G61" s="185"/>
      <c r="H61" s="185"/>
      <c r="I61" s="185"/>
      <c r="J61" s="185"/>
      <c r="K61" s="287">
        <f>SUM(K7:K60)</f>
        <v>2002064861</v>
      </c>
      <c r="L61" s="286">
        <f>SUM(L7:L60)</f>
        <v>33391000</v>
      </c>
      <c r="M61" s="186"/>
      <c r="N61" s="194"/>
      <c r="O61" s="211"/>
      <c r="P61" s="212"/>
      <c r="Q61" s="213"/>
    </row>
    <row r="62" spans="1:20" ht="21" customHeight="1" thickTop="1" x14ac:dyDescent="0.3">
      <c r="A62" s="1246" t="s">
        <v>193</v>
      </c>
      <c r="B62" s="181" t="s">
        <v>194</v>
      </c>
      <c r="C62" s="188" t="s">
        <v>31</v>
      </c>
      <c r="D62" s="189" t="s">
        <v>195</v>
      </c>
      <c r="E62" s="190">
        <v>76292735</v>
      </c>
      <c r="F62" s="218">
        <v>82711000</v>
      </c>
      <c r="G62" s="190">
        <v>22887800</v>
      </c>
      <c r="H62" s="190">
        <v>30517094</v>
      </c>
      <c r="I62" s="190">
        <v>25000000</v>
      </c>
      <c r="J62" s="190">
        <f>2500000+1806103</f>
        <v>4306103</v>
      </c>
      <c r="K62" s="181">
        <f t="shared" ref="K62:K100" si="4">SUM(G62:J62)</f>
        <v>82710997</v>
      </c>
      <c r="L62" s="26" t="s">
        <v>2</v>
      </c>
      <c r="M62" s="191"/>
      <c r="N62" s="191"/>
      <c r="O62" s="210"/>
    </row>
    <row r="63" spans="1:20" ht="21" hidden="1" customHeight="1" x14ac:dyDescent="0.3">
      <c r="A63" s="1247"/>
      <c r="B63" s="26" t="s">
        <v>196</v>
      </c>
      <c r="C63" s="109" t="s">
        <v>50</v>
      </c>
      <c r="D63" s="110" t="s">
        <v>51</v>
      </c>
      <c r="E63" s="111">
        <v>50501000</v>
      </c>
      <c r="F63" s="29"/>
      <c r="G63" s="111">
        <v>15150300</v>
      </c>
      <c r="H63" s="111">
        <v>20200400</v>
      </c>
      <c r="I63" s="111">
        <f>15150130+170</f>
        <v>15150300</v>
      </c>
      <c r="J63" s="111"/>
      <c r="K63" s="26">
        <f t="shared" si="4"/>
        <v>50501000</v>
      </c>
      <c r="L63" s="26">
        <f t="shared" ref="L63:L72" si="5">IF(F63="",E63-K63,F63-K63)</f>
        <v>0</v>
      </c>
      <c r="M63" s="32" t="s">
        <v>197</v>
      </c>
      <c r="N63" s="32" t="s">
        <v>198</v>
      </c>
      <c r="O63" s="192">
        <v>43830</v>
      </c>
      <c r="Q63" s="311"/>
      <c r="R63" s="209"/>
      <c r="S63" s="209"/>
      <c r="T63" s="209"/>
    </row>
    <row r="64" spans="1:20" s="4" customFormat="1" ht="22.5" hidden="1" customHeight="1" x14ac:dyDescent="0.25">
      <c r="A64" s="1247"/>
      <c r="B64" s="26" t="s">
        <v>20</v>
      </c>
      <c r="C64" s="109" t="s">
        <v>199</v>
      </c>
      <c r="D64" s="109" t="s">
        <v>200</v>
      </c>
      <c r="E64" s="111">
        <v>2100000</v>
      </c>
      <c r="F64" s="29"/>
      <c r="G64" s="111">
        <v>2100000</v>
      </c>
      <c r="H64" s="111"/>
      <c r="I64" s="111"/>
      <c r="J64" s="111"/>
      <c r="K64" s="26">
        <f t="shared" si="4"/>
        <v>2100000</v>
      </c>
      <c r="L64" s="26">
        <f t="shared" si="5"/>
        <v>0</v>
      </c>
      <c r="M64" s="51"/>
      <c r="N64" s="51"/>
      <c r="O64" s="184"/>
      <c r="Q64" s="1"/>
    </row>
    <row r="65" spans="1:18" s="382" customFormat="1" ht="21" hidden="1" customHeight="1" x14ac:dyDescent="0.3">
      <c r="A65" s="1247"/>
      <c r="B65" s="112" t="s">
        <v>24</v>
      </c>
      <c r="C65" s="378" t="s">
        <v>201</v>
      </c>
      <c r="D65" s="379" t="s">
        <v>200</v>
      </c>
      <c r="E65" s="112">
        <v>16095745</v>
      </c>
      <c r="F65" s="112"/>
      <c r="G65" s="112">
        <v>8047872</v>
      </c>
      <c r="H65" s="112">
        <v>6438298</v>
      </c>
      <c r="I65" s="112">
        <v>1609575</v>
      </c>
      <c r="J65" s="112"/>
      <c r="K65" s="112">
        <f t="shared" si="4"/>
        <v>16095745</v>
      </c>
      <c r="L65" s="112">
        <f t="shared" si="5"/>
        <v>0</v>
      </c>
      <c r="M65" s="380" t="s">
        <v>202</v>
      </c>
      <c r="N65" s="380" t="s">
        <v>203</v>
      </c>
      <c r="O65" s="381">
        <v>43829</v>
      </c>
    </row>
    <row r="66" spans="1:18" s="382" customFormat="1" ht="21" hidden="1" customHeight="1" x14ac:dyDescent="0.3">
      <c r="A66" s="1247"/>
      <c r="B66" s="112" t="s">
        <v>26</v>
      </c>
      <c r="C66" s="378" t="s">
        <v>34</v>
      </c>
      <c r="D66" s="379" t="s">
        <v>204</v>
      </c>
      <c r="E66" s="112">
        <f>73173000*1.1</f>
        <v>80490300</v>
      </c>
      <c r="F66" s="112">
        <v>87041460</v>
      </c>
      <c r="G66" s="112">
        <v>24147090</v>
      </c>
      <c r="H66" s="112">
        <v>32196120</v>
      </c>
      <c r="I66" s="112">
        <v>30698250</v>
      </c>
      <c r="J66" s="112"/>
      <c r="K66" s="112">
        <f t="shared" si="4"/>
        <v>87041460</v>
      </c>
      <c r="L66" s="112">
        <f t="shared" si="5"/>
        <v>0</v>
      </c>
      <c r="M66" s="380" t="s">
        <v>205</v>
      </c>
      <c r="N66" s="380"/>
      <c r="O66" s="383"/>
      <c r="P66" s="179" t="s">
        <v>206</v>
      </c>
      <c r="Q66" s="453"/>
      <c r="R66" s="454"/>
    </row>
    <row r="67" spans="1:18" s="382" customFormat="1" ht="21" hidden="1" customHeight="1" x14ac:dyDescent="0.3">
      <c r="A67" s="1247"/>
      <c r="B67" s="112" t="s">
        <v>28</v>
      </c>
      <c r="C67" s="378" t="s">
        <v>207</v>
      </c>
      <c r="D67" s="379" t="s">
        <v>176</v>
      </c>
      <c r="E67" s="112">
        <v>7755000</v>
      </c>
      <c r="F67" s="112"/>
      <c r="G67" s="112">
        <v>7755000</v>
      </c>
      <c r="H67" s="112"/>
      <c r="I67" s="112"/>
      <c r="J67" s="112"/>
      <c r="K67" s="112">
        <f t="shared" si="4"/>
        <v>7755000</v>
      </c>
      <c r="L67" s="112">
        <f t="shared" si="5"/>
        <v>0</v>
      </c>
      <c r="M67" s="380"/>
      <c r="N67" s="380"/>
      <c r="O67" s="383"/>
      <c r="P67" s="384" t="s">
        <v>71</v>
      </c>
      <c r="Q67" s="385">
        <v>1950000</v>
      </c>
    </row>
    <row r="68" spans="1:18" s="382" customFormat="1" ht="21" hidden="1" customHeight="1" x14ac:dyDescent="0.3">
      <c r="A68" s="1247"/>
      <c r="B68" s="112" t="s">
        <v>30</v>
      </c>
      <c r="C68" s="378" t="s">
        <v>208</v>
      </c>
      <c r="D68" s="379" t="s">
        <v>200</v>
      </c>
      <c r="E68" s="112">
        <v>10264703</v>
      </c>
      <c r="F68" s="112"/>
      <c r="G68" s="112">
        <v>5132351</v>
      </c>
      <c r="H68" s="112">
        <v>4105881</v>
      </c>
      <c r="I68" s="112">
        <v>1026471</v>
      </c>
      <c r="J68" s="112"/>
      <c r="K68" s="112">
        <f t="shared" si="4"/>
        <v>10264703</v>
      </c>
      <c r="L68" s="112">
        <f t="shared" si="5"/>
        <v>0</v>
      </c>
      <c r="M68" s="380" t="s">
        <v>209</v>
      </c>
      <c r="N68" s="380"/>
      <c r="O68" s="383"/>
      <c r="P68" s="384" t="s">
        <v>82</v>
      </c>
      <c r="Q68" s="385">
        <v>4500000</v>
      </c>
    </row>
    <row r="69" spans="1:18" s="4" customFormat="1" ht="39.75" hidden="1" customHeight="1" x14ac:dyDescent="0.25">
      <c r="A69" s="1247"/>
      <c r="B69" s="26" t="s">
        <v>33</v>
      </c>
      <c r="C69" s="109" t="s">
        <v>210</v>
      </c>
      <c r="D69" s="109" t="s">
        <v>200</v>
      </c>
      <c r="E69" s="111">
        <v>13400000</v>
      </c>
      <c r="F69" s="29"/>
      <c r="G69" s="111">
        <v>13400000</v>
      </c>
      <c r="H69" s="111"/>
      <c r="I69" s="111"/>
      <c r="J69" s="111"/>
      <c r="K69" s="26">
        <f t="shared" si="4"/>
        <v>13400000</v>
      </c>
      <c r="L69" s="26">
        <f t="shared" si="5"/>
        <v>0</v>
      </c>
      <c r="M69" s="115"/>
      <c r="N69" s="51"/>
      <c r="O69" s="184"/>
      <c r="P69" s="452" t="s">
        <v>86</v>
      </c>
      <c r="Q69" s="329">
        <v>5950000</v>
      </c>
    </row>
    <row r="70" spans="1:18" ht="21" hidden="1" customHeight="1" x14ac:dyDescent="0.3">
      <c r="A70" s="1247"/>
      <c r="B70" s="26" t="s">
        <v>39</v>
      </c>
      <c r="C70" s="109" t="s">
        <v>211</v>
      </c>
      <c r="D70" s="129" t="s">
        <v>100</v>
      </c>
      <c r="E70" s="111">
        <v>266145000</v>
      </c>
      <c r="F70" s="29">
        <v>296536900</v>
      </c>
      <c r="G70" s="111">
        <v>79843500</v>
      </c>
      <c r="H70" s="111">
        <v>106458000</v>
      </c>
      <c r="I70" s="111">
        <v>96756400</v>
      </c>
      <c r="J70" s="111"/>
      <c r="K70" s="26">
        <f t="shared" si="4"/>
        <v>283057900</v>
      </c>
      <c r="L70" s="26">
        <f t="shared" si="5"/>
        <v>13479000</v>
      </c>
      <c r="M70" s="115" t="s">
        <v>212</v>
      </c>
      <c r="N70" s="51"/>
      <c r="O70" s="184"/>
      <c r="P70" s="232" t="s">
        <v>90</v>
      </c>
      <c r="Q70" s="313">
        <v>8550000</v>
      </c>
    </row>
    <row r="71" spans="1:18" ht="21" hidden="1" customHeight="1" x14ac:dyDescent="0.3">
      <c r="A71" s="1247"/>
      <c r="B71" s="26" t="s">
        <v>44</v>
      </c>
      <c r="C71" s="109" t="s">
        <v>213</v>
      </c>
      <c r="D71" s="129" t="s">
        <v>41</v>
      </c>
      <c r="E71" s="111">
        <v>21559450</v>
      </c>
      <c r="F71" s="29"/>
      <c r="G71" s="111">
        <v>21559450</v>
      </c>
      <c r="H71" s="111"/>
      <c r="I71" s="111"/>
      <c r="J71" s="111"/>
      <c r="K71" s="26">
        <f t="shared" si="4"/>
        <v>21559450</v>
      </c>
      <c r="L71" s="26">
        <f t="shared" si="5"/>
        <v>0</v>
      </c>
      <c r="M71" s="115" t="s">
        <v>47</v>
      </c>
      <c r="N71" s="51"/>
      <c r="O71" s="184"/>
      <c r="P71" s="232" t="s">
        <v>214</v>
      </c>
      <c r="Q71" s="313">
        <v>300000</v>
      </c>
    </row>
    <row r="72" spans="1:18" ht="21" hidden="1" customHeight="1" x14ac:dyDescent="0.3">
      <c r="A72" s="1247"/>
      <c r="B72" s="26" t="s">
        <v>49</v>
      </c>
      <c r="C72" s="109" t="s">
        <v>215</v>
      </c>
      <c r="D72" s="129" t="s">
        <v>216</v>
      </c>
      <c r="E72" s="111">
        <v>129292625</v>
      </c>
      <c r="F72" s="111">
        <v>129292625</v>
      </c>
      <c r="G72" s="111">
        <v>33735450</v>
      </c>
      <c r="H72" s="111">
        <v>35261625</v>
      </c>
      <c r="I72" s="111">
        <v>25033925</v>
      </c>
      <c r="J72" s="111"/>
      <c r="K72" s="26">
        <f t="shared" si="4"/>
        <v>94031000</v>
      </c>
      <c r="L72" s="26">
        <f t="shared" si="5"/>
        <v>35261625</v>
      </c>
      <c r="M72" s="115" t="s">
        <v>47</v>
      </c>
      <c r="N72" s="51" t="s">
        <v>217</v>
      </c>
      <c r="O72" s="192">
        <v>43782</v>
      </c>
      <c r="P72" s="232" t="s">
        <v>97</v>
      </c>
      <c r="Q72" s="313">
        <v>1810000</v>
      </c>
      <c r="R72" s="5" t="s">
        <v>218</v>
      </c>
    </row>
    <row r="73" spans="1:18" s="42" customFormat="1" ht="21" hidden="1" customHeight="1" x14ac:dyDescent="0.3">
      <c r="A73" s="1247"/>
      <c r="B73" s="38" t="s">
        <v>55</v>
      </c>
      <c r="C73" s="378" t="s">
        <v>219</v>
      </c>
      <c r="D73" s="379" t="s">
        <v>220</v>
      </c>
      <c r="E73" s="538" t="s">
        <v>221</v>
      </c>
      <c r="F73" s="216"/>
      <c r="G73" s="112">
        <v>3000000</v>
      </c>
      <c r="H73" s="112"/>
      <c r="I73" s="112"/>
      <c r="J73" s="112"/>
      <c r="K73" s="38">
        <f t="shared" si="4"/>
        <v>3000000</v>
      </c>
      <c r="L73" s="38"/>
      <c r="M73" s="380"/>
      <c r="N73" s="555"/>
      <c r="O73" s="183"/>
      <c r="P73" s="533"/>
      <c r="Q73" s="522">
        <f>SUM(Q67:Q72)</f>
        <v>23060000</v>
      </c>
    </row>
    <row r="74" spans="1:18" ht="21" hidden="1" customHeight="1" x14ac:dyDescent="0.3">
      <c r="A74" s="1247"/>
      <c r="B74" s="26" t="s">
        <v>59</v>
      </c>
      <c r="C74" s="109" t="s">
        <v>222</v>
      </c>
      <c r="D74" s="129" t="s">
        <v>51</v>
      </c>
      <c r="E74" s="111">
        <v>8157600</v>
      </c>
      <c r="F74" s="29">
        <v>8157600</v>
      </c>
      <c r="G74" s="111">
        <v>8157600</v>
      </c>
      <c r="H74" s="111"/>
      <c r="I74" s="111"/>
      <c r="J74" s="111"/>
      <c r="K74" s="26">
        <f t="shared" si="4"/>
        <v>8157600</v>
      </c>
      <c r="L74" s="26">
        <f>IF(F74="",E74-K74,F74-K74)</f>
        <v>0</v>
      </c>
      <c r="M74" s="115" t="s">
        <v>223</v>
      </c>
      <c r="N74" s="51"/>
      <c r="O74" s="192"/>
      <c r="P74" s="232"/>
      <c r="Q74" s="313"/>
    </row>
    <row r="75" spans="1:18" ht="21" hidden="1" customHeight="1" x14ac:dyDescent="0.3">
      <c r="A75" s="1247"/>
      <c r="B75" s="26" t="s">
        <v>63</v>
      </c>
      <c r="C75" s="109" t="s">
        <v>224</v>
      </c>
      <c r="D75" s="129" t="s">
        <v>225</v>
      </c>
      <c r="E75" s="111">
        <v>6900000</v>
      </c>
      <c r="F75" s="29"/>
      <c r="G75" s="111">
        <v>900000</v>
      </c>
      <c r="H75" s="111">
        <v>6000000</v>
      </c>
      <c r="I75" s="111"/>
      <c r="J75" s="111"/>
      <c r="K75" s="26">
        <f t="shared" si="4"/>
        <v>6900000</v>
      </c>
      <c r="L75" s="26">
        <f>IF(F75="",E75-K75,F75-K75)</f>
        <v>0</v>
      </c>
      <c r="M75" s="115"/>
      <c r="N75" s="51"/>
      <c r="O75" s="192"/>
      <c r="P75" s="232"/>
      <c r="Q75" s="313"/>
    </row>
    <row r="76" spans="1:18" ht="21" hidden="1" customHeight="1" x14ac:dyDescent="0.3">
      <c r="A76" s="1248"/>
      <c r="B76" s="26" t="s">
        <v>67</v>
      </c>
      <c r="C76" s="100" t="s">
        <v>123</v>
      </c>
      <c r="D76" s="155" t="s">
        <v>124</v>
      </c>
      <c r="E76" s="82">
        <f>G76/0.8</f>
        <v>26400000</v>
      </c>
      <c r="F76" s="1179"/>
      <c r="G76" s="82">
        <v>21120000</v>
      </c>
      <c r="H76" s="82"/>
      <c r="I76" s="82"/>
      <c r="J76" s="82"/>
      <c r="K76" s="26">
        <f t="shared" si="4"/>
        <v>21120000</v>
      </c>
      <c r="L76" s="26">
        <f>IF(F76="",E76-K76,F76-K76)</f>
        <v>5280000</v>
      </c>
      <c r="M76" s="133"/>
      <c r="N76" s="98"/>
      <c r="O76" s="235"/>
      <c r="P76" s="232"/>
      <c r="Q76" s="313"/>
    </row>
    <row r="77" spans="1:18" ht="21" hidden="1" customHeight="1" x14ac:dyDescent="0.3">
      <c r="A77" s="1248"/>
      <c r="B77" s="26" t="s">
        <v>72</v>
      </c>
      <c r="C77" s="100" t="s">
        <v>79</v>
      </c>
      <c r="D77" s="155" t="s">
        <v>226</v>
      </c>
      <c r="E77" s="82">
        <v>6550000</v>
      </c>
      <c r="F77" s="1179"/>
      <c r="G77" s="82">
        <v>3000000</v>
      </c>
      <c r="H77" s="82"/>
      <c r="I77" s="82"/>
      <c r="J77" s="82"/>
      <c r="K77" s="1172">
        <f t="shared" si="4"/>
        <v>3000000</v>
      </c>
      <c r="L77" s="26"/>
      <c r="M77" s="133"/>
      <c r="N77" s="98"/>
      <c r="O77" s="235"/>
      <c r="P77" s="232"/>
      <c r="Q77" s="313"/>
    </row>
    <row r="78" spans="1:18" ht="21" hidden="1" customHeight="1" x14ac:dyDescent="0.3">
      <c r="A78" s="1248"/>
      <c r="B78" s="26" t="s">
        <v>74</v>
      </c>
      <c r="C78" s="100" t="s">
        <v>227</v>
      </c>
      <c r="D78" s="155" t="s">
        <v>114</v>
      </c>
      <c r="E78" s="82">
        <v>13748000</v>
      </c>
      <c r="F78" s="1179"/>
      <c r="G78" s="82">
        <v>13748000</v>
      </c>
      <c r="H78" s="82"/>
      <c r="I78" s="82"/>
      <c r="J78" s="82"/>
      <c r="K78" s="26">
        <f t="shared" si="4"/>
        <v>13748000</v>
      </c>
      <c r="L78" s="26">
        <f t="shared" ref="L78:L93" si="6">IF(F78="",E78-K78,F78-K78)</f>
        <v>0</v>
      </c>
      <c r="M78" s="133"/>
      <c r="N78" s="98"/>
      <c r="O78" s="235"/>
      <c r="P78" s="232"/>
      <c r="Q78" s="313"/>
    </row>
    <row r="79" spans="1:18" ht="21" hidden="1" customHeight="1" x14ac:dyDescent="0.3">
      <c r="A79" s="1248"/>
      <c r="B79" s="26" t="s">
        <v>78</v>
      </c>
      <c r="C79" s="100" t="s">
        <v>228</v>
      </c>
      <c r="D79" s="155" t="s">
        <v>229</v>
      </c>
      <c r="E79" s="82">
        <v>31075000</v>
      </c>
      <c r="F79" s="1179">
        <v>33731500</v>
      </c>
      <c r="G79" s="82">
        <v>15537500</v>
      </c>
      <c r="H79" s="82">
        <v>18194000</v>
      </c>
      <c r="I79" s="82"/>
      <c r="J79" s="82"/>
      <c r="K79" s="26">
        <f t="shared" si="4"/>
        <v>33731500</v>
      </c>
      <c r="L79" s="26">
        <f t="shared" si="6"/>
        <v>0</v>
      </c>
      <c r="M79" s="133" t="s">
        <v>230</v>
      </c>
      <c r="N79" s="319" t="s">
        <v>231</v>
      </c>
      <c r="O79" s="235">
        <v>43879</v>
      </c>
      <c r="P79" s="232"/>
      <c r="Q79" s="313"/>
    </row>
    <row r="80" spans="1:18" ht="21" hidden="1" customHeight="1" x14ac:dyDescent="0.3">
      <c r="A80" s="1248"/>
      <c r="B80" s="26" t="s">
        <v>83</v>
      </c>
      <c r="C80" s="100" t="s">
        <v>232</v>
      </c>
      <c r="D80" s="155" t="s">
        <v>233</v>
      </c>
      <c r="E80" s="82">
        <v>10604075</v>
      </c>
      <c r="F80" s="1179">
        <v>12020000</v>
      </c>
      <c r="G80" s="82">
        <v>6000000</v>
      </c>
      <c r="H80" s="82">
        <v>6020000</v>
      </c>
      <c r="I80" s="82"/>
      <c r="J80" s="82"/>
      <c r="K80" s="26">
        <f t="shared" si="4"/>
        <v>12020000</v>
      </c>
      <c r="L80" s="26">
        <f t="shared" si="6"/>
        <v>0</v>
      </c>
      <c r="M80" s="133"/>
      <c r="N80" s="320"/>
      <c r="O80" s="235"/>
      <c r="P80" s="232"/>
      <c r="Q80" s="313"/>
    </row>
    <row r="81" spans="1:17" ht="21" hidden="1" customHeight="1" x14ac:dyDescent="0.3">
      <c r="A81" s="1248"/>
      <c r="B81" s="26" t="s">
        <v>91</v>
      </c>
      <c r="C81" s="100" t="s">
        <v>234</v>
      </c>
      <c r="D81" s="155" t="s">
        <v>235</v>
      </c>
      <c r="E81" s="82">
        <v>860000</v>
      </c>
      <c r="F81" s="1179"/>
      <c r="G81" s="82">
        <v>860000</v>
      </c>
      <c r="H81" s="82"/>
      <c r="I81" s="82"/>
      <c r="J81" s="82"/>
      <c r="K81" s="1172">
        <f t="shared" si="4"/>
        <v>860000</v>
      </c>
      <c r="L81" s="26">
        <f t="shared" si="6"/>
        <v>0</v>
      </c>
      <c r="M81" s="133"/>
      <c r="N81" s="98"/>
      <c r="O81" s="235"/>
      <c r="P81" s="232"/>
      <c r="Q81" s="313"/>
    </row>
    <row r="82" spans="1:17" ht="21" hidden="1" customHeight="1" x14ac:dyDescent="0.3">
      <c r="A82" s="1248"/>
      <c r="B82" s="26" t="s">
        <v>95</v>
      </c>
      <c r="C82" s="100" t="s">
        <v>236</v>
      </c>
      <c r="D82" s="155" t="s">
        <v>237</v>
      </c>
      <c r="E82" s="82">
        <v>9416000</v>
      </c>
      <c r="F82" s="1179"/>
      <c r="G82" s="82">
        <v>2000000</v>
      </c>
      <c r="H82" s="82">
        <v>7416000</v>
      </c>
      <c r="I82" s="82"/>
      <c r="J82" s="82"/>
      <c r="K82" s="1172">
        <f t="shared" si="4"/>
        <v>9416000</v>
      </c>
      <c r="L82" s="26">
        <f t="shared" si="6"/>
        <v>0</v>
      </c>
      <c r="M82" s="133"/>
      <c r="N82" s="98"/>
      <c r="O82" s="235"/>
      <c r="P82" s="232"/>
      <c r="Q82" s="313"/>
    </row>
    <row r="83" spans="1:17" ht="21" hidden="1" customHeight="1" x14ac:dyDescent="0.3">
      <c r="A83" s="1248"/>
      <c r="B83" s="26" t="s">
        <v>98</v>
      </c>
      <c r="C83" s="100" t="s">
        <v>238</v>
      </c>
      <c r="D83" s="155" t="s">
        <v>136</v>
      </c>
      <c r="E83" s="82">
        <v>1580000</v>
      </c>
      <c r="F83" s="1179"/>
      <c r="G83" s="82">
        <v>1580000</v>
      </c>
      <c r="H83" s="82"/>
      <c r="I83" s="82"/>
      <c r="J83" s="82"/>
      <c r="K83" s="1172">
        <f t="shared" si="4"/>
        <v>1580000</v>
      </c>
      <c r="L83" s="26">
        <f t="shared" si="6"/>
        <v>0</v>
      </c>
      <c r="M83" s="133"/>
      <c r="N83" s="98"/>
      <c r="O83" s="235"/>
      <c r="P83" s="232"/>
      <c r="Q83" s="313"/>
    </row>
    <row r="84" spans="1:17" s="42" customFormat="1" ht="21" hidden="1" customHeight="1" x14ac:dyDescent="0.3">
      <c r="A84" s="1248"/>
      <c r="B84" s="38" t="s">
        <v>102</v>
      </c>
      <c r="C84" s="527" t="s">
        <v>239</v>
      </c>
      <c r="D84" s="528" t="s">
        <v>240</v>
      </c>
      <c r="E84" s="529">
        <v>1705000</v>
      </c>
      <c r="F84" s="219"/>
      <c r="G84" s="529">
        <v>1705000</v>
      </c>
      <c r="H84" s="529"/>
      <c r="I84" s="529"/>
      <c r="J84" s="529"/>
      <c r="K84" s="97">
        <f t="shared" si="4"/>
        <v>1705000</v>
      </c>
      <c r="L84" s="38">
        <f t="shared" si="6"/>
        <v>0</v>
      </c>
      <c r="M84" s="530" t="s">
        <v>241</v>
      </c>
      <c r="N84" s="531"/>
      <c r="O84" s="532"/>
      <c r="P84" s="533"/>
      <c r="Q84" s="205"/>
    </row>
    <row r="85" spans="1:17" s="42" customFormat="1" ht="21" hidden="1" customHeight="1" x14ac:dyDescent="0.3">
      <c r="A85" s="1248"/>
      <c r="B85" s="38" t="s">
        <v>106</v>
      </c>
      <c r="C85" s="527" t="s">
        <v>118</v>
      </c>
      <c r="D85" s="528" t="s">
        <v>242</v>
      </c>
      <c r="E85" s="529">
        <v>107190000</v>
      </c>
      <c r="F85" s="219">
        <v>113881165</v>
      </c>
      <c r="G85" s="529">
        <v>40000000</v>
      </c>
      <c r="H85" s="529">
        <v>35033000</v>
      </c>
      <c r="I85" s="529">
        <v>38848164</v>
      </c>
      <c r="J85" s="529"/>
      <c r="K85" s="97">
        <f t="shared" si="4"/>
        <v>113881164</v>
      </c>
      <c r="L85" s="38"/>
      <c r="M85" s="530"/>
      <c r="N85" s="531"/>
      <c r="O85" s="532"/>
      <c r="P85" s="533"/>
      <c r="Q85" s="205"/>
    </row>
    <row r="86" spans="1:17" s="42" customFormat="1" ht="21" hidden="1" customHeight="1" x14ac:dyDescent="0.3">
      <c r="A86" s="1248"/>
      <c r="B86" s="38" t="s">
        <v>109</v>
      </c>
      <c r="C86" s="527" t="s">
        <v>243</v>
      </c>
      <c r="D86" s="528" t="s">
        <v>65</v>
      </c>
      <c r="E86" s="529">
        <v>1200000</v>
      </c>
      <c r="F86" s="219"/>
      <c r="G86" s="529">
        <v>1200000</v>
      </c>
      <c r="H86" s="529"/>
      <c r="I86" s="529"/>
      <c r="J86" s="529"/>
      <c r="K86" s="97">
        <f t="shared" si="4"/>
        <v>1200000</v>
      </c>
      <c r="L86" s="38">
        <f t="shared" si="6"/>
        <v>0</v>
      </c>
      <c r="M86" s="530"/>
      <c r="N86" s="531"/>
      <c r="O86" s="532"/>
      <c r="P86" s="533"/>
      <c r="Q86" s="205"/>
    </row>
    <row r="87" spans="1:17" s="42" customFormat="1" ht="21" hidden="1" customHeight="1" x14ac:dyDescent="0.3">
      <c r="A87" s="1248"/>
      <c r="B87" s="38" t="s">
        <v>112</v>
      </c>
      <c r="C87" s="527" t="s">
        <v>244</v>
      </c>
      <c r="D87" s="528" t="s">
        <v>240</v>
      </c>
      <c r="E87" s="529">
        <v>1705000</v>
      </c>
      <c r="F87" s="219"/>
      <c r="G87" s="529">
        <v>1705000</v>
      </c>
      <c r="H87" s="529"/>
      <c r="I87" s="529"/>
      <c r="J87" s="529"/>
      <c r="K87" s="97">
        <f t="shared" si="4"/>
        <v>1705000</v>
      </c>
      <c r="L87" s="38">
        <f t="shared" si="6"/>
        <v>0</v>
      </c>
      <c r="M87" s="530" t="s">
        <v>245</v>
      </c>
      <c r="N87" s="531"/>
      <c r="O87" s="532"/>
      <c r="P87" s="533"/>
      <c r="Q87" s="205"/>
    </row>
    <row r="88" spans="1:17" ht="21" hidden="1" customHeight="1" x14ac:dyDescent="0.3">
      <c r="A88" s="1248"/>
      <c r="B88" s="26" t="s">
        <v>115</v>
      </c>
      <c r="C88" s="100" t="s">
        <v>246</v>
      </c>
      <c r="D88" s="155" t="s">
        <v>247</v>
      </c>
      <c r="E88" s="82">
        <v>5500000</v>
      </c>
      <c r="F88" s="1179"/>
      <c r="G88" s="82">
        <v>4000000</v>
      </c>
      <c r="H88" s="82">
        <v>1500000</v>
      </c>
      <c r="I88" s="82"/>
      <c r="J88" s="82"/>
      <c r="K88" s="1172">
        <f t="shared" si="4"/>
        <v>5500000</v>
      </c>
      <c r="L88" s="26">
        <f t="shared" si="6"/>
        <v>0</v>
      </c>
      <c r="M88" s="133"/>
      <c r="N88" s="98"/>
      <c r="O88" s="235"/>
      <c r="P88" s="232"/>
      <c r="Q88" s="313"/>
    </row>
    <row r="89" spans="1:17" ht="21" hidden="1" customHeight="1" x14ac:dyDescent="0.3">
      <c r="A89" s="1248"/>
      <c r="B89" s="26" t="s">
        <v>117</v>
      </c>
      <c r="C89" s="100" t="s">
        <v>141</v>
      </c>
      <c r="D89" s="155" t="s">
        <v>142</v>
      </c>
      <c r="E89" s="82">
        <v>1430000</v>
      </c>
      <c r="F89" s="1179"/>
      <c r="G89" s="82">
        <v>1430000</v>
      </c>
      <c r="H89" s="82"/>
      <c r="I89" s="82"/>
      <c r="J89" s="82"/>
      <c r="K89" s="1172">
        <f t="shared" si="4"/>
        <v>1430000</v>
      </c>
      <c r="L89" s="26">
        <f t="shared" si="6"/>
        <v>0</v>
      </c>
      <c r="M89" s="133"/>
      <c r="N89" s="98"/>
      <c r="O89" s="235"/>
      <c r="P89" s="232"/>
      <c r="Q89" s="313"/>
    </row>
    <row r="90" spans="1:17" ht="21" hidden="1" customHeight="1" x14ac:dyDescent="0.3">
      <c r="A90" s="1248"/>
      <c r="B90" s="26" t="s">
        <v>120</v>
      </c>
      <c r="C90" s="100" t="s">
        <v>246</v>
      </c>
      <c r="D90" s="155" t="s">
        <v>248</v>
      </c>
      <c r="E90" s="82">
        <v>3696000</v>
      </c>
      <c r="F90" s="1179"/>
      <c r="G90" s="82">
        <v>3696000</v>
      </c>
      <c r="H90" s="82"/>
      <c r="I90" s="82"/>
      <c r="J90" s="82"/>
      <c r="K90" s="1172">
        <f t="shared" si="4"/>
        <v>3696000</v>
      </c>
      <c r="L90" s="26">
        <f t="shared" si="6"/>
        <v>0</v>
      </c>
      <c r="M90" s="133" t="s">
        <v>249</v>
      </c>
      <c r="N90" s="98"/>
      <c r="O90" s="235"/>
      <c r="P90" s="232"/>
      <c r="Q90" s="313"/>
    </row>
    <row r="91" spans="1:17" ht="21" hidden="1" customHeight="1" x14ac:dyDescent="0.3">
      <c r="A91" s="1248"/>
      <c r="B91" s="26" t="s">
        <v>122</v>
      </c>
      <c r="C91" s="100" t="s">
        <v>250</v>
      </c>
      <c r="D91" s="155" t="s">
        <v>251</v>
      </c>
      <c r="E91" s="82">
        <v>13760000</v>
      </c>
      <c r="F91" s="1179"/>
      <c r="G91" s="82">
        <v>13760000</v>
      </c>
      <c r="H91" s="82"/>
      <c r="I91" s="82"/>
      <c r="J91" s="82"/>
      <c r="K91" s="1172">
        <f t="shared" si="4"/>
        <v>13760000</v>
      </c>
      <c r="L91" s="26">
        <f t="shared" si="6"/>
        <v>0</v>
      </c>
      <c r="M91" s="133" t="s">
        <v>252</v>
      </c>
      <c r="N91" s="98"/>
      <c r="O91" s="235"/>
      <c r="P91" s="232"/>
      <c r="Q91" s="313"/>
    </row>
    <row r="92" spans="1:17" ht="21" hidden="1" customHeight="1" x14ac:dyDescent="0.3">
      <c r="A92" s="1248"/>
      <c r="B92" s="26" t="s">
        <v>125</v>
      </c>
      <c r="C92" s="100" t="s">
        <v>253</v>
      </c>
      <c r="D92" s="155" t="s">
        <v>162</v>
      </c>
      <c r="E92" s="82">
        <v>52400000</v>
      </c>
      <c r="F92" s="1179">
        <v>52400000</v>
      </c>
      <c r="G92" s="82">
        <v>40000000</v>
      </c>
      <c r="H92" s="82">
        <v>12400000</v>
      </c>
      <c r="I92" s="82"/>
      <c r="J92" s="82"/>
      <c r="K92" s="1172">
        <f t="shared" si="4"/>
        <v>52400000</v>
      </c>
      <c r="L92" s="26">
        <f t="shared" si="6"/>
        <v>0</v>
      </c>
      <c r="M92" s="133"/>
      <c r="N92" s="98"/>
      <c r="O92" s="235"/>
      <c r="P92" s="232"/>
      <c r="Q92" s="313"/>
    </row>
    <row r="93" spans="1:17" ht="21" hidden="1" customHeight="1" x14ac:dyDescent="0.3">
      <c r="A93" s="1248"/>
      <c r="B93" s="26" t="s">
        <v>128</v>
      </c>
      <c r="C93" s="100" t="s">
        <v>254</v>
      </c>
      <c r="D93" s="155" t="s">
        <v>255</v>
      </c>
      <c r="E93" s="82">
        <v>3850000</v>
      </c>
      <c r="F93" s="1179"/>
      <c r="G93" s="82">
        <v>3850000</v>
      </c>
      <c r="H93" s="82"/>
      <c r="I93" s="82"/>
      <c r="J93" s="82"/>
      <c r="K93" s="1172">
        <f t="shared" si="4"/>
        <v>3850000</v>
      </c>
      <c r="L93" s="26">
        <f t="shared" si="6"/>
        <v>0</v>
      </c>
      <c r="M93" s="133" t="s">
        <v>256</v>
      </c>
      <c r="N93" s="98"/>
      <c r="O93" s="235"/>
      <c r="P93" s="232"/>
      <c r="Q93" s="313"/>
    </row>
    <row r="94" spans="1:17" s="42" customFormat="1" ht="21" hidden="1" customHeight="1" x14ac:dyDescent="0.3">
      <c r="A94" s="1248"/>
      <c r="B94" s="38" t="s">
        <v>131</v>
      </c>
      <c r="C94" s="527" t="s">
        <v>257</v>
      </c>
      <c r="D94" s="528" t="s">
        <v>258</v>
      </c>
      <c r="E94" s="529" t="s">
        <v>259</v>
      </c>
      <c r="F94" s="219"/>
      <c r="G94" s="529">
        <v>28212987</v>
      </c>
      <c r="H94" s="529"/>
      <c r="I94" s="529"/>
      <c r="J94" s="529"/>
      <c r="K94" s="97">
        <f t="shared" si="4"/>
        <v>28212987</v>
      </c>
      <c r="L94" s="97"/>
      <c r="M94" s="530"/>
      <c r="N94" s="531"/>
      <c r="O94" s="532"/>
      <c r="P94" s="533"/>
      <c r="Q94" s="205"/>
    </row>
    <row r="95" spans="1:17" ht="21" hidden="1" customHeight="1" x14ac:dyDescent="0.3">
      <c r="A95" s="1248"/>
      <c r="B95" s="26" t="s">
        <v>134</v>
      </c>
      <c r="C95" s="100" t="s">
        <v>260</v>
      </c>
      <c r="D95" s="155" t="s">
        <v>173</v>
      </c>
      <c r="E95" s="82">
        <v>5000000</v>
      </c>
      <c r="F95" s="1179"/>
      <c r="G95" s="82">
        <v>5000000</v>
      </c>
      <c r="H95" s="82"/>
      <c r="I95" s="82"/>
      <c r="J95" s="82"/>
      <c r="K95" s="1172">
        <f t="shared" si="4"/>
        <v>5000000</v>
      </c>
      <c r="L95" s="1172"/>
      <c r="M95" s="133"/>
      <c r="N95" s="98"/>
      <c r="O95" s="235"/>
      <c r="P95" s="232"/>
      <c r="Q95" s="313"/>
    </row>
    <row r="96" spans="1:17" ht="21" hidden="1" customHeight="1" x14ac:dyDescent="0.3">
      <c r="A96" s="1248"/>
      <c r="B96" s="26" t="s">
        <v>137</v>
      </c>
      <c r="C96" s="100" t="s">
        <v>261</v>
      </c>
      <c r="D96" s="155" t="s">
        <v>262</v>
      </c>
      <c r="E96" s="82">
        <v>2530000</v>
      </c>
      <c r="F96" s="1179"/>
      <c r="G96" s="82">
        <v>2530000</v>
      </c>
      <c r="H96" s="82"/>
      <c r="I96" s="82"/>
      <c r="J96" s="82"/>
      <c r="K96" s="1172">
        <f t="shared" si="4"/>
        <v>2530000</v>
      </c>
      <c r="L96" s="26">
        <f>IF(F96="",E96-K96,F96-K96)</f>
        <v>0</v>
      </c>
      <c r="M96" s="133" t="s">
        <v>47</v>
      </c>
      <c r="N96" s="98"/>
      <c r="O96" s="235"/>
      <c r="P96" s="232"/>
      <c r="Q96" s="313"/>
    </row>
    <row r="97" spans="1:17" ht="21" hidden="1" customHeight="1" x14ac:dyDescent="0.3">
      <c r="A97" s="1248"/>
      <c r="B97" s="26" t="s">
        <v>140</v>
      </c>
      <c r="C97" s="100" t="s">
        <v>170</v>
      </c>
      <c r="D97" s="504" t="s">
        <v>171</v>
      </c>
      <c r="E97" s="82"/>
      <c r="F97" s="1179">
        <v>122019300</v>
      </c>
      <c r="G97" s="82">
        <v>122019300</v>
      </c>
      <c r="H97" s="82"/>
      <c r="I97" s="82"/>
      <c r="J97" s="82"/>
      <c r="K97" s="1172">
        <f t="shared" si="4"/>
        <v>122019300</v>
      </c>
      <c r="L97" s="26">
        <f>IF(F97="",E97-K97,F97-K97)</f>
        <v>0</v>
      </c>
      <c r="M97" s="133"/>
      <c r="N97" s="98"/>
      <c r="O97" s="235"/>
      <c r="P97" s="232"/>
      <c r="Q97" s="313"/>
    </row>
    <row r="98" spans="1:17" ht="21" hidden="1" customHeight="1" x14ac:dyDescent="0.3">
      <c r="A98" s="1248"/>
      <c r="B98" s="26" t="s">
        <v>144</v>
      </c>
      <c r="C98" s="527" t="s">
        <v>257</v>
      </c>
      <c r="D98" s="504" t="s">
        <v>263</v>
      </c>
      <c r="E98" s="82"/>
      <c r="F98" s="1179"/>
      <c r="G98" s="82">
        <v>7753000</v>
      </c>
      <c r="H98" s="82"/>
      <c r="I98" s="82"/>
      <c r="J98" s="82"/>
      <c r="K98" s="1172">
        <f t="shared" si="4"/>
        <v>7753000</v>
      </c>
      <c r="L98" s="26"/>
      <c r="M98" s="133"/>
      <c r="N98" s="98"/>
      <c r="O98" s="235"/>
      <c r="P98" s="232"/>
      <c r="Q98" s="313"/>
    </row>
    <row r="99" spans="1:17" ht="21" hidden="1" customHeight="1" x14ac:dyDescent="0.3">
      <c r="A99" s="1248"/>
      <c r="B99" s="26" t="s">
        <v>147</v>
      </c>
      <c r="C99" s="527" t="s">
        <v>264</v>
      </c>
      <c r="D99" s="504" t="s">
        <v>265</v>
      </c>
      <c r="E99" s="82">
        <v>41850000</v>
      </c>
      <c r="F99" s="1179"/>
      <c r="G99" s="82">
        <v>41850000</v>
      </c>
      <c r="H99" s="82"/>
      <c r="I99" s="82"/>
      <c r="J99" s="82"/>
      <c r="K99" s="1172">
        <f>SUM(G99:J99)</f>
        <v>41850000</v>
      </c>
      <c r="L99" s="26"/>
      <c r="M99" s="133"/>
      <c r="N99" s="98"/>
      <c r="O99" s="235"/>
      <c r="P99" s="232"/>
      <c r="Q99" s="313"/>
    </row>
    <row r="100" spans="1:17" s="52" customFormat="1" ht="21" hidden="1" customHeight="1" x14ac:dyDescent="0.3">
      <c r="A100" s="1248"/>
      <c r="B100" s="26">
        <v>40</v>
      </c>
      <c r="C100" s="53" t="s">
        <v>192</v>
      </c>
      <c r="D100" s="524"/>
      <c r="E100" s="1179"/>
      <c r="F100" s="1179"/>
      <c r="G100" s="1179">
        <f>Q73</f>
        <v>23060000</v>
      </c>
      <c r="H100" s="1179"/>
      <c r="I100" s="1179"/>
      <c r="J100" s="1179"/>
      <c r="K100" s="1179">
        <f t="shared" si="4"/>
        <v>23060000</v>
      </c>
      <c r="L100" s="29"/>
      <c r="M100" s="98"/>
      <c r="N100" s="98"/>
      <c r="O100" s="525"/>
      <c r="P100" s="526"/>
      <c r="Q100" s="523"/>
    </row>
    <row r="101" spans="1:17" ht="21" hidden="1" customHeight="1" thickBot="1" x14ac:dyDescent="0.35">
      <c r="A101" s="1249"/>
      <c r="B101" s="193"/>
      <c r="C101" s="193"/>
      <c r="D101" s="193"/>
      <c r="E101" s="193"/>
      <c r="F101" s="217"/>
      <c r="G101" s="193"/>
      <c r="H101" s="193"/>
      <c r="I101" s="193"/>
      <c r="J101" s="193"/>
      <c r="K101" s="287">
        <f>SUM(K62:K100)</f>
        <v>1211602806</v>
      </c>
      <c r="L101" s="287">
        <f>SUM(L62:L100)</f>
        <v>54020625</v>
      </c>
      <c r="M101" s="186"/>
      <c r="N101" s="186"/>
      <c r="O101" s="187"/>
    </row>
    <row r="102" spans="1:17" ht="21.75" hidden="1" customHeight="1" thickTop="1" x14ac:dyDescent="0.3">
      <c r="A102" s="1198" t="s">
        <v>266</v>
      </c>
      <c r="B102" s="19" t="s">
        <v>194</v>
      </c>
      <c r="C102" s="20" t="s">
        <v>107</v>
      </c>
      <c r="D102" s="21" t="s">
        <v>267</v>
      </c>
      <c r="E102" s="19">
        <v>14196600</v>
      </c>
      <c r="F102" s="22"/>
      <c r="G102" s="19">
        <v>10000000</v>
      </c>
      <c r="H102" s="19"/>
      <c r="I102" s="19"/>
      <c r="J102" s="19"/>
      <c r="K102" s="19">
        <f>SUM(G102:J102)</f>
        <v>10000000</v>
      </c>
      <c r="L102" s="19">
        <f>IF(F102="",E102-K102,F102-K102)</f>
        <v>4196600</v>
      </c>
      <c r="M102" s="23"/>
      <c r="N102" s="24"/>
      <c r="O102" s="25"/>
    </row>
    <row r="103" spans="1:17" ht="21.75" hidden="1" customHeight="1" x14ac:dyDescent="0.3">
      <c r="A103" s="1199"/>
      <c r="B103" s="26" t="s">
        <v>196</v>
      </c>
      <c r="C103" s="27" t="s">
        <v>31</v>
      </c>
      <c r="D103" s="28" t="s">
        <v>268</v>
      </c>
      <c r="E103" s="26">
        <v>122220740</v>
      </c>
      <c r="F103" s="29">
        <f>81706000-700000</f>
        <v>81006000</v>
      </c>
      <c r="G103" s="26">
        <v>28824830</v>
      </c>
      <c r="H103" s="26">
        <v>29086770</v>
      </c>
      <c r="I103" s="26">
        <v>15623700</v>
      </c>
      <c r="J103" s="26">
        <v>7470700</v>
      </c>
      <c r="K103" s="26">
        <f>SUM(G103:J103)</f>
        <v>81006000</v>
      </c>
      <c r="L103" s="26">
        <f>IF(F103="",E103-K103,F103-K103)</f>
        <v>0</v>
      </c>
      <c r="M103" s="30"/>
      <c r="N103" s="31"/>
      <c r="O103" s="32"/>
    </row>
    <row r="104" spans="1:17" ht="21.75" hidden="1" customHeight="1" x14ac:dyDescent="0.3">
      <c r="A104" s="1199"/>
      <c r="B104" s="26" t="s">
        <v>20</v>
      </c>
      <c r="C104" s="27" t="s">
        <v>118</v>
      </c>
      <c r="D104" s="1239" t="s">
        <v>269</v>
      </c>
      <c r="E104" s="26">
        <v>179331900</v>
      </c>
      <c r="F104" s="1241">
        <f>194996044-1350000-300000</f>
        <v>193346044</v>
      </c>
      <c r="G104" s="1192">
        <v>53800000</v>
      </c>
      <c r="H104" s="1192">
        <v>71700000</v>
      </c>
      <c r="I104" s="1192">
        <v>67846044</v>
      </c>
      <c r="J104" s="26"/>
      <c r="K104" s="1192">
        <f>SUM(G104:J104)</f>
        <v>193346044</v>
      </c>
      <c r="L104" s="1192">
        <f>IF(F104="",E104-K104,F104-K104)</f>
        <v>0</v>
      </c>
      <c r="M104" s="30"/>
      <c r="N104" s="31"/>
      <c r="O104" s="32"/>
    </row>
    <row r="105" spans="1:17" ht="21.75" hidden="1" customHeight="1" x14ac:dyDescent="0.3">
      <c r="A105" s="1199"/>
      <c r="B105" s="26" t="s">
        <v>24</v>
      </c>
      <c r="C105" s="27" t="s">
        <v>270</v>
      </c>
      <c r="D105" s="1240"/>
      <c r="E105" s="26">
        <v>13011000</v>
      </c>
      <c r="F105" s="1242"/>
      <c r="G105" s="1193"/>
      <c r="H105" s="1193"/>
      <c r="I105" s="1193"/>
      <c r="J105" s="26"/>
      <c r="K105" s="1193"/>
      <c r="L105" s="1193"/>
      <c r="M105" s="30"/>
      <c r="N105" s="33"/>
      <c r="O105" s="32"/>
    </row>
    <row r="106" spans="1:17" ht="21.75" hidden="1" customHeight="1" x14ac:dyDescent="0.3">
      <c r="A106" s="1199"/>
      <c r="B106" s="26" t="s">
        <v>26</v>
      </c>
      <c r="C106" s="27" t="s">
        <v>213</v>
      </c>
      <c r="D106" s="28" t="s">
        <v>271</v>
      </c>
      <c r="E106" s="26">
        <v>116250000</v>
      </c>
      <c r="F106" s="1179">
        <f>134448100-2250000-450000</f>
        <v>131748100</v>
      </c>
      <c r="G106" s="26">
        <v>34875000</v>
      </c>
      <c r="H106" s="26">
        <v>46500000</v>
      </c>
      <c r="I106" s="26">
        <v>40000000</v>
      </c>
      <c r="J106" s="26">
        <v>10373100</v>
      </c>
      <c r="K106" s="26">
        <f t="shared" ref="K106:K115" si="7">SUM(G106:J106)</f>
        <v>131748100</v>
      </c>
      <c r="L106" s="26">
        <f t="shared" ref="L106:L115" si="8">IF(F106="",E106-K106,F106-K106)</f>
        <v>0</v>
      </c>
      <c r="M106" s="30"/>
      <c r="N106" s="33"/>
      <c r="O106" s="32"/>
    </row>
    <row r="107" spans="1:17" ht="21.75" hidden="1" customHeight="1" x14ac:dyDescent="0.3">
      <c r="A107" s="1199"/>
      <c r="B107" s="26" t="s">
        <v>28</v>
      </c>
      <c r="C107" s="27" t="s">
        <v>261</v>
      </c>
      <c r="D107" s="28" t="s">
        <v>262</v>
      </c>
      <c r="E107" s="26">
        <v>10610000</v>
      </c>
      <c r="F107" s="1179">
        <f>10884500</f>
        <v>10884500</v>
      </c>
      <c r="G107" s="26">
        <v>10884500</v>
      </c>
      <c r="H107" s="26"/>
      <c r="I107" s="26"/>
      <c r="J107" s="26"/>
      <c r="K107" s="26">
        <f t="shared" si="7"/>
        <v>10884500</v>
      </c>
      <c r="L107" s="26">
        <f t="shared" si="8"/>
        <v>0</v>
      </c>
      <c r="M107" s="34" t="s">
        <v>47</v>
      </c>
      <c r="N107" s="33"/>
      <c r="O107" s="32"/>
    </row>
    <row r="108" spans="1:17" ht="21.75" hidden="1" customHeight="1" x14ac:dyDescent="0.3">
      <c r="A108" s="1199"/>
      <c r="B108" s="26" t="s">
        <v>33</v>
      </c>
      <c r="C108" s="27" t="s">
        <v>272</v>
      </c>
      <c r="D108" s="28" t="s">
        <v>273</v>
      </c>
      <c r="E108" s="26">
        <v>77400000</v>
      </c>
      <c r="F108" s="1179">
        <f>63960000-300000</f>
        <v>63660000</v>
      </c>
      <c r="G108" s="26">
        <v>38700000</v>
      </c>
      <c r="H108" s="26">
        <v>24960000</v>
      </c>
      <c r="I108" s="26"/>
      <c r="J108" s="26"/>
      <c r="K108" s="26">
        <f t="shared" si="7"/>
        <v>63660000</v>
      </c>
      <c r="L108" s="26">
        <f t="shared" si="8"/>
        <v>0</v>
      </c>
      <c r="M108" s="34"/>
      <c r="N108" s="33"/>
      <c r="O108" s="32"/>
    </row>
    <row r="109" spans="1:17" ht="21.75" hidden="1" customHeight="1" x14ac:dyDescent="0.3">
      <c r="A109" s="1199"/>
      <c r="B109" s="26" t="s">
        <v>39</v>
      </c>
      <c r="C109" s="27" t="s">
        <v>164</v>
      </c>
      <c r="D109" s="28" t="s">
        <v>173</v>
      </c>
      <c r="E109" s="26">
        <v>52159200</v>
      </c>
      <c r="F109" s="1179">
        <f>52359200-600000</f>
        <v>51759200</v>
      </c>
      <c r="G109" s="26">
        <v>20863680</v>
      </c>
      <c r="H109" s="26">
        <v>30895520</v>
      </c>
      <c r="I109" s="26"/>
      <c r="J109" s="26"/>
      <c r="K109" s="26">
        <f t="shared" si="7"/>
        <v>51759200</v>
      </c>
      <c r="L109" s="26">
        <f t="shared" si="8"/>
        <v>0</v>
      </c>
      <c r="M109" s="34"/>
      <c r="N109" s="33"/>
      <c r="O109" s="32"/>
    </row>
    <row r="110" spans="1:17" ht="21.75" hidden="1" customHeight="1" x14ac:dyDescent="0.3">
      <c r="A110" s="1199"/>
      <c r="B110" s="26" t="s">
        <v>44</v>
      </c>
      <c r="C110" s="27" t="s">
        <v>92</v>
      </c>
      <c r="D110" s="28" t="s">
        <v>35</v>
      </c>
      <c r="E110" s="26">
        <f>G110/0.3</f>
        <v>209336600</v>
      </c>
      <c r="F110" s="1179">
        <f>210906168-1200000</f>
        <v>209706168</v>
      </c>
      <c r="G110" s="26">
        <v>62800980</v>
      </c>
      <c r="H110" s="26">
        <v>83734640</v>
      </c>
      <c r="I110" s="26">
        <v>63170548</v>
      </c>
      <c r="J110" s="26"/>
      <c r="K110" s="26">
        <f t="shared" si="7"/>
        <v>209706168</v>
      </c>
      <c r="L110" s="26">
        <f t="shared" si="8"/>
        <v>0</v>
      </c>
      <c r="M110" s="34" t="s">
        <v>274</v>
      </c>
      <c r="N110" s="33" t="s">
        <v>275</v>
      </c>
      <c r="O110" s="35">
        <v>43775</v>
      </c>
    </row>
    <row r="111" spans="1:17" ht="21.75" hidden="1" customHeight="1" x14ac:dyDescent="0.3">
      <c r="A111" s="1199"/>
      <c r="B111" s="26" t="s">
        <v>49</v>
      </c>
      <c r="C111" s="27" t="s">
        <v>92</v>
      </c>
      <c r="D111" s="28" t="s">
        <v>204</v>
      </c>
      <c r="E111" s="26">
        <v>12882800</v>
      </c>
      <c r="F111" s="1179"/>
      <c r="G111" s="26"/>
      <c r="H111" s="26"/>
      <c r="I111" s="26"/>
      <c r="J111" s="26"/>
      <c r="K111" s="26">
        <f t="shared" si="7"/>
        <v>0</v>
      </c>
      <c r="L111" s="26">
        <f t="shared" si="8"/>
        <v>12882800</v>
      </c>
      <c r="M111" s="34"/>
      <c r="N111" s="33"/>
      <c r="O111" s="35"/>
    </row>
    <row r="112" spans="1:17" ht="21.75" hidden="1" customHeight="1" x14ac:dyDescent="0.3">
      <c r="A112" s="1199"/>
      <c r="B112" s="26" t="s">
        <v>55</v>
      </c>
      <c r="C112" s="27" t="s">
        <v>276</v>
      </c>
      <c r="D112" s="28" t="s">
        <v>204</v>
      </c>
      <c r="E112" s="26">
        <v>1000000</v>
      </c>
      <c r="F112" s="1179"/>
      <c r="G112" s="26"/>
      <c r="H112" s="26"/>
      <c r="I112" s="26"/>
      <c r="J112" s="26"/>
      <c r="K112" s="26">
        <f t="shared" si="7"/>
        <v>0</v>
      </c>
      <c r="L112" s="26">
        <f t="shared" si="8"/>
        <v>1000000</v>
      </c>
      <c r="M112" s="34"/>
      <c r="N112" s="33"/>
      <c r="O112" s="35"/>
    </row>
    <row r="113" spans="1:17" s="42" customFormat="1" ht="21.75" hidden="1" customHeight="1" x14ac:dyDescent="0.3">
      <c r="A113" s="1199"/>
      <c r="B113" s="26" t="s">
        <v>59</v>
      </c>
      <c r="C113" s="36" t="s">
        <v>50</v>
      </c>
      <c r="D113" s="37" t="s">
        <v>277</v>
      </c>
      <c r="E113" s="38">
        <v>12495000</v>
      </c>
      <c r="F113" s="219"/>
      <c r="G113" s="38">
        <v>12495000</v>
      </c>
      <c r="H113" s="38"/>
      <c r="I113" s="38"/>
      <c r="J113" s="38"/>
      <c r="K113" s="26">
        <f t="shared" si="7"/>
        <v>12495000</v>
      </c>
      <c r="L113" s="26">
        <f t="shared" si="8"/>
        <v>0</v>
      </c>
      <c r="M113" s="39" t="s">
        <v>47</v>
      </c>
      <c r="N113" s="40"/>
      <c r="O113" s="41"/>
      <c r="Q113" s="208"/>
    </row>
    <row r="114" spans="1:17" ht="21.75" hidden="1" customHeight="1" x14ac:dyDescent="0.3">
      <c r="A114" s="1199"/>
      <c r="B114" s="26" t="s">
        <v>63</v>
      </c>
      <c r="C114" s="27" t="s">
        <v>118</v>
      </c>
      <c r="D114" s="28" t="s">
        <v>114</v>
      </c>
      <c r="E114" s="26">
        <v>28998000</v>
      </c>
      <c r="F114" s="29">
        <v>28998000</v>
      </c>
      <c r="G114" s="26">
        <v>28998000</v>
      </c>
      <c r="H114" s="26"/>
      <c r="I114" s="26"/>
      <c r="J114" s="26"/>
      <c r="K114" s="26">
        <f t="shared" si="7"/>
        <v>28998000</v>
      </c>
      <c r="L114" s="26">
        <f t="shared" si="8"/>
        <v>0</v>
      </c>
      <c r="M114" s="34"/>
      <c r="N114" s="33"/>
      <c r="O114" s="32"/>
    </row>
    <row r="115" spans="1:17" ht="29.25" hidden="1" customHeight="1" x14ac:dyDescent="0.3">
      <c r="A115" s="1199"/>
      <c r="B115" s="26" t="s">
        <v>67</v>
      </c>
      <c r="C115" s="27" t="s">
        <v>278</v>
      </c>
      <c r="D115" s="28" t="s">
        <v>100</v>
      </c>
      <c r="E115" s="26">
        <v>739816000</v>
      </c>
      <c r="F115" s="1250">
        <v>1002753400</v>
      </c>
      <c r="G115" s="1192">
        <v>221944800</v>
      </c>
      <c r="H115" s="1192">
        <v>295926400</v>
      </c>
      <c r="I115" s="1192">
        <v>234745200</v>
      </c>
      <c r="J115" s="1192">
        <v>200000000</v>
      </c>
      <c r="K115" s="1192">
        <f t="shared" si="7"/>
        <v>952616400</v>
      </c>
      <c r="L115" s="1194">
        <f t="shared" si="8"/>
        <v>50137000</v>
      </c>
      <c r="M115" s="43" t="s">
        <v>279</v>
      </c>
      <c r="N115" s="33" t="s">
        <v>280</v>
      </c>
      <c r="O115" s="35">
        <v>43770</v>
      </c>
    </row>
    <row r="116" spans="1:17" ht="21.75" hidden="1" customHeight="1" x14ac:dyDescent="0.3">
      <c r="A116" s="1199"/>
      <c r="B116" s="26" t="s">
        <v>72</v>
      </c>
      <c r="C116" s="27" t="s">
        <v>281</v>
      </c>
      <c r="D116" s="28" t="s">
        <v>100</v>
      </c>
      <c r="E116" s="26">
        <v>166760000</v>
      </c>
      <c r="F116" s="1210"/>
      <c r="G116" s="1193"/>
      <c r="H116" s="1193"/>
      <c r="I116" s="1193"/>
      <c r="J116" s="1193"/>
      <c r="K116" s="1193"/>
      <c r="L116" s="1195"/>
      <c r="M116" s="44" t="s">
        <v>47</v>
      </c>
      <c r="N116" s="33" t="s">
        <v>282</v>
      </c>
      <c r="O116" s="35">
        <v>43797</v>
      </c>
    </row>
    <row r="117" spans="1:17" ht="21.75" hidden="1" customHeight="1" x14ac:dyDescent="0.3">
      <c r="A117" s="1199"/>
      <c r="B117" s="26" t="s">
        <v>74</v>
      </c>
      <c r="C117" s="27" t="s">
        <v>283</v>
      </c>
      <c r="D117" s="28" t="s">
        <v>284</v>
      </c>
      <c r="E117" s="26">
        <v>9472000</v>
      </c>
      <c r="F117" s="29">
        <v>9472000</v>
      </c>
      <c r="G117" s="26">
        <v>9472000</v>
      </c>
      <c r="H117" s="26"/>
      <c r="I117" s="26"/>
      <c r="J117" s="26"/>
      <c r="K117" s="1172">
        <f t="shared" ref="K117:K139" si="9">SUM(G117:J117)</f>
        <v>9472000</v>
      </c>
      <c r="L117" s="26">
        <f>IF(F117="",E117-K117,F117-K117)</f>
        <v>0</v>
      </c>
      <c r="M117" s="44"/>
      <c r="N117" s="33"/>
      <c r="O117" s="32"/>
      <c r="Q117" s="5"/>
    </row>
    <row r="118" spans="1:17" ht="21.75" hidden="1" customHeight="1" x14ac:dyDescent="0.3">
      <c r="A118" s="1199"/>
      <c r="B118" s="26" t="s">
        <v>78</v>
      </c>
      <c r="C118" s="45" t="s">
        <v>285</v>
      </c>
      <c r="D118" s="46" t="s">
        <v>286</v>
      </c>
      <c r="E118" s="26"/>
      <c r="F118" s="1179"/>
      <c r="G118" s="26">
        <v>6573000</v>
      </c>
      <c r="H118" s="26"/>
      <c r="I118" s="26"/>
      <c r="J118" s="26"/>
      <c r="K118" s="1172">
        <f t="shared" si="9"/>
        <v>6573000</v>
      </c>
      <c r="L118" s="26"/>
      <c r="M118" s="44"/>
      <c r="N118" s="33"/>
      <c r="O118" s="32"/>
      <c r="Q118" s="5"/>
    </row>
    <row r="119" spans="1:17" ht="21.75" hidden="1" customHeight="1" x14ac:dyDescent="0.3">
      <c r="A119" s="1199"/>
      <c r="B119" s="26" t="s">
        <v>87</v>
      </c>
      <c r="C119" s="27" t="s">
        <v>287</v>
      </c>
      <c r="D119" s="46" t="s">
        <v>288</v>
      </c>
      <c r="E119" s="26">
        <v>1220000</v>
      </c>
      <c r="F119" s="29">
        <v>1220000</v>
      </c>
      <c r="G119" s="26">
        <v>1220000</v>
      </c>
      <c r="H119" s="26"/>
      <c r="I119" s="26"/>
      <c r="J119" s="26"/>
      <c r="K119" s="1172">
        <f t="shared" si="9"/>
        <v>1220000</v>
      </c>
      <c r="L119" s="26">
        <f>IF(F119="",E119-K119,F119-K119)</f>
        <v>0</v>
      </c>
      <c r="M119" s="44"/>
      <c r="N119" s="33"/>
      <c r="O119" s="32"/>
      <c r="Q119" s="5"/>
    </row>
    <row r="120" spans="1:17" ht="21.75" hidden="1" customHeight="1" x14ac:dyDescent="0.3">
      <c r="A120" s="1199"/>
      <c r="B120" s="26" t="s">
        <v>91</v>
      </c>
      <c r="C120" s="27" t="s">
        <v>289</v>
      </c>
      <c r="D120" s="46"/>
      <c r="E120" s="26">
        <v>14831735</v>
      </c>
      <c r="F120" s="1179"/>
      <c r="G120" s="26">
        <v>14831735</v>
      </c>
      <c r="H120" s="26"/>
      <c r="I120" s="26"/>
      <c r="J120" s="26"/>
      <c r="K120" s="1172">
        <f t="shared" si="9"/>
        <v>14831735</v>
      </c>
      <c r="L120" s="26">
        <f>IF(F120="",E120-K120,F120-K120)</f>
        <v>0</v>
      </c>
      <c r="M120" s="44"/>
      <c r="N120" s="33"/>
      <c r="O120" s="32"/>
      <c r="Q120" s="5"/>
    </row>
    <row r="121" spans="1:17" ht="21.75" hidden="1" customHeight="1" x14ac:dyDescent="0.3">
      <c r="A121" s="1199"/>
      <c r="B121" s="26" t="s">
        <v>95</v>
      </c>
      <c r="C121" s="27" t="s">
        <v>170</v>
      </c>
      <c r="D121" s="46" t="s">
        <v>146</v>
      </c>
      <c r="E121" s="26">
        <v>2833000</v>
      </c>
      <c r="F121" s="1179"/>
      <c r="G121" s="26">
        <v>2833000</v>
      </c>
      <c r="H121" s="26"/>
      <c r="I121" s="26"/>
      <c r="J121" s="26"/>
      <c r="K121" s="1172">
        <f t="shared" si="9"/>
        <v>2833000</v>
      </c>
      <c r="L121" s="26">
        <f>IF(F121="",E121-K121,F121-K121)</f>
        <v>0</v>
      </c>
      <c r="M121" s="44"/>
      <c r="N121" s="33"/>
      <c r="O121" s="32"/>
      <c r="Q121" s="5"/>
    </row>
    <row r="122" spans="1:17" ht="21.75" hidden="1" customHeight="1" x14ac:dyDescent="0.3">
      <c r="A122" s="1199"/>
      <c r="B122" s="26" t="s">
        <v>98</v>
      </c>
      <c r="C122" s="27" t="s">
        <v>236</v>
      </c>
      <c r="D122" s="46" t="s">
        <v>290</v>
      </c>
      <c r="E122" s="26">
        <v>13684000</v>
      </c>
      <c r="F122" s="1179"/>
      <c r="G122" s="26">
        <v>1000000</v>
      </c>
      <c r="H122" s="26"/>
      <c r="I122" s="26"/>
      <c r="J122" s="26"/>
      <c r="K122" s="1172">
        <f t="shared" si="9"/>
        <v>1000000</v>
      </c>
      <c r="L122" s="26">
        <f>IF(F122="",E122-K122,F122-K122)</f>
        <v>12684000</v>
      </c>
      <c r="M122" s="44" t="s">
        <v>47</v>
      </c>
      <c r="N122" s="33"/>
      <c r="O122" s="32"/>
      <c r="Q122" s="5"/>
    </row>
    <row r="123" spans="1:17" ht="21.75" hidden="1" customHeight="1" x14ac:dyDescent="0.3">
      <c r="A123" s="1199"/>
      <c r="B123" s="26" t="s">
        <v>102</v>
      </c>
      <c r="C123" s="2" t="s">
        <v>291</v>
      </c>
      <c r="D123" s="46" t="s">
        <v>286</v>
      </c>
      <c r="E123" s="26"/>
      <c r="F123" s="1179"/>
      <c r="G123" s="26">
        <v>1100000</v>
      </c>
      <c r="H123" s="26"/>
      <c r="I123" s="26"/>
      <c r="J123" s="26"/>
      <c r="K123" s="1172">
        <f t="shared" si="9"/>
        <v>1100000</v>
      </c>
      <c r="L123" s="26"/>
      <c r="M123" s="44"/>
      <c r="N123" s="33"/>
      <c r="O123" s="32"/>
      <c r="Q123" s="5"/>
    </row>
    <row r="124" spans="1:17" ht="21.75" hidden="1" customHeight="1" x14ac:dyDescent="0.3">
      <c r="A124" s="1199"/>
      <c r="B124" s="26" t="s">
        <v>106</v>
      </c>
      <c r="C124" s="2" t="s">
        <v>292</v>
      </c>
      <c r="D124" s="46" t="s">
        <v>104</v>
      </c>
      <c r="E124" s="26">
        <v>21000000</v>
      </c>
      <c r="F124" s="1179">
        <f>21000000-600000</f>
        <v>20400000</v>
      </c>
      <c r="G124" s="26">
        <v>12600000</v>
      </c>
      <c r="H124" s="26">
        <v>7800000</v>
      </c>
      <c r="I124" s="26"/>
      <c r="J124" s="26"/>
      <c r="K124" s="1172">
        <f t="shared" si="9"/>
        <v>20400000</v>
      </c>
      <c r="L124" s="26">
        <f>IF(F124="",E124-K124,F124-K124)</f>
        <v>0</v>
      </c>
      <c r="M124" s="44"/>
      <c r="N124" s="33"/>
      <c r="O124" s="32"/>
      <c r="Q124" s="5"/>
    </row>
    <row r="125" spans="1:17" ht="27" hidden="1" customHeight="1" x14ac:dyDescent="0.3">
      <c r="A125" s="1199"/>
      <c r="B125" s="26" t="s">
        <v>109</v>
      </c>
      <c r="C125" s="2" t="s">
        <v>293</v>
      </c>
      <c r="D125" s="46" t="s">
        <v>284</v>
      </c>
      <c r="E125" s="26"/>
      <c r="F125" s="1179"/>
      <c r="G125" s="26">
        <v>3860000</v>
      </c>
      <c r="H125" s="26"/>
      <c r="I125" s="26"/>
      <c r="J125" s="26"/>
      <c r="K125" s="1172">
        <f t="shared" si="9"/>
        <v>3860000</v>
      </c>
      <c r="L125" s="26"/>
      <c r="M125" s="44"/>
      <c r="N125" s="33"/>
      <c r="O125" s="32"/>
      <c r="Q125" s="5"/>
    </row>
    <row r="126" spans="1:17" ht="21.75" hidden="1" customHeight="1" x14ac:dyDescent="0.3">
      <c r="A126" s="1199"/>
      <c r="B126" s="26" t="s">
        <v>112</v>
      </c>
      <c r="C126" s="2" t="s">
        <v>294</v>
      </c>
      <c r="D126" s="46" t="s">
        <v>173</v>
      </c>
      <c r="E126" s="26">
        <v>12080000</v>
      </c>
      <c r="F126" s="1179"/>
      <c r="G126" s="26"/>
      <c r="H126" s="26"/>
      <c r="I126" s="26"/>
      <c r="J126" s="26"/>
      <c r="K126" s="1172">
        <f t="shared" si="9"/>
        <v>0</v>
      </c>
      <c r="L126" s="26">
        <f>IF(F126="",E126-K126,F126-K126)</f>
        <v>12080000</v>
      </c>
      <c r="M126" s="44"/>
      <c r="N126" s="33"/>
      <c r="O126" s="32"/>
      <c r="Q126" s="5"/>
    </row>
    <row r="127" spans="1:17" ht="21.75" hidden="1" customHeight="1" x14ac:dyDescent="0.3">
      <c r="A127" s="1199"/>
      <c r="B127" s="26" t="s">
        <v>115</v>
      </c>
      <c r="C127" s="2" t="s">
        <v>295</v>
      </c>
      <c r="D127" s="46" t="s">
        <v>173</v>
      </c>
      <c r="E127" s="26">
        <v>12750000</v>
      </c>
      <c r="F127" s="1179"/>
      <c r="G127" s="26"/>
      <c r="H127" s="26"/>
      <c r="I127" s="26"/>
      <c r="J127" s="26"/>
      <c r="K127" s="1172">
        <f t="shared" si="9"/>
        <v>0</v>
      </c>
      <c r="L127" s="26">
        <f>IF(F127="",E127-K127,F127-K127)</f>
        <v>12750000</v>
      </c>
      <c r="M127" s="44"/>
      <c r="N127" s="33"/>
      <c r="O127" s="32"/>
      <c r="Q127" s="5"/>
    </row>
    <row r="128" spans="1:17" ht="21.75" hidden="1" customHeight="1" x14ac:dyDescent="0.3">
      <c r="A128" s="1199"/>
      <c r="B128" s="26" t="s">
        <v>117</v>
      </c>
      <c r="C128" s="2" t="s">
        <v>296</v>
      </c>
      <c r="D128" s="46" t="s">
        <v>297</v>
      </c>
      <c r="E128" s="26">
        <v>1200000</v>
      </c>
      <c r="F128" s="1179"/>
      <c r="G128" s="26">
        <v>1200000</v>
      </c>
      <c r="H128" s="26"/>
      <c r="I128" s="26"/>
      <c r="J128" s="26"/>
      <c r="K128" s="1172">
        <f t="shared" si="9"/>
        <v>1200000</v>
      </c>
      <c r="L128" s="26" t="s">
        <v>2</v>
      </c>
      <c r="M128" s="44"/>
      <c r="N128" s="33"/>
      <c r="O128" s="32"/>
      <c r="Q128" s="5"/>
    </row>
    <row r="129" spans="1:17" ht="31.5" hidden="1" customHeight="1" x14ac:dyDescent="0.3">
      <c r="A129" s="1199"/>
      <c r="B129" s="26" t="s">
        <v>120</v>
      </c>
      <c r="C129" s="2" t="s">
        <v>298</v>
      </c>
      <c r="D129" s="46"/>
      <c r="E129" s="26">
        <v>3730000</v>
      </c>
      <c r="F129" s="1179"/>
      <c r="G129" s="26">
        <v>3730000</v>
      </c>
      <c r="H129" s="26"/>
      <c r="I129" s="26"/>
      <c r="J129" s="26"/>
      <c r="K129" s="1172">
        <f t="shared" si="9"/>
        <v>3730000</v>
      </c>
      <c r="L129" s="26">
        <f>IF(F129="",E129-K129,F129-K129)</f>
        <v>0</v>
      </c>
      <c r="M129" s="44"/>
      <c r="N129" s="33"/>
      <c r="O129" s="32"/>
      <c r="Q129" s="5"/>
    </row>
    <row r="130" spans="1:17" ht="21.75" hidden="1" customHeight="1" x14ac:dyDescent="0.3">
      <c r="A130" s="1199"/>
      <c r="B130" s="26" t="s">
        <v>122</v>
      </c>
      <c r="C130" s="2" t="s">
        <v>254</v>
      </c>
      <c r="D130" s="46" t="s">
        <v>299</v>
      </c>
      <c r="E130" s="26">
        <v>4070000</v>
      </c>
      <c r="F130" s="1179"/>
      <c r="G130" s="38">
        <v>4070000</v>
      </c>
      <c r="H130" s="26"/>
      <c r="I130" s="26"/>
      <c r="J130" s="26"/>
      <c r="K130" s="1172">
        <f t="shared" si="9"/>
        <v>4070000</v>
      </c>
      <c r="L130" s="26">
        <f>IF(F130="",E130-K130,F130-K130)</f>
        <v>0</v>
      </c>
      <c r="M130" s="44"/>
      <c r="N130" s="33"/>
      <c r="O130" s="32"/>
      <c r="Q130" s="5"/>
    </row>
    <row r="131" spans="1:17" ht="21.75" hidden="1" customHeight="1" x14ac:dyDescent="0.3">
      <c r="A131" s="1199"/>
      <c r="B131" s="26" t="s">
        <v>125</v>
      </c>
      <c r="C131" s="2" t="s">
        <v>300</v>
      </c>
      <c r="D131" s="46" t="s">
        <v>301</v>
      </c>
      <c r="E131" s="38">
        <v>15011000</v>
      </c>
      <c r="F131" s="1179">
        <v>15011000</v>
      </c>
      <c r="G131" s="26"/>
      <c r="H131" s="26"/>
      <c r="I131" s="26"/>
      <c r="J131" s="26"/>
      <c r="K131" s="1172">
        <f t="shared" si="9"/>
        <v>0</v>
      </c>
      <c r="L131" s="26">
        <f>IF(F131="",E131-K131,F131-K131)</f>
        <v>15011000</v>
      </c>
      <c r="M131" s="44"/>
      <c r="N131" s="33"/>
      <c r="O131" s="32"/>
      <c r="Q131" s="5"/>
    </row>
    <row r="132" spans="1:17" ht="21.75" hidden="1" customHeight="1" x14ac:dyDescent="0.3">
      <c r="A132" s="1199"/>
      <c r="B132" s="26" t="s">
        <v>128</v>
      </c>
      <c r="C132" s="2" t="s">
        <v>246</v>
      </c>
      <c r="D132" s="46" t="s">
        <v>302</v>
      </c>
      <c r="E132" s="26">
        <v>11000000</v>
      </c>
      <c r="F132" s="1179">
        <v>11000000</v>
      </c>
      <c r="G132" s="26">
        <v>11000000</v>
      </c>
      <c r="H132" s="26"/>
      <c r="I132" s="26"/>
      <c r="J132" s="26"/>
      <c r="K132" s="1172">
        <f t="shared" si="9"/>
        <v>11000000</v>
      </c>
      <c r="L132" s="26">
        <f>IF(F132="",E132-K132,F132-K132)</f>
        <v>0</v>
      </c>
      <c r="M132" s="44" t="s">
        <v>47</v>
      </c>
      <c r="N132" s="33"/>
      <c r="O132" s="32"/>
    </row>
    <row r="133" spans="1:17" ht="21.75" hidden="1" customHeight="1" x14ac:dyDescent="0.3">
      <c r="A133" s="1199"/>
      <c r="B133" s="26" t="s">
        <v>131</v>
      </c>
      <c r="C133" s="2" t="s">
        <v>21</v>
      </c>
      <c r="D133" s="46" t="s">
        <v>303</v>
      </c>
      <c r="E133" s="26"/>
      <c r="F133" s="1179"/>
      <c r="G133" s="26">
        <f>581000+3896600</f>
        <v>4477600</v>
      </c>
      <c r="H133" s="26"/>
      <c r="I133" s="26"/>
      <c r="J133" s="26"/>
      <c r="K133" s="1172">
        <f t="shared" si="9"/>
        <v>4477600</v>
      </c>
      <c r="L133" s="26"/>
      <c r="M133" s="44"/>
      <c r="N133" s="33"/>
      <c r="O133" s="32"/>
    </row>
    <row r="134" spans="1:17" ht="21.75" hidden="1" customHeight="1" x14ac:dyDescent="0.3">
      <c r="A134" s="1199"/>
      <c r="B134" s="26" t="s">
        <v>134</v>
      </c>
      <c r="C134" s="27" t="s">
        <v>304</v>
      </c>
      <c r="D134" s="46" t="s">
        <v>305</v>
      </c>
      <c r="E134" s="26"/>
      <c r="F134" s="1179">
        <v>88946000</v>
      </c>
      <c r="G134" s="26">
        <v>88946000</v>
      </c>
      <c r="H134" s="26"/>
      <c r="I134" s="26"/>
      <c r="J134" s="26"/>
      <c r="K134" s="1172">
        <f t="shared" si="9"/>
        <v>88946000</v>
      </c>
      <c r="L134" s="26">
        <f>IF(F134="",E134-K134,F134-K134)</f>
        <v>0</v>
      </c>
      <c r="M134" s="44" t="s">
        <v>47</v>
      </c>
      <c r="N134" s="33"/>
      <c r="O134" s="32"/>
    </row>
    <row r="135" spans="1:17" ht="21.75" hidden="1" customHeight="1" x14ac:dyDescent="0.3">
      <c r="A135" s="1199"/>
      <c r="B135" s="26"/>
      <c r="C135" s="27" t="s">
        <v>254</v>
      </c>
      <c r="D135" s="46" t="s">
        <v>254</v>
      </c>
      <c r="E135" s="26">
        <f>484000+2420000</f>
        <v>2904000</v>
      </c>
      <c r="F135" s="1179"/>
      <c r="G135" s="26">
        <v>484000</v>
      </c>
      <c r="H135" s="26">
        <v>2420000</v>
      </c>
      <c r="I135" s="26"/>
      <c r="J135" s="26"/>
      <c r="K135" s="1172">
        <f t="shared" si="9"/>
        <v>2904000</v>
      </c>
      <c r="L135" s="26"/>
      <c r="M135" s="44"/>
      <c r="N135" s="33"/>
      <c r="O135" s="32"/>
    </row>
    <row r="136" spans="1:17" s="52" customFormat="1" ht="21.75" hidden="1" customHeight="1" x14ac:dyDescent="0.3">
      <c r="A136" s="1199"/>
      <c r="B136" s="26" t="s">
        <v>137</v>
      </c>
      <c r="C136" s="47" t="s">
        <v>306</v>
      </c>
      <c r="D136" s="48" t="s">
        <v>284</v>
      </c>
      <c r="E136" s="26"/>
      <c r="F136" s="1179"/>
      <c r="G136" s="26">
        <v>7000000</v>
      </c>
      <c r="H136" s="29"/>
      <c r="I136" s="29"/>
      <c r="J136" s="29"/>
      <c r="K136" s="1179">
        <f t="shared" si="9"/>
        <v>7000000</v>
      </c>
      <c r="L136" s="26"/>
      <c r="M136" s="49"/>
      <c r="N136" s="50"/>
      <c r="O136" s="51"/>
      <c r="Q136" s="314"/>
    </row>
    <row r="137" spans="1:17" s="52" customFormat="1" ht="24" hidden="1" customHeight="1" x14ac:dyDescent="0.3">
      <c r="A137" s="1199"/>
      <c r="B137" s="26" t="s">
        <v>140</v>
      </c>
      <c r="C137" s="53" t="s">
        <v>307</v>
      </c>
      <c r="D137" s="54" t="s">
        <v>308</v>
      </c>
      <c r="E137" s="26"/>
      <c r="F137" s="1179"/>
      <c r="G137" s="1179">
        <v>40000000</v>
      </c>
      <c r="H137" s="1179">
        <v>40000000</v>
      </c>
      <c r="I137" s="1179">
        <v>49585427</v>
      </c>
      <c r="J137" s="1179"/>
      <c r="K137" s="1179">
        <f t="shared" si="9"/>
        <v>129585427</v>
      </c>
      <c r="L137" s="26"/>
      <c r="M137" s="49"/>
      <c r="N137" s="50"/>
      <c r="O137" s="51"/>
      <c r="Q137" s="314"/>
    </row>
    <row r="138" spans="1:17" s="52" customFormat="1" ht="23.25" hidden="1" customHeight="1" x14ac:dyDescent="0.3">
      <c r="A138" s="1199"/>
      <c r="B138" s="26" t="s">
        <v>144</v>
      </c>
      <c r="C138" s="53" t="s">
        <v>309</v>
      </c>
      <c r="D138" s="54" t="s">
        <v>308</v>
      </c>
      <c r="E138" s="26"/>
      <c r="F138" s="1179"/>
      <c r="G138" s="1179">
        <v>20000000</v>
      </c>
      <c r="H138" s="1179"/>
      <c r="I138" s="1179"/>
      <c r="J138" s="1179"/>
      <c r="K138" s="1179">
        <f t="shared" si="9"/>
        <v>20000000</v>
      </c>
      <c r="L138" s="26"/>
      <c r="M138" s="49"/>
      <c r="N138" s="50"/>
      <c r="O138" s="51"/>
      <c r="Q138" s="314"/>
    </row>
    <row r="139" spans="1:17" s="52" customFormat="1" ht="23.25" hidden="1" customHeight="1" x14ac:dyDescent="0.3">
      <c r="A139" s="1199"/>
      <c r="B139" s="1172"/>
      <c r="C139" s="53" t="s">
        <v>310</v>
      </c>
      <c r="D139" s="54"/>
      <c r="E139" s="26"/>
      <c r="F139" s="1179"/>
      <c r="G139" s="1179">
        <v>20000000</v>
      </c>
      <c r="H139" s="1179"/>
      <c r="I139" s="1179"/>
      <c r="J139" s="1179"/>
      <c r="K139" s="1179">
        <f t="shared" si="9"/>
        <v>20000000</v>
      </c>
      <c r="L139" s="1172"/>
      <c r="M139" s="49"/>
      <c r="N139" s="50"/>
      <c r="O139" s="98"/>
      <c r="Q139" s="314"/>
    </row>
    <row r="140" spans="1:17" ht="21.75" hidden="1" customHeight="1" thickBot="1" x14ac:dyDescent="0.35">
      <c r="A140" s="1199"/>
      <c r="B140" s="1177"/>
      <c r="C140" s="1177"/>
      <c r="D140" s="1177"/>
      <c r="E140" s="1177"/>
      <c r="F140" s="1179"/>
      <c r="G140" s="1177"/>
      <c r="H140" s="1172"/>
      <c r="I140" s="1177"/>
      <c r="J140" s="1177"/>
      <c r="K140" s="299">
        <f>SUM(K102:K139)</f>
        <v>2100422174</v>
      </c>
      <c r="L140" s="298">
        <f>SUM(L102:L138)</f>
        <v>120741400</v>
      </c>
      <c r="M140" s="34"/>
      <c r="N140" s="33"/>
      <c r="O140" s="1177"/>
    </row>
    <row r="141" spans="1:17" s="42" customFormat="1" ht="21" hidden="1" customHeight="1" x14ac:dyDescent="0.3">
      <c r="A141" s="1236" t="s">
        <v>311</v>
      </c>
      <c r="B141" s="19" t="s">
        <v>194</v>
      </c>
      <c r="C141" s="20" t="s">
        <v>312</v>
      </c>
      <c r="D141" s="21" t="s">
        <v>93</v>
      </c>
      <c r="E141" s="19">
        <v>9750000</v>
      </c>
      <c r="F141" s="330"/>
      <c r="G141" s="331">
        <v>2925000</v>
      </c>
      <c r="H141" s="331">
        <v>6825000</v>
      </c>
      <c r="I141" s="331"/>
      <c r="J141" s="331"/>
      <c r="K141" s="19">
        <f>SUM(G141:J141)</f>
        <v>9750000</v>
      </c>
      <c r="L141" s="19">
        <f>IF(F141="",E141-K141,F141-K141)</f>
        <v>0</v>
      </c>
      <c r="M141" s="332"/>
      <c r="N141" s="333"/>
      <c r="O141" s="334"/>
      <c r="Q141" s="208"/>
    </row>
    <row r="142" spans="1:17" s="42" customFormat="1" ht="21" hidden="1" customHeight="1" x14ac:dyDescent="0.3">
      <c r="A142" s="1237"/>
      <c r="B142" s="26" t="s">
        <v>196</v>
      </c>
      <c r="C142" s="27" t="s">
        <v>313</v>
      </c>
      <c r="D142" s="46" t="s">
        <v>173</v>
      </c>
      <c r="E142" s="26">
        <v>50410000</v>
      </c>
      <c r="F142" s="216">
        <v>74405000</v>
      </c>
      <c r="G142" s="26">
        <v>15123000</v>
      </c>
      <c r="H142" s="38">
        <v>59282000</v>
      </c>
      <c r="I142" s="38"/>
      <c r="J142" s="38"/>
      <c r="K142" s="69">
        <f>SUM(G142:J142)</f>
        <v>74405000</v>
      </c>
      <c r="L142" s="26">
        <f>IF(F142="",E142-K142,F142-K142)</f>
        <v>0</v>
      </c>
      <c r="M142" s="70"/>
      <c r="N142" s="71"/>
      <c r="O142" s="335"/>
      <c r="Q142" s="208"/>
    </row>
    <row r="143" spans="1:17" s="42" customFormat="1" ht="21" hidden="1" customHeight="1" x14ac:dyDescent="0.3">
      <c r="A143" s="1237"/>
      <c r="B143" s="26" t="s">
        <v>20</v>
      </c>
      <c r="C143" s="27" t="s">
        <v>34</v>
      </c>
      <c r="D143" s="46" t="s">
        <v>204</v>
      </c>
      <c r="E143" s="26">
        <f>21648000*1.1</f>
        <v>23812800.000000004</v>
      </c>
      <c r="F143" s="1179">
        <v>39584600</v>
      </c>
      <c r="G143" s="26">
        <v>6500000</v>
      </c>
      <c r="H143" s="26">
        <v>8700000</v>
      </c>
      <c r="I143" s="26">
        <v>24384600</v>
      </c>
      <c r="J143" s="26"/>
      <c r="K143" s="1172">
        <f>SUM(G143:J143)</f>
        <v>39584600</v>
      </c>
      <c r="L143" s="26">
        <f>IF(F143="",E143-K143,F143-K143)</f>
        <v>0</v>
      </c>
      <c r="M143" s="44"/>
      <c r="N143" s="33"/>
      <c r="O143" s="152"/>
      <c r="Q143" s="208"/>
    </row>
    <row r="144" spans="1:17" s="42" customFormat="1" ht="21" hidden="1" customHeight="1" x14ac:dyDescent="0.3">
      <c r="A144" s="1237"/>
      <c r="B144" s="26" t="s">
        <v>24</v>
      </c>
      <c r="C144" s="27" t="s">
        <v>314</v>
      </c>
      <c r="D144" s="46" t="s">
        <v>173</v>
      </c>
      <c r="E144" s="26">
        <v>16620000</v>
      </c>
      <c r="F144" s="1179">
        <v>16620000</v>
      </c>
      <c r="G144" s="26">
        <v>8310000</v>
      </c>
      <c r="H144" s="26">
        <v>8310000</v>
      </c>
      <c r="I144" s="26"/>
      <c r="J144" s="26"/>
      <c r="K144" s="1172">
        <f>SUM(G144:J144)</f>
        <v>16620000</v>
      </c>
      <c r="L144" s="26">
        <f>IF(F144="",E144-K144,F144-K144)</f>
        <v>0</v>
      </c>
      <c r="M144" s="44"/>
      <c r="N144" s="33"/>
      <c r="O144" s="245"/>
      <c r="Q144" s="208"/>
    </row>
    <row r="145" spans="1:17" s="42" customFormat="1" ht="21" hidden="1" customHeight="1" x14ac:dyDescent="0.3">
      <c r="A145" s="1237"/>
      <c r="B145" s="26"/>
      <c r="C145" s="27" t="s">
        <v>118</v>
      </c>
      <c r="D145" s="46" t="s">
        <v>315</v>
      </c>
      <c r="E145" s="26">
        <v>1200000</v>
      </c>
      <c r="F145" s="1179"/>
      <c r="G145" s="26">
        <v>1200000</v>
      </c>
      <c r="H145" s="26"/>
      <c r="I145" s="26"/>
      <c r="J145" s="26"/>
      <c r="K145" s="1172">
        <f>SUM(G145:J145)</f>
        <v>1200000</v>
      </c>
      <c r="L145" s="26">
        <f>IF(F145="",E145-K145,F145-K145)</f>
        <v>0</v>
      </c>
      <c r="M145" s="44"/>
      <c r="N145" s="33"/>
      <c r="O145" s="34"/>
      <c r="Q145" s="208"/>
    </row>
    <row r="146" spans="1:17" s="42" customFormat="1" ht="21" hidden="1" customHeight="1" x14ac:dyDescent="0.3">
      <c r="A146" s="1237"/>
      <c r="B146" s="26"/>
      <c r="C146" s="27" t="s">
        <v>316</v>
      </c>
      <c r="D146" s="46" t="s">
        <v>303</v>
      </c>
      <c r="E146" s="26">
        <v>2000000</v>
      </c>
      <c r="F146" s="1179"/>
      <c r="G146" s="144">
        <v>2000000</v>
      </c>
      <c r="H146" s="26"/>
      <c r="I146" s="26"/>
      <c r="J146" s="26"/>
      <c r="K146" s="1172"/>
      <c r="L146" s="26"/>
      <c r="M146" s="44"/>
      <c r="N146" s="33"/>
      <c r="O146" s="34"/>
      <c r="Q146" s="208"/>
    </row>
    <row r="147" spans="1:17" s="42" customFormat="1" ht="21" hidden="1" customHeight="1" x14ac:dyDescent="0.3">
      <c r="A147" s="1237"/>
      <c r="B147" s="26" t="s">
        <v>26</v>
      </c>
      <c r="C147" s="27" t="s">
        <v>317</v>
      </c>
      <c r="D147" s="46" t="s">
        <v>318</v>
      </c>
      <c r="E147" s="1">
        <v>5742000</v>
      </c>
      <c r="F147" s="1179">
        <v>5742000</v>
      </c>
      <c r="G147" s="26">
        <v>3542000</v>
      </c>
      <c r="H147" s="26">
        <v>2200000</v>
      </c>
      <c r="I147" s="26"/>
      <c r="J147" s="26"/>
      <c r="K147" s="1172">
        <f>SUM(G147:J147)</f>
        <v>5742000</v>
      </c>
      <c r="L147" s="26">
        <f>IF(F147="",E147-K147,F147-K147)</f>
        <v>0</v>
      </c>
      <c r="M147" s="44" t="s">
        <v>319</v>
      </c>
      <c r="N147" s="33"/>
      <c r="O147" s="32"/>
      <c r="Q147" s="208"/>
    </row>
    <row r="148" spans="1:17" s="42" customFormat="1" ht="21" hidden="1" customHeight="1" thickBot="1" x14ac:dyDescent="0.35">
      <c r="A148" s="1238"/>
      <c r="B148" s="336"/>
      <c r="C148" s="337"/>
      <c r="D148" s="338"/>
      <c r="E148" s="336"/>
      <c r="F148" s="339"/>
      <c r="G148" s="336"/>
      <c r="H148" s="336"/>
      <c r="I148" s="336"/>
      <c r="J148" s="336"/>
      <c r="K148" s="289">
        <f>SUM(K141:K147)</f>
        <v>147301600</v>
      </c>
      <c r="L148" s="288">
        <f>SUM(L141:L147)</f>
        <v>0</v>
      </c>
      <c r="M148" s="340"/>
      <c r="N148" s="341"/>
      <c r="O148" s="342"/>
      <c r="Q148" s="208"/>
    </row>
    <row r="149" spans="1:17" ht="21.75" hidden="1" customHeight="1" x14ac:dyDescent="0.3">
      <c r="A149" s="1207" t="s">
        <v>320</v>
      </c>
      <c r="B149" s="1173" t="s">
        <v>194</v>
      </c>
      <c r="C149" s="76" t="s">
        <v>34</v>
      </c>
      <c r="D149" s="77" t="s">
        <v>321</v>
      </c>
      <c r="E149" s="1173">
        <v>71610000</v>
      </c>
      <c r="F149" s="1176"/>
      <c r="G149" s="1173">
        <v>26440000</v>
      </c>
      <c r="H149" s="1173">
        <v>21813000</v>
      </c>
      <c r="I149" s="1173">
        <v>23357000</v>
      </c>
      <c r="J149" s="1173"/>
      <c r="K149" s="1173">
        <f t="shared" ref="K149:K173" si="10">SUM(G149:J149)</f>
        <v>71610000</v>
      </c>
      <c r="L149" s="1173">
        <f t="shared" ref="L149:L154" si="11">IF(F149="",E149-K149,F149-K149)</f>
        <v>0</v>
      </c>
      <c r="M149" s="78" t="s">
        <v>322</v>
      </c>
      <c r="N149" s="79"/>
      <c r="O149" s="1178"/>
    </row>
    <row r="150" spans="1:17" ht="21.75" hidden="1" customHeight="1" x14ac:dyDescent="0.3">
      <c r="A150" s="1199"/>
      <c r="B150" s="26" t="s">
        <v>196</v>
      </c>
      <c r="C150" s="27" t="s">
        <v>292</v>
      </c>
      <c r="D150" s="28" t="s">
        <v>104</v>
      </c>
      <c r="E150" s="26">
        <v>28040000</v>
      </c>
      <c r="F150" s="29">
        <v>28040000</v>
      </c>
      <c r="G150" s="26">
        <v>15000000</v>
      </c>
      <c r="H150" s="26">
        <v>13040000</v>
      </c>
      <c r="I150" s="26"/>
      <c r="J150" s="26"/>
      <c r="K150" s="26">
        <f t="shared" si="10"/>
        <v>28040000</v>
      </c>
      <c r="L150" s="26">
        <f t="shared" si="11"/>
        <v>0</v>
      </c>
      <c r="M150" s="30"/>
      <c r="N150" s="31"/>
      <c r="O150" s="32"/>
    </row>
    <row r="151" spans="1:17" ht="21.75" hidden="1" customHeight="1" x14ac:dyDescent="0.3">
      <c r="A151" s="1199"/>
      <c r="B151" s="26" t="s">
        <v>20</v>
      </c>
      <c r="C151" s="27" t="s">
        <v>50</v>
      </c>
      <c r="D151" s="28" t="s">
        <v>323</v>
      </c>
      <c r="E151" s="26">
        <v>52725600</v>
      </c>
      <c r="F151" s="29">
        <v>52729600</v>
      </c>
      <c r="G151" s="26">
        <v>15818880</v>
      </c>
      <c r="H151" s="26">
        <v>21091840</v>
      </c>
      <c r="I151" s="26">
        <v>15818880</v>
      </c>
      <c r="J151" s="26"/>
      <c r="K151" s="26">
        <f t="shared" si="10"/>
        <v>52729600</v>
      </c>
      <c r="L151" s="26">
        <f t="shared" si="11"/>
        <v>0</v>
      </c>
      <c r="M151" s="30" t="s">
        <v>324</v>
      </c>
      <c r="N151" s="31" t="s">
        <v>325</v>
      </c>
      <c r="O151" s="35">
        <v>43766</v>
      </c>
      <c r="Q151" s="5"/>
    </row>
    <row r="152" spans="1:17" ht="21.75" hidden="1" customHeight="1" x14ac:dyDescent="0.3">
      <c r="A152" s="1199"/>
      <c r="B152" s="26" t="s">
        <v>24</v>
      </c>
      <c r="C152" s="27" t="s">
        <v>213</v>
      </c>
      <c r="D152" s="28" t="s">
        <v>271</v>
      </c>
      <c r="E152" s="26">
        <v>34050000</v>
      </c>
      <c r="F152" s="29">
        <v>35400000</v>
      </c>
      <c r="G152" s="26">
        <v>10215000</v>
      </c>
      <c r="H152" s="26">
        <v>15185000</v>
      </c>
      <c r="I152" s="26">
        <v>10000000</v>
      </c>
      <c r="J152" s="26"/>
      <c r="K152" s="26">
        <f t="shared" si="10"/>
        <v>35400000</v>
      </c>
      <c r="L152" s="26">
        <f t="shared" si="11"/>
        <v>0</v>
      </c>
      <c r="M152" s="30"/>
      <c r="N152" s="31"/>
      <c r="O152" s="32"/>
      <c r="Q152" s="5"/>
    </row>
    <row r="153" spans="1:17" ht="21.75" hidden="1" customHeight="1" x14ac:dyDescent="0.3">
      <c r="A153" s="1199"/>
      <c r="B153" s="26" t="s">
        <v>28</v>
      </c>
      <c r="C153" s="27" t="s">
        <v>118</v>
      </c>
      <c r="D153" s="28" t="s">
        <v>326</v>
      </c>
      <c r="E153" s="26">
        <v>30000000</v>
      </c>
      <c r="F153" s="29">
        <v>32636723</v>
      </c>
      <c r="G153" s="26">
        <v>9000000</v>
      </c>
      <c r="H153" s="26">
        <v>15000000</v>
      </c>
      <c r="I153" s="26">
        <v>8636723</v>
      </c>
      <c r="J153" s="26"/>
      <c r="K153" s="26">
        <f t="shared" si="10"/>
        <v>32636723</v>
      </c>
      <c r="L153" s="26">
        <f t="shared" si="11"/>
        <v>0</v>
      </c>
      <c r="M153" s="30"/>
      <c r="N153" s="31"/>
      <c r="O153" s="32"/>
      <c r="Q153" s="5"/>
    </row>
    <row r="154" spans="1:17" ht="21.75" hidden="1" customHeight="1" x14ac:dyDescent="0.3">
      <c r="A154" s="1199"/>
      <c r="B154" s="26" t="s">
        <v>30</v>
      </c>
      <c r="C154" s="27" t="s">
        <v>327</v>
      </c>
      <c r="D154" s="28" t="s">
        <v>326</v>
      </c>
      <c r="E154" s="26">
        <v>7450000</v>
      </c>
      <c r="F154" s="29"/>
      <c r="G154" s="26">
        <v>7450000</v>
      </c>
      <c r="H154" s="26"/>
      <c r="I154" s="26"/>
      <c r="J154" s="26"/>
      <c r="K154" s="26">
        <f t="shared" si="10"/>
        <v>7450000</v>
      </c>
      <c r="L154" s="26">
        <f t="shared" si="11"/>
        <v>0</v>
      </c>
      <c r="M154" s="30"/>
      <c r="N154" s="31"/>
      <c r="O154" s="32"/>
      <c r="Q154" s="5"/>
    </row>
    <row r="155" spans="1:17" ht="21.75" hidden="1" customHeight="1" x14ac:dyDescent="0.3">
      <c r="A155" s="1199"/>
      <c r="B155" s="26" t="s">
        <v>33</v>
      </c>
      <c r="C155" s="27" t="s">
        <v>328</v>
      </c>
      <c r="D155" s="28" t="s">
        <v>329</v>
      </c>
      <c r="E155" s="26">
        <v>58367009</v>
      </c>
      <c r="F155" s="29"/>
      <c r="G155" s="26">
        <v>29183500</v>
      </c>
      <c r="H155" s="26">
        <v>35020205</v>
      </c>
      <c r="I155" s="26"/>
      <c r="J155" s="26"/>
      <c r="K155" s="26">
        <f t="shared" si="10"/>
        <v>64203705</v>
      </c>
      <c r="L155" s="26"/>
      <c r="M155" s="30" t="s">
        <v>330</v>
      </c>
      <c r="N155" s="31"/>
      <c r="O155" s="32"/>
      <c r="Q155" s="5"/>
    </row>
    <row r="156" spans="1:17" ht="21.75" hidden="1" customHeight="1" x14ac:dyDescent="0.3">
      <c r="A156" s="1199"/>
      <c r="B156" s="26" t="s">
        <v>39</v>
      </c>
      <c r="C156" s="27" t="s">
        <v>227</v>
      </c>
      <c r="D156" s="28" t="s">
        <v>114</v>
      </c>
      <c r="E156" s="26">
        <v>6030000</v>
      </c>
      <c r="F156" s="29"/>
      <c r="G156" s="26">
        <v>6030000</v>
      </c>
      <c r="H156" s="26"/>
      <c r="I156" s="26"/>
      <c r="J156" s="26"/>
      <c r="K156" s="26">
        <f t="shared" si="10"/>
        <v>6030000</v>
      </c>
      <c r="L156" s="26">
        <f t="shared" ref="L156:L162" si="12">IF(F156="",E156-K156,F156-K156)</f>
        <v>0</v>
      </c>
      <c r="M156" s="30"/>
      <c r="N156" s="31"/>
      <c r="O156" s="32"/>
      <c r="Q156" s="5"/>
    </row>
    <row r="157" spans="1:17" ht="22.5" hidden="1" customHeight="1" x14ac:dyDescent="0.3">
      <c r="A157" s="1199"/>
      <c r="B157" s="26" t="s">
        <v>44</v>
      </c>
      <c r="C157" s="27" t="s">
        <v>304</v>
      </c>
      <c r="D157" s="28" t="s">
        <v>265</v>
      </c>
      <c r="E157" s="26">
        <v>17840000</v>
      </c>
      <c r="F157" s="29"/>
      <c r="G157" s="26">
        <v>17840000</v>
      </c>
      <c r="H157" s="26"/>
      <c r="I157" s="26"/>
      <c r="J157" s="26"/>
      <c r="K157" s="26">
        <f t="shared" si="10"/>
        <v>17840000</v>
      </c>
      <c r="L157" s="26">
        <f t="shared" si="12"/>
        <v>0</v>
      </c>
      <c r="M157" s="30"/>
      <c r="N157" s="31"/>
      <c r="O157" s="32"/>
      <c r="Q157" s="5"/>
    </row>
    <row r="158" spans="1:17" ht="22.5" hidden="1" customHeight="1" x14ac:dyDescent="0.3">
      <c r="A158" s="1199"/>
      <c r="B158" s="26" t="s">
        <v>55</v>
      </c>
      <c r="C158" s="27" t="s">
        <v>123</v>
      </c>
      <c r="D158" s="28" t="s">
        <v>124</v>
      </c>
      <c r="E158" s="26">
        <f>17828800+3484800</f>
        <v>21313600</v>
      </c>
      <c r="F158" s="29">
        <v>19376000</v>
      </c>
      <c r="G158" s="26">
        <v>10000000</v>
      </c>
      <c r="H158" s="26">
        <v>9376000</v>
      </c>
      <c r="I158" s="26"/>
      <c r="J158" s="26"/>
      <c r="K158" s="26">
        <f t="shared" si="10"/>
        <v>19376000</v>
      </c>
      <c r="L158" s="26">
        <f t="shared" si="12"/>
        <v>0</v>
      </c>
      <c r="M158" s="30"/>
      <c r="N158" s="31"/>
      <c r="O158" s="32"/>
      <c r="Q158" s="5"/>
    </row>
    <row r="159" spans="1:17" ht="22.5" hidden="1" customHeight="1" x14ac:dyDescent="0.3">
      <c r="A159" s="1199"/>
      <c r="B159" s="26" t="s">
        <v>59</v>
      </c>
      <c r="C159" s="27" t="s">
        <v>50</v>
      </c>
      <c r="D159" s="28" t="s">
        <v>331</v>
      </c>
      <c r="E159" s="26">
        <f>7500000*1.1</f>
        <v>8250000.0000000009</v>
      </c>
      <c r="F159" s="29"/>
      <c r="G159" s="26">
        <v>3300000</v>
      </c>
      <c r="H159" s="26"/>
      <c r="I159" s="26"/>
      <c r="J159" s="26"/>
      <c r="K159" s="26">
        <f t="shared" si="10"/>
        <v>3300000</v>
      </c>
      <c r="L159" s="26">
        <f t="shared" si="12"/>
        <v>4950000.0000000009</v>
      </c>
      <c r="M159" s="30"/>
      <c r="N159" s="31"/>
      <c r="O159" s="32"/>
      <c r="Q159" s="5"/>
    </row>
    <row r="160" spans="1:17" ht="22.5" hidden="1" customHeight="1" x14ac:dyDescent="0.3">
      <c r="A160" s="1199"/>
      <c r="B160" s="26" t="s">
        <v>63</v>
      </c>
      <c r="C160" s="27" t="s">
        <v>50</v>
      </c>
      <c r="D160" s="28" t="s">
        <v>332</v>
      </c>
      <c r="E160" s="26">
        <v>4830000</v>
      </c>
      <c r="F160" s="29"/>
      <c r="G160" s="26">
        <v>4830000</v>
      </c>
      <c r="H160" s="26"/>
      <c r="I160" s="26"/>
      <c r="J160" s="26"/>
      <c r="K160" s="26">
        <f t="shared" si="10"/>
        <v>4830000</v>
      </c>
      <c r="L160" s="26">
        <f t="shared" si="12"/>
        <v>0</v>
      </c>
      <c r="M160" s="30"/>
      <c r="N160" s="31"/>
      <c r="O160" s="32"/>
      <c r="Q160" s="5"/>
    </row>
    <row r="161" spans="1:17" ht="22.5" hidden="1" customHeight="1" x14ac:dyDescent="0.3">
      <c r="A161" s="1199"/>
      <c r="B161" s="26" t="s">
        <v>67</v>
      </c>
      <c r="C161" s="27" t="s">
        <v>333</v>
      </c>
      <c r="D161" s="28" t="s">
        <v>173</v>
      </c>
      <c r="E161" s="26">
        <v>3250000</v>
      </c>
      <c r="F161" s="29"/>
      <c r="G161" s="26">
        <v>3250000</v>
      </c>
      <c r="H161" s="26"/>
      <c r="I161" s="26"/>
      <c r="J161" s="26"/>
      <c r="K161" s="26">
        <f t="shared" si="10"/>
        <v>3250000</v>
      </c>
      <c r="L161" s="26">
        <f t="shared" si="12"/>
        <v>0</v>
      </c>
      <c r="M161" s="30"/>
      <c r="N161" s="31"/>
      <c r="O161" s="32"/>
      <c r="Q161" s="5"/>
    </row>
    <row r="162" spans="1:17" ht="22.5" hidden="1" customHeight="1" x14ac:dyDescent="0.3">
      <c r="A162" s="1199"/>
      <c r="B162" s="26" t="s">
        <v>72</v>
      </c>
      <c r="C162" s="27" t="s">
        <v>334</v>
      </c>
      <c r="D162" s="28" t="s">
        <v>335</v>
      </c>
      <c r="E162" s="26">
        <v>13145000</v>
      </c>
      <c r="F162" s="29"/>
      <c r="G162" s="26">
        <v>13145000</v>
      </c>
      <c r="H162" s="26"/>
      <c r="I162" s="26"/>
      <c r="J162" s="26"/>
      <c r="K162" s="26">
        <f t="shared" si="10"/>
        <v>13145000</v>
      </c>
      <c r="L162" s="26">
        <f t="shared" si="12"/>
        <v>0</v>
      </c>
      <c r="M162" s="30"/>
      <c r="N162" s="31"/>
      <c r="O162" s="32"/>
      <c r="Q162" s="5"/>
    </row>
    <row r="163" spans="1:17" ht="22.5" hidden="1" customHeight="1" x14ac:dyDescent="0.3">
      <c r="A163" s="1199"/>
      <c r="B163" s="26" t="s">
        <v>74</v>
      </c>
      <c r="C163" s="27" t="s">
        <v>285</v>
      </c>
      <c r="D163" s="28" t="s">
        <v>286</v>
      </c>
      <c r="E163" s="26"/>
      <c r="F163" s="29"/>
      <c r="G163" s="26">
        <v>3060000</v>
      </c>
      <c r="H163" s="26"/>
      <c r="I163" s="26"/>
      <c r="J163" s="26"/>
      <c r="K163" s="26">
        <f t="shared" si="10"/>
        <v>3060000</v>
      </c>
      <c r="L163" s="26"/>
      <c r="M163" s="30"/>
      <c r="N163" s="31"/>
      <c r="O163" s="32"/>
      <c r="Q163" s="5"/>
    </row>
    <row r="164" spans="1:17" ht="22.5" hidden="1" customHeight="1" x14ac:dyDescent="0.3">
      <c r="A164" s="1199"/>
      <c r="B164" s="26" t="s">
        <v>78</v>
      </c>
      <c r="C164" s="27" t="s">
        <v>336</v>
      </c>
      <c r="D164" s="28" t="s">
        <v>337</v>
      </c>
      <c r="E164" s="26"/>
      <c r="F164" s="29"/>
      <c r="G164" s="26">
        <v>2176000</v>
      </c>
      <c r="H164" s="26"/>
      <c r="I164" s="26"/>
      <c r="J164" s="26"/>
      <c r="K164" s="26">
        <f t="shared" si="10"/>
        <v>2176000</v>
      </c>
      <c r="L164" s="26"/>
      <c r="M164" s="30"/>
      <c r="N164" s="31"/>
      <c r="O164" s="32"/>
      <c r="Q164" s="5"/>
    </row>
    <row r="165" spans="1:17" ht="22.5" hidden="1" customHeight="1" x14ac:dyDescent="0.3">
      <c r="A165" s="1199"/>
      <c r="B165" s="26" t="s">
        <v>83</v>
      </c>
      <c r="C165" s="27" t="s">
        <v>336</v>
      </c>
      <c r="D165" s="28" t="s">
        <v>338</v>
      </c>
      <c r="E165" s="26"/>
      <c r="F165" s="29"/>
      <c r="G165" s="26">
        <v>2663000</v>
      </c>
      <c r="H165" s="26"/>
      <c r="I165" s="26"/>
      <c r="J165" s="26"/>
      <c r="K165" s="26">
        <f t="shared" si="10"/>
        <v>2663000</v>
      </c>
      <c r="L165" s="26"/>
      <c r="M165" s="30"/>
      <c r="N165" s="31"/>
      <c r="O165" s="32"/>
      <c r="Q165" s="5"/>
    </row>
    <row r="166" spans="1:17" ht="22.5" hidden="1" customHeight="1" x14ac:dyDescent="0.3">
      <c r="A166" s="1199"/>
      <c r="B166" s="26" t="s">
        <v>87</v>
      </c>
      <c r="C166" s="27" t="s">
        <v>88</v>
      </c>
      <c r="D166" s="28" t="s">
        <v>339</v>
      </c>
      <c r="E166" s="26">
        <v>8640000</v>
      </c>
      <c r="F166" s="29"/>
      <c r="G166" s="26">
        <v>8640000</v>
      </c>
      <c r="H166" s="26"/>
      <c r="I166" s="26"/>
      <c r="J166" s="26"/>
      <c r="K166" s="26">
        <f t="shared" si="10"/>
        <v>8640000</v>
      </c>
      <c r="L166" s="26">
        <f>IF(F166="",E166-K166,F166-K166)</f>
        <v>0</v>
      </c>
      <c r="M166" s="30"/>
      <c r="N166" s="31"/>
      <c r="O166" s="32"/>
    </row>
    <row r="167" spans="1:17" ht="22.5" hidden="1" customHeight="1" x14ac:dyDescent="0.3">
      <c r="A167" s="1199"/>
      <c r="B167" s="26" t="s">
        <v>91</v>
      </c>
      <c r="C167" s="27" t="s">
        <v>340</v>
      </c>
      <c r="D167" s="28" t="s">
        <v>341</v>
      </c>
      <c r="E167" s="26">
        <v>4760000</v>
      </c>
      <c r="F167" s="29"/>
      <c r="G167" s="26">
        <v>4760000</v>
      </c>
      <c r="H167" s="26"/>
      <c r="I167" s="26"/>
      <c r="J167" s="26"/>
      <c r="K167" s="26">
        <f t="shared" si="10"/>
        <v>4760000</v>
      </c>
      <c r="L167" s="26">
        <f>IF(F167="",E167-K167,F167-K167)</f>
        <v>0</v>
      </c>
      <c r="M167" s="30"/>
      <c r="N167" s="31"/>
      <c r="O167" s="32"/>
    </row>
    <row r="168" spans="1:17" ht="22.5" hidden="1" customHeight="1" x14ac:dyDescent="0.3">
      <c r="A168" s="1199"/>
      <c r="B168" s="26" t="s">
        <v>95</v>
      </c>
      <c r="C168" s="27" t="s">
        <v>31</v>
      </c>
      <c r="D168" s="28" t="s">
        <v>195</v>
      </c>
      <c r="E168" s="26">
        <v>14968000</v>
      </c>
      <c r="F168" s="29"/>
      <c r="G168" s="26">
        <v>14968000</v>
      </c>
      <c r="H168" s="26"/>
      <c r="I168" s="26"/>
      <c r="J168" s="26"/>
      <c r="K168" s="26">
        <f t="shared" si="10"/>
        <v>14968000</v>
      </c>
      <c r="L168" s="26">
        <f>IF(F168="",E168-K168,F168-K168)</f>
        <v>0</v>
      </c>
      <c r="M168" s="30"/>
      <c r="N168" s="31"/>
      <c r="O168" s="32"/>
    </row>
    <row r="169" spans="1:17" ht="22.5" hidden="1" customHeight="1" x14ac:dyDescent="0.3">
      <c r="A169" s="1199"/>
      <c r="B169" s="26" t="s">
        <v>102</v>
      </c>
      <c r="C169" s="45" t="s">
        <v>246</v>
      </c>
      <c r="D169" s="46" t="s">
        <v>342</v>
      </c>
      <c r="E169" s="1172"/>
      <c r="F169" s="1179"/>
      <c r="G169" s="1172">
        <f>3500000+350000</f>
        <v>3850000</v>
      </c>
      <c r="H169" s="1172"/>
      <c r="I169" s="1172"/>
      <c r="J169" s="1172"/>
      <c r="K169" s="26">
        <f t="shared" si="10"/>
        <v>3850000</v>
      </c>
      <c r="L169" s="26"/>
      <c r="M169" s="34" t="s">
        <v>343</v>
      </c>
      <c r="N169" s="33"/>
      <c r="O169" s="32"/>
    </row>
    <row r="170" spans="1:17" ht="22.5" hidden="1" customHeight="1" x14ac:dyDescent="0.3">
      <c r="A170" s="1199"/>
      <c r="B170" s="26" t="s">
        <v>106</v>
      </c>
      <c r="C170" s="45" t="s">
        <v>344</v>
      </c>
      <c r="D170" s="46" t="s">
        <v>321</v>
      </c>
      <c r="E170" s="1172">
        <v>975000</v>
      </c>
      <c r="F170" s="1179"/>
      <c r="G170" s="1172">
        <v>975000</v>
      </c>
      <c r="H170" s="1172"/>
      <c r="I170" s="1172"/>
      <c r="J170" s="1172"/>
      <c r="K170" s="26">
        <f t="shared" si="10"/>
        <v>975000</v>
      </c>
      <c r="L170" s="26">
        <f>IF(F170="",E170-K170,F170-K170)</f>
        <v>0</v>
      </c>
      <c r="M170" s="34"/>
      <c r="N170" s="33"/>
      <c r="O170" s="32"/>
    </row>
    <row r="171" spans="1:17" ht="22.5" hidden="1" customHeight="1" x14ac:dyDescent="0.3">
      <c r="A171" s="1199"/>
      <c r="B171" s="26" t="s">
        <v>109</v>
      </c>
      <c r="C171" s="80" t="s">
        <v>99</v>
      </c>
      <c r="D171" s="81" t="s">
        <v>100</v>
      </c>
      <c r="E171" s="82">
        <v>133660000</v>
      </c>
      <c r="F171" s="1179">
        <v>133660000</v>
      </c>
      <c r="G171" s="82">
        <v>65795000</v>
      </c>
      <c r="H171" s="82">
        <v>61182000</v>
      </c>
      <c r="I171" s="82"/>
      <c r="J171" s="82"/>
      <c r="K171" s="1172">
        <f t="shared" si="10"/>
        <v>126977000</v>
      </c>
      <c r="L171" s="26">
        <f>IF(F171="",E171-K171,F171-K171)</f>
        <v>6683000</v>
      </c>
      <c r="M171" s="34" t="s">
        <v>345</v>
      </c>
      <c r="N171" s="33"/>
      <c r="O171" s="32"/>
    </row>
    <row r="172" spans="1:17" ht="22.5" hidden="1" customHeight="1" x14ac:dyDescent="0.3">
      <c r="A172" s="1199"/>
      <c r="B172" s="26" t="s">
        <v>112</v>
      </c>
      <c r="C172" s="53" t="s">
        <v>346</v>
      </c>
      <c r="D172" s="83" t="s">
        <v>182</v>
      </c>
      <c r="E172" s="1179"/>
      <c r="F172" s="1179"/>
      <c r="G172" s="1179">
        <v>15190566</v>
      </c>
      <c r="H172" s="1179">
        <v>12152453</v>
      </c>
      <c r="I172" s="1179"/>
      <c r="J172" s="1179"/>
      <c r="K172" s="29">
        <f t="shared" si="10"/>
        <v>27343019</v>
      </c>
      <c r="L172" s="26"/>
      <c r="M172" s="34"/>
      <c r="N172" s="33"/>
      <c r="O172" s="32"/>
    </row>
    <row r="173" spans="1:17" s="52" customFormat="1" ht="21.75" hidden="1" customHeight="1" x14ac:dyDescent="0.3">
      <c r="A173" s="1199"/>
      <c r="B173" s="26" t="s">
        <v>115</v>
      </c>
      <c r="C173" s="84" t="s">
        <v>347</v>
      </c>
      <c r="D173" s="85" t="s">
        <v>348</v>
      </c>
      <c r="E173" s="86"/>
      <c r="F173" s="86"/>
      <c r="G173" s="86">
        <v>2000000</v>
      </c>
      <c r="H173" s="86">
        <v>2000000</v>
      </c>
      <c r="I173" s="86"/>
      <c r="J173" s="86"/>
      <c r="K173" s="86">
        <f t="shared" si="10"/>
        <v>4000000</v>
      </c>
      <c r="L173" s="26"/>
      <c r="M173" s="87"/>
      <c r="N173" s="88"/>
      <c r="O173" s="51"/>
      <c r="Q173" s="314"/>
    </row>
    <row r="174" spans="1:17" ht="21.75" hidden="1" customHeight="1" thickBot="1" x14ac:dyDescent="0.35">
      <c r="A174" s="1199"/>
      <c r="B174" s="89"/>
      <c r="C174" s="89"/>
      <c r="D174" s="89"/>
      <c r="E174" s="89"/>
      <c r="F174" s="223"/>
      <c r="G174" s="89"/>
      <c r="H174" s="359"/>
      <c r="I174" s="89"/>
      <c r="J174" s="89"/>
      <c r="K174" s="293">
        <f>SUM(K149:K173)</f>
        <v>559253047</v>
      </c>
      <c r="L174" s="292">
        <f>SUM(L149:L173)</f>
        <v>11633000</v>
      </c>
      <c r="M174" s="90"/>
      <c r="N174" s="91"/>
      <c r="O174" s="32"/>
    </row>
    <row r="175" spans="1:17" ht="21.75" hidden="1" customHeight="1" x14ac:dyDescent="0.3">
      <c r="A175" s="1198" t="s">
        <v>349</v>
      </c>
      <c r="B175" s="19" t="s">
        <v>194</v>
      </c>
      <c r="C175" s="20" t="s">
        <v>287</v>
      </c>
      <c r="D175" s="21" t="s">
        <v>350</v>
      </c>
      <c r="E175" s="19">
        <v>2380000</v>
      </c>
      <c r="F175" s="22"/>
      <c r="G175" s="19">
        <v>2380000</v>
      </c>
      <c r="H175" s="19"/>
      <c r="I175" s="19"/>
      <c r="J175" s="19"/>
      <c r="K175" s="1174">
        <f t="shared" ref="K175:K198" si="13">SUM(G175:J175)</f>
        <v>2380000</v>
      </c>
      <c r="L175" s="26">
        <f>IF(F175="",E175-K175,F175-K175)</f>
        <v>0</v>
      </c>
      <c r="M175" s="23"/>
      <c r="N175" s="24"/>
      <c r="O175" s="32"/>
    </row>
    <row r="176" spans="1:17" ht="21.75" hidden="1" customHeight="1" x14ac:dyDescent="0.3">
      <c r="A176" s="1199"/>
      <c r="B176" s="26" t="s">
        <v>196</v>
      </c>
      <c r="C176" s="27" t="s">
        <v>351</v>
      </c>
      <c r="D176" s="28" t="s">
        <v>352</v>
      </c>
      <c r="E176" s="26">
        <v>41133849</v>
      </c>
      <c r="F176" s="29">
        <v>39218929</v>
      </c>
      <c r="G176" s="26">
        <v>16454000</v>
      </c>
      <c r="H176" s="26">
        <v>22764929</v>
      </c>
      <c r="I176" s="26"/>
      <c r="J176" s="26"/>
      <c r="K176" s="26">
        <f t="shared" si="13"/>
        <v>39218929</v>
      </c>
      <c r="L176" s="26">
        <f>IF(F176="",E176-K176,F176-K176)</f>
        <v>0</v>
      </c>
      <c r="M176" s="30"/>
      <c r="N176" s="31"/>
      <c r="O176" s="32"/>
    </row>
    <row r="177" spans="1:17" ht="21.75" hidden="1" customHeight="1" x14ac:dyDescent="0.3">
      <c r="A177" s="1199"/>
      <c r="B177" s="26" t="s">
        <v>20</v>
      </c>
      <c r="C177" s="27" t="s">
        <v>215</v>
      </c>
      <c r="D177" s="28" t="s">
        <v>353</v>
      </c>
      <c r="E177" s="26">
        <v>14750000</v>
      </c>
      <c r="F177" s="29"/>
      <c r="G177" s="26">
        <v>7000000</v>
      </c>
      <c r="H177" s="26">
        <v>7750000</v>
      </c>
      <c r="I177" s="26"/>
      <c r="J177" s="26"/>
      <c r="K177" s="26">
        <f t="shared" si="13"/>
        <v>14750000</v>
      </c>
      <c r="L177" s="26">
        <f>IF(F177="",E177-K177,F177-K177)</f>
        <v>0</v>
      </c>
      <c r="M177" s="30"/>
      <c r="N177" s="31"/>
      <c r="O177" s="32"/>
    </row>
    <row r="178" spans="1:17" ht="21.75" hidden="1" customHeight="1" x14ac:dyDescent="0.3">
      <c r="A178" s="1199"/>
      <c r="B178" s="26" t="s">
        <v>24</v>
      </c>
      <c r="C178" s="27" t="s">
        <v>167</v>
      </c>
      <c r="D178" s="28"/>
      <c r="E178" s="26"/>
      <c r="F178" s="29"/>
      <c r="G178" s="26">
        <v>4770000</v>
      </c>
      <c r="H178" s="26">
        <v>970000</v>
      </c>
      <c r="I178" s="26"/>
      <c r="J178" s="26"/>
      <c r="K178" s="26">
        <f t="shared" si="13"/>
        <v>5740000</v>
      </c>
      <c r="L178" s="26"/>
      <c r="M178" s="30"/>
      <c r="N178" s="31"/>
      <c r="O178" s="32"/>
    </row>
    <row r="179" spans="1:17" ht="21.75" hidden="1" customHeight="1" x14ac:dyDescent="0.3">
      <c r="A179" s="1199"/>
      <c r="B179" s="26" t="s">
        <v>26</v>
      </c>
      <c r="C179" s="27" t="s">
        <v>354</v>
      </c>
      <c r="D179" s="28" t="s">
        <v>153</v>
      </c>
      <c r="E179" s="26">
        <v>207838600</v>
      </c>
      <c r="F179" s="29">
        <v>223204900</v>
      </c>
      <c r="G179" s="26">
        <v>62000000</v>
      </c>
      <c r="H179" s="26">
        <v>83000000</v>
      </c>
      <c r="I179" s="26">
        <v>78204900</v>
      </c>
      <c r="J179" s="26"/>
      <c r="K179" s="26">
        <f t="shared" si="13"/>
        <v>223204900</v>
      </c>
      <c r="L179" s="26">
        <f>IF(F179="",E179-K179,F179-K179)</f>
        <v>0</v>
      </c>
      <c r="M179" s="30"/>
      <c r="N179" s="31"/>
      <c r="O179" s="32"/>
    </row>
    <row r="180" spans="1:17" ht="21.75" hidden="1" customHeight="1" x14ac:dyDescent="0.3">
      <c r="A180" s="1199"/>
      <c r="B180" s="26" t="s">
        <v>28</v>
      </c>
      <c r="C180" s="27" t="s">
        <v>355</v>
      </c>
      <c r="D180" s="28"/>
      <c r="E180" s="26"/>
      <c r="F180" s="29"/>
      <c r="G180" s="26">
        <v>11094000</v>
      </c>
      <c r="H180" s="26"/>
      <c r="I180" s="26"/>
      <c r="J180" s="26"/>
      <c r="K180" s="26">
        <f t="shared" si="13"/>
        <v>11094000</v>
      </c>
      <c r="L180" s="26"/>
      <c r="M180" s="30"/>
      <c r="N180" s="31"/>
      <c r="O180" s="32"/>
    </row>
    <row r="181" spans="1:17" ht="21.75" hidden="1" customHeight="1" x14ac:dyDescent="0.3">
      <c r="A181" s="1199"/>
      <c r="B181" s="26" t="s">
        <v>30</v>
      </c>
      <c r="C181" s="27" t="s">
        <v>213</v>
      </c>
      <c r="D181" s="28" t="s">
        <v>356</v>
      </c>
      <c r="E181" s="26">
        <v>71500000</v>
      </c>
      <c r="F181" s="29"/>
      <c r="G181" s="26">
        <v>25000000</v>
      </c>
      <c r="H181" s="26">
        <v>30000000</v>
      </c>
      <c r="I181" s="26">
        <v>16500000</v>
      </c>
      <c r="J181" s="26"/>
      <c r="K181" s="26">
        <f t="shared" si="13"/>
        <v>71500000</v>
      </c>
      <c r="L181" s="26">
        <f>IF(F181="",E181-K181,F181-K181)</f>
        <v>0</v>
      </c>
      <c r="M181" s="30"/>
      <c r="N181" s="31"/>
      <c r="O181" s="32"/>
    </row>
    <row r="182" spans="1:17" ht="21.75" hidden="1" customHeight="1" x14ac:dyDescent="0.3">
      <c r="A182" s="1199"/>
      <c r="B182" s="26" t="s">
        <v>33</v>
      </c>
      <c r="C182" s="27" t="s">
        <v>170</v>
      </c>
      <c r="D182" s="92" t="s">
        <v>171</v>
      </c>
      <c r="E182" s="26"/>
      <c r="F182" s="29"/>
      <c r="G182" s="26">
        <v>37919080</v>
      </c>
      <c r="H182" s="26"/>
      <c r="I182" s="26"/>
      <c r="J182" s="26"/>
      <c r="K182" s="26">
        <f t="shared" si="13"/>
        <v>37919080</v>
      </c>
      <c r="L182" s="26"/>
      <c r="M182" s="30"/>
      <c r="N182" s="31"/>
      <c r="O182" s="32"/>
    </row>
    <row r="183" spans="1:17" ht="21.75" hidden="1" customHeight="1" x14ac:dyDescent="0.3">
      <c r="A183" s="1199"/>
      <c r="B183" s="26" t="s">
        <v>39</v>
      </c>
      <c r="C183" s="27" t="s">
        <v>292</v>
      </c>
      <c r="D183" s="28" t="s">
        <v>357</v>
      </c>
      <c r="E183" s="26">
        <v>24592500</v>
      </c>
      <c r="F183" s="29"/>
      <c r="G183" s="26">
        <v>15000000</v>
      </c>
      <c r="H183" s="26">
        <v>9592500</v>
      </c>
      <c r="I183" s="26"/>
      <c r="J183" s="26"/>
      <c r="K183" s="26">
        <f t="shared" si="13"/>
        <v>24592500</v>
      </c>
      <c r="L183" s="26">
        <f t="shared" ref="L183:L188" si="14">IF(F183="",E183-K183,F183-K183)</f>
        <v>0</v>
      </c>
      <c r="M183" s="30"/>
      <c r="N183" s="31"/>
      <c r="O183" s="32"/>
    </row>
    <row r="184" spans="1:17" ht="21.75" hidden="1" customHeight="1" x14ac:dyDescent="0.3">
      <c r="A184" s="1199"/>
      <c r="B184" s="26" t="s">
        <v>44</v>
      </c>
      <c r="C184" s="27" t="s">
        <v>79</v>
      </c>
      <c r="D184" s="28" t="s">
        <v>358</v>
      </c>
      <c r="E184" s="26">
        <v>23500000</v>
      </c>
      <c r="F184" s="29"/>
      <c r="G184" s="26">
        <v>8000000</v>
      </c>
      <c r="H184" s="26"/>
      <c r="I184" s="26"/>
      <c r="J184" s="26"/>
      <c r="K184" s="26">
        <f t="shared" si="13"/>
        <v>8000000</v>
      </c>
      <c r="L184" s="26">
        <f t="shared" si="14"/>
        <v>15500000</v>
      </c>
      <c r="M184" s="30"/>
      <c r="N184" s="31"/>
      <c r="O184" s="32"/>
    </row>
    <row r="185" spans="1:17" ht="21" hidden="1" customHeight="1" x14ac:dyDescent="0.3">
      <c r="A185" s="1199"/>
      <c r="B185" s="26" t="s">
        <v>49</v>
      </c>
      <c r="C185" s="67" t="s">
        <v>359</v>
      </c>
      <c r="D185" s="68" t="s">
        <v>100</v>
      </c>
      <c r="E185" s="69">
        <v>306180600</v>
      </c>
      <c r="F185" s="29">
        <v>335057294</v>
      </c>
      <c r="G185" s="69">
        <v>91854180</v>
      </c>
      <c r="H185" s="69">
        <v>122472240</v>
      </c>
      <c r="I185" s="69">
        <v>103978874</v>
      </c>
      <c r="J185" s="69"/>
      <c r="K185" s="26">
        <f t="shared" si="13"/>
        <v>318305294</v>
      </c>
      <c r="L185" s="26">
        <f t="shared" si="14"/>
        <v>16752000</v>
      </c>
      <c r="M185" s="93" t="s">
        <v>360</v>
      </c>
      <c r="N185" s="94" t="s">
        <v>361</v>
      </c>
      <c r="O185" s="35">
        <v>43749</v>
      </c>
      <c r="P185" s="5" t="s">
        <v>362</v>
      </c>
    </row>
    <row r="186" spans="1:17" ht="21.75" hidden="1" customHeight="1" x14ac:dyDescent="0.3">
      <c r="A186" s="1199"/>
      <c r="B186" s="26" t="s">
        <v>55</v>
      </c>
      <c r="C186" s="27" t="s">
        <v>363</v>
      </c>
      <c r="D186" s="28" t="s">
        <v>273</v>
      </c>
      <c r="E186" s="26">
        <v>5857700</v>
      </c>
      <c r="F186" s="1179">
        <v>5857700</v>
      </c>
      <c r="G186" s="26">
        <v>5857700</v>
      </c>
      <c r="H186" s="26"/>
      <c r="I186" s="26"/>
      <c r="J186" s="26"/>
      <c r="K186" s="26">
        <f t="shared" si="13"/>
        <v>5857700</v>
      </c>
      <c r="L186" s="26">
        <f t="shared" si="14"/>
        <v>0</v>
      </c>
      <c r="M186" s="34"/>
      <c r="N186" s="33"/>
      <c r="O186" s="32"/>
    </row>
    <row r="187" spans="1:17" ht="21.75" hidden="1" customHeight="1" x14ac:dyDescent="0.3">
      <c r="A187" s="1199"/>
      <c r="B187" s="26" t="s">
        <v>59</v>
      </c>
      <c r="C187" s="27" t="s">
        <v>364</v>
      </c>
      <c r="D187" s="28" t="s">
        <v>365</v>
      </c>
      <c r="E187" s="26">
        <v>6050000</v>
      </c>
      <c r="F187" s="1179"/>
      <c r="G187" s="26">
        <v>6050000</v>
      </c>
      <c r="H187" s="26"/>
      <c r="I187" s="26"/>
      <c r="J187" s="26"/>
      <c r="K187" s="26">
        <f t="shared" si="13"/>
        <v>6050000</v>
      </c>
      <c r="L187" s="26">
        <f t="shared" si="14"/>
        <v>0</v>
      </c>
      <c r="M187" s="34"/>
      <c r="N187" s="33"/>
      <c r="O187" s="32"/>
    </row>
    <row r="188" spans="1:17" ht="21.75" hidden="1" customHeight="1" x14ac:dyDescent="0.3">
      <c r="A188" s="1199"/>
      <c r="B188" s="26" t="s">
        <v>63</v>
      </c>
      <c r="C188" s="27" t="s">
        <v>366</v>
      </c>
      <c r="D188" s="28" t="s">
        <v>366</v>
      </c>
      <c r="E188" s="26">
        <v>23500000</v>
      </c>
      <c r="F188" s="1179">
        <v>23500000</v>
      </c>
      <c r="G188" s="26">
        <v>8000000</v>
      </c>
      <c r="H188" s="26">
        <v>8000000</v>
      </c>
      <c r="I188" s="26">
        <v>7500000</v>
      </c>
      <c r="J188" s="26"/>
      <c r="K188" s="1172">
        <f t="shared" si="13"/>
        <v>23500000</v>
      </c>
      <c r="L188" s="26">
        <f t="shared" si="14"/>
        <v>0</v>
      </c>
      <c r="M188" s="34"/>
      <c r="N188" s="33"/>
      <c r="O188" s="32"/>
    </row>
    <row r="189" spans="1:17" ht="37.5" hidden="1" customHeight="1" x14ac:dyDescent="0.3">
      <c r="A189" s="1199"/>
      <c r="B189" s="26" t="s">
        <v>67</v>
      </c>
      <c r="C189" s="45" t="s">
        <v>367</v>
      </c>
      <c r="D189" s="46" t="s">
        <v>286</v>
      </c>
      <c r="E189" s="1172"/>
      <c r="F189" s="1179"/>
      <c r="G189" s="1172">
        <v>1970000</v>
      </c>
      <c r="H189" s="1172"/>
      <c r="I189" s="1172"/>
      <c r="J189" s="1172"/>
      <c r="K189" s="1172">
        <f t="shared" si="13"/>
        <v>1970000</v>
      </c>
      <c r="L189" s="26"/>
      <c r="M189" s="34"/>
      <c r="N189" s="33"/>
      <c r="O189" s="32"/>
    </row>
    <row r="190" spans="1:17" ht="24.75" hidden="1" customHeight="1" x14ac:dyDescent="0.3">
      <c r="A190" s="1199"/>
      <c r="B190" s="26" t="s">
        <v>72</v>
      </c>
      <c r="C190" s="45" t="s">
        <v>161</v>
      </c>
      <c r="D190" s="46" t="s">
        <v>2</v>
      </c>
      <c r="E190" s="1172">
        <v>71500000</v>
      </c>
      <c r="F190" s="1179"/>
      <c r="G190" s="1172">
        <v>25000000</v>
      </c>
      <c r="H190" s="1172">
        <v>30000000</v>
      </c>
      <c r="I190" s="1172">
        <v>16500000</v>
      </c>
      <c r="J190" s="1172"/>
      <c r="K190" s="1172">
        <f t="shared" si="13"/>
        <v>71500000</v>
      </c>
      <c r="L190" s="26">
        <f>IF(F190="",E190-K190,F190-K190)</f>
        <v>0</v>
      </c>
      <c r="M190" s="34"/>
      <c r="N190" s="33"/>
      <c r="O190" s="32"/>
    </row>
    <row r="191" spans="1:17" s="42" customFormat="1" ht="24.75" hidden="1" customHeight="1" x14ac:dyDescent="0.3">
      <c r="A191" s="1199"/>
      <c r="B191" s="26" t="s">
        <v>74</v>
      </c>
      <c r="C191" s="95" t="s">
        <v>232</v>
      </c>
      <c r="D191" s="96" t="s">
        <v>368</v>
      </c>
      <c r="E191" s="97">
        <v>15920000</v>
      </c>
      <c r="F191" s="219"/>
      <c r="G191" s="97">
        <v>10000000</v>
      </c>
      <c r="H191" s="97">
        <v>5920000</v>
      </c>
      <c r="I191" s="97"/>
      <c r="J191" s="97"/>
      <c r="K191" s="97">
        <f t="shared" si="13"/>
        <v>15920000</v>
      </c>
      <c r="L191" s="38">
        <f>IF(F191="",E191-K191,F191-K191)</f>
        <v>0</v>
      </c>
      <c r="M191" s="39"/>
      <c r="N191" s="40"/>
      <c r="O191" s="41"/>
      <c r="Q191" s="208"/>
    </row>
    <row r="192" spans="1:17" ht="24.75" hidden="1" customHeight="1" x14ac:dyDescent="0.3">
      <c r="A192" s="1199"/>
      <c r="B192" s="26" t="s">
        <v>78</v>
      </c>
      <c r="C192" s="45" t="s">
        <v>369</v>
      </c>
      <c r="D192" s="46" t="s">
        <v>370</v>
      </c>
      <c r="E192" s="1172"/>
      <c r="F192" s="1179"/>
      <c r="G192" s="1172">
        <v>2379000</v>
      </c>
      <c r="H192" s="1172"/>
      <c r="I192" s="1172"/>
      <c r="J192" s="1172"/>
      <c r="K192" s="1172">
        <f t="shared" si="13"/>
        <v>2379000</v>
      </c>
      <c r="L192" s="26"/>
      <c r="M192" s="34"/>
      <c r="N192" s="33"/>
      <c r="O192" s="32"/>
    </row>
    <row r="193" spans="1:17" ht="24.75" hidden="1" customHeight="1" x14ac:dyDescent="0.3">
      <c r="A193" s="1199"/>
      <c r="B193" s="26" t="s">
        <v>83</v>
      </c>
      <c r="C193" s="45" t="s">
        <v>118</v>
      </c>
      <c r="D193" s="46" t="s">
        <v>301</v>
      </c>
      <c r="E193" s="1172">
        <v>63204350</v>
      </c>
      <c r="F193" s="1179">
        <v>63204350</v>
      </c>
      <c r="G193" s="1172">
        <v>63204350</v>
      </c>
      <c r="H193" s="1172"/>
      <c r="I193" s="1172"/>
      <c r="J193" s="1172"/>
      <c r="K193" s="1172">
        <f t="shared" si="13"/>
        <v>63204350</v>
      </c>
      <c r="L193" s="26">
        <f>IF(F193="",E193-K193,F193-K193)</f>
        <v>0</v>
      </c>
      <c r="M193" s="34"/>
      <c r="N193" s="33"/>
      <c r="O193" s="32"/>
    </row>
    <row r="194" spans="1:17" ht="24.75" hidden="1" customHeight="1" x14ac:dyDescent="0.3">
      <c r="A194" s="1199"/>
      <c r="B194" s="26" t="s">
        <v>87</v>
      </c>
      <c r="C194" s="45" t="s">
        <v>371</v>
      </c>
      <c r="D194" s="46" t="s">
        <v>372</v>
      </c>
      <c r="E194" s="1172">
        <v>2000000</v>
      </c>
      <c r="F194" s="1179">
        <v>2000000</v>
      </c>
      <c r="G194" s="1172">
        <v>2000000</v>
      </c>
      <c r="H194" s="1172"/>
      <c r="I194" s="1172"/>
      <c r="J194" s="1172"/>
      <c r="K194" s="1172">
        <f t="shared" si="13"/>
        <v>2000000</v>
      </c>
      <c r="L194" s="26">
        <f>IF(F194="",E194-K194,F194-K194)</f>
        <v>0</v>
      </c>
      <c r="M194" s="34"/>
      <c r="N194" s="33"/>
      <c r="O194" s="1177"/>
    </row>
    <row r="195" spans="1:17" ht="24.75" hidden="1" customHeight="1" x14ac:dyDescent="0.3">
      <c r="A195" s="1199"/>
      <c r="B195" s="26" t="s">
        <v>91</v>
      </c>
      <c r="C195" s="45" t="s">
        <v>31</v>
      </c>
      <c r="D195" s="46" t="s">
        <v>373</v>
      </c>
      <c r="E195" s="1172">
        <v>75937560</v>
      </c>
      <c r="F195" s="1179">
        <v>83531316</v>
      </c>
      <c r="G195" s="1172">
        <v>45552507</v>
      </c>
      <c r="H195" s="1172">
        <v>37978809</v>
      </c>
      <c r="I195" s="1172"/>
      <c r="J195" s="1172"/>
      <c r="K195" s="1172">
        <f t="shared" si="13"/>
        <v>83531316</v>
      </c>
      <c r="L195" s="26">
        <f>IF(F195="",E195-K195,F195-K195)</f>
        <v>0</v>
      </c>
      <c r="M195" s="34" t="s">
        <v>374</v>
      </c>
      <c r="N195" s="33"/>
      <c r="O195" s="1177"/>
    </row>
    <row r="196" spans="1:17" ht="24.75" hidden="1" customHeight="1" x14ac:dyDescent="0.3">
      <c r="A196" s="1199"/>
      <c r="B196" s="26" t="s">
        <v>95</v>
      </c>
      <c r="C196" s="45" t="s">
        <v>164</v>
      </c>
      <c r="D196" s="46" t="s">
        <v>375</v>
      </c>
      <c r="E196" s="1172">
        <v>34630550</v>
      </c>
      <c r="F196" s="1179">
        <v>34630550</v>
      </c>
      <c r="G196" s="1172">
        <v>34630550</v>
      </c>
      <c r="H196" s="1172"/>
      <c r="I196" s="1172"/>
      <c r="J196" s="1172"/>
      <c r="K196" s="1172">
        <f t="shared" si="13"/>
        <v>34630550</v>
      </c>
      <c r="L196" s="26">
        <f>IF(F196="",E196-K196,F196-K196)</f>
        <v>0</v>
      </c>
      <c r="M196" s="34"/>
      <c r="N196" s="33"/>
      <c r="O196" s="1177"/>
    </row>
    <row r="197" spans="1:17" ht="24.75" hidden="1" customHeight="1" x14ac:dyDescent="0.3">
      <c r="A197" s="1199"/>
      <c r="B197" s="26" t="s">
        <v>98</v>
      </c>
      <c r="C197" s="45" t="s">
        <v>376</v>
      </c>
      <c r="D197" s="46" t="s">
        <v>377</v>
      </c>
      <c r="E197" s="1172">
        <v>1013000</v>
      </c>
      <c r="F197" s="1179"/>
      <c r="G197" s="1172">
        <v>1013000</v>
      </c>
      <c r="H197" s="1172"/>
      <c r="I197" s="1172"/>
      <c r="J197" s="1172"/>
      <c r="K197" s="1172">
        <f t="shared" si="13"/>
        <v>1013000</v>
      </c>
      <c r="L197" s="26">
        <f>IF(F197="",E197-K197,F197-K197)</f>
        <v>0</v>
      </c>
      <c r="M197" s="34"/>
      <c r="N197" s="33"/>
      <c r="O197" s="1177"/>
    </row>
    <row r="198" spans="1:17" s="52" customFormat="1" ht="24.75" hidden="1" customHeight="1" x14ac:dyDescent="0.3">
      <c r="A198" s="1199"/>
      <c r="B198" s="26" t="s">
        <v>102</v>
      </c>
      <c r="C198" s="53" t="s">
        <v>184</v>
      </c>
      <c r="D198" s="83" t="s">
        <v>378</v>
      </c>
      <c r="E198" s="1179"/>
      <c r="F198" s="1179"/>
      <c r="G198" s="1179">
        <v>17842141</v>
      </c>
      <c r="H198" s="1179">
        <v>38439106</v>
      </c>
      <c r="I198" s="1179"/>
      <c r="J198" s="1179"/>
      <c r="K198" s="1179">
        <f t="shared" si="13"/>
        <v>56281247</v>
      </c>
      <c r="L198" s="1172"/>
      <c r="M198" s="49"/>
      <c r="N198" s="50"/>
      <c r="O198" s="98"/>
      <c r="Q198" s="314"/>
    </row>
    <row r="199" spans="1:17" s="52" customFormat="1" ht="24.75" hidden="1" customHeight="1" thickBot="1" x14ac:dyDescent="0.35">
      <c r="A199" s="1175"/>
      <c r="B199" s="352"/>
      <c r="C199" s="353"/>
      <c r="D199" s="354"/>
      <c r="E199" s="223"/>
      <c r="F199" s="223"/>
      <c r="G199" s="223"/>
      <c r="H199" s="223"/>
      <c r="I199" s="223"/>
      <c r="J199" s="223"/>
      <c r="K199" s="357">
        <f>SUM(K175:K198)</f>
        <v>1124541866</v>
      </c>
      <c r="L199" s="357">
        <f>SUM(L175:L198)</f>
        <v>32252000</v>
      </c>
      <c r="M199" s="355"/>
      <c r="N199" s="356"/>
      <c r="O199" s="355"/>
      <c r="Q199" s="314"/>
    </row>
    <row r="200" spans="1:17" ht="21.75" hidden="1" customHeight="1" x14ac:dyDescent="0.3">
      <c r="A200" s="1211" t="s">
        <v>379</v>
      </c>
      <c r="B200" s="19" t="s">
        <v>194</v>
      </c>
      <c r="C200" s="20" t="s">
        <v>359</v>
      </c>
      <c r="D200" s="21" t="s">
        <v>100</v>
      </c>
      <c r="E200" s="19">
        <v>180460000</v>
      </c>
      <c r="F200" s="1209">
        <v>375277500</v>
      </c>
      <c r="G200" s="1197">
        <v>54138000</v>
      </c>
      <c r="H200" s="1197">
        <f>72184000+77000000</f>
        <v>149184000</v>
      </c>
      <c r="I200" s="1197">
        <v>153192500</v>
      </c>
      <c r="J200" s="19"/>
      <c r="K200" s="1197">
        <f>SUM(G200:J200)</f>
        <v>356514500</v>
      </c>
      <c r="L200" s="1197">
        <f>IF(F200="",E200-K200,F200-K200)</f>
        <v>18763000</v>
      </c>
      <c r="M200" s="150"/>
      <c r="N200" s="150" t="s">
        <v>380</v>
      </c>
      <c r="O200" s="305">
        <v>43713</v>
      </c>
      <c r="P200" s="5" t="s">
        <v>381</v>
      </c>
    </row>
    <row r="201" spans="1:17" ht="21.75" hidden="1" customHeight="1" x14ac:dyDescent="0.3">
      <c r="A201" s="1212"/>
      <c r="B201" s="26" t="s">
        <v>196</v>
      </c>
      <c r="C201" s="27" t="s">
        <v>382</v>
      </c>
      <c r="D201" s="28" t="s">
        <v>100</v>
      </c>
      <c r="E201" s="26">
        <v>110000000</v>
      </c>
      <c r="F201" s="1210"/>
      <c r="G201" s="1193"/>
      <c r="H201" s="1193"/>
      <c r="I201" s="1193"/>
      <c r="J201" s="26"/>
      <c r="K201" s="1193"/>
      <c r="L201" s="1193"/>
      <c r="M201" s="32"/>
      <c r="N201" s="32"/>
      <c r="O201" s="152"/>
    </row>
    <row r="202" spans="1:17" ht="21.75" hidden="1" customHeight="1" x14ac:dyDescent="0.3">
      <c r="A202" s="1212"/>
      <c r="B202" s="26" t="s">
        <v>20</v>
      </c>
      <c r="C202" s="27" t="s">
        <v>336</v>
      </c>
      <c r="D202" s="28" t="s">
        <v>383</v>
      </c>
      <c r="E202" s="26"/>
      <c r="F202" s="29"/>
      <c r="G202" s="26">
        <v>10036000</v>
      </c>
      <c r="H202" s="26"/>
      <c r="I202" s="26"/>
      <c r="J202" s="26"/>
      <c r="K202" s="26">
        <f t="shared" ref="K202:K212" si="15">SUM(G202:J202)</f>
        <v>10036000</v>
      </c>
      <c r="L202" s="26"/>
      <c r="M202" s="32"/>
      <c r="N202" s="32"/>
      <c r="O202" s="152"/>
    </row>
    <row r="203" spans="1:17" ht="21.75" hidden="1" customHeight="1" x14ac:dyDescent="0.3">
      <c r="A203" s="1212"/>
      <c r="B203" s="26" t="s">
        <v>24</v>
      </c>
      <c r="C203" s="27" t="s">
        <v>118</v>
      </c>
      <c r="D203" s="28" t="s">
        <v>301</v>
      </c>
      <c r="E203" s="26">
        <v>35661300</v>
      </c>
      <c r="F203" s="29"/>
      <c r="G203" s="26">
        <v>35661300</v>
      </c>
      <c r="H203" s="26"/>
      <c r="I203" s="26"/>
      <c r="J203" s="26"/>
      <c r="K203" s="26">
        <f t="shared" si="15"/>
        <v>35661300</v>
      </c>
      <c r="L203" s="26">
        <f>IF(F203="",E203-K203,F203-K203)</f>
        <v>0</v>
      </c>
      <c r="M203" s="32"/>
      <c r="N203" s="32"/>
      <c r="O203" s="152"/>
    </row>
    <row r="204" spans="1:17" ht="21.75" hidden="1" customHeight="1" x14ac:dyDescent="0.3">
      <c r="A204" s="1212"/>
      <c r="B204" s="26" t="s">
        <v>26</v>
      </c>
      <c r="C204" s="27" t="s">
        <v>123</v>
      </c>
      <c r="D204" s="28" t="s">
        <v>384</v>
      </c>
      <c r="E204" s="26">
        <v>2013000</v>
      </c>
      <c r="F204" s="29"/>
      <c r="G204" s="26">
        <v>2013000</v>
      </c>
      <c r="H204" s="26"/>
      <c r="I204" s="26"/>
      <c r="J204" s="26"/>
      <c r="K204" s="26">
        <f t="shared" si="15"/>
        <v>2013000</v>
      </c>
      <c r="L204" s="26">
        <f>IF(F204="",E204-K204,F204-K204)</f>
        <v>0</v>
      </c>
      <c r="M204" s="32"/>
      <c r="N204" s="32"/>
      <c r="O204" s="152"/>
    </row>
    <row r="205" spans="1:17" ht="21.75" hidden="1" customHeight="1" x14ac:dyDescent="0.3">
      <c r="A205" s="1212"/>
      <c r="B205" s="26" t="s">
        <v>28</v>
      </c>
      <c r="C205" s="27" t="s">
        <v>107</v>
      </c>
      <c r="D205" s="28"/>
      <c r="E205" s="99">
        <v>20624500</v>
      </c>
      <c r="F205" s="29">
        <v>20624500</v>
      </c>
      <c r="G205" s="26">
        <v>15000000</v>
      </c>
      <c r="H205" s="26">
        <v>5624500</v>
      </c>
      <c r="I205" s="26"/>
      <c r="J205" s="26"/>
      <c r="K205" s="26">
        <f t="shared" si="15"/>
        <v>20624500</v>
      </c>
      <c r="L205" s="26">
        <f>IF(F205="",G205-K205,F205-K205)</f>
        <v>0</v>
      </c>
      <c r="M205" s="32"/>
      <c r="N205" s="32"/>
      <c r="O205" s="152"/>
    </row>
    <row r="206" spans="1:17" ht="27" hidden="1" customHeight="1" x14ac:dyDescent="0.3">
      <c r="A206" s="1212"/>
      <c r="B206" s="26" t="s">
        <v>30</v>
      </c>
      <c r="C206" s="27" t="s">
        <v>304</v>
      </c>
      <c r="D206" s="28" t="s">
        <v>265</v>
      </c>
      <c r="E206" s="99">
        <v>19500000</v>
      </c>
      <c r="F206" s="29"/>
      <c r="G206" s="26">
        <v>19500000</v>
      </c>
      <c r="H206" s="26"/>
      <c r="I206" s="26"/>
      <c r="J206" s="26"/>
      <c r="K206" s="26">
        <f t="shared" si="15"/>
        <v>19500000</v>
      </c>
      <c r="L206" s="26">
        <f>IF(F206="",G206-K206,F206-K206)</f>
        <v>0</v>
      </c>
      <c r="M206" s="32"/>
      <c r="N206" s="32"/>
      <c r="O206" s="152"/>
    </row>
    <row r="207" spans="1:17" ht="18.75" hidden="1" customHeight="1" x14ac:dyDescent="0.3">
      <c r="A207" s="1212"/>
      <c r="B207" s="26" t="s">
        <v>33</v>
      </c>
      <c r="C207" s="27" t="s">
        <v>31</v>
      </c>
      <c r="D207" s="28" t="s">
        <v>385</v>
      </c>
      <c r="E207" s="99">
        <v>81870265</v>
      </c>
      <c r="F207" s="29">
        <v>81870265</v>
      </c>
      <c r="G207" s="26">
        <v>60000000</v>
      </c>
      <c r="H207" s="26">
        <v>21870265</v>
      </c>
      <c r="I207" s="26"/>
      <c r="J207" s="26"/>
      <c r="K207" s="26">
        <f t="shared" si="15"/>
        <v>81870265</v>
      </c>
      <c r="L207" s="26">
        <f>IF(F207="",G207-K207,F207-K207)</f>
        <v>0</v>
      </c>
      <c r="M207" s="32"/>
      <c r="N207" s="32"/>
      <c r="O207" s="152"/>
    </row>
    <row r="208" spans="1:17" ht="18.75" hidden="1" customHeight="1" x14ac:dyDescent="0.3">
      <c r="A208" s="1212"/>
      <c r="B208" s="26" t="s">
        <v>39</v>
      </c>
      <c r="C208" s="47" t="s">
        <v>386</v>
      </c>
      <c r="D208" s="28"/>
      <c r="E208" s="26">
        <f>G208*2</f>
        <v>33440000</v>
      </c>
      <c r="F208" s="29">
        <v>33440000</v>
      </c>
      <c r="G208" s="26">
        <v>16720000</v>
      </c>
      <c r="H208" s="26">
        <v>16720000</v>
      </c>
      <c r="I208" s="26"/>
      <c r="J208" s="26"/>
      <c r="K208" s="26">
        <f t="shared" si="15"/>
        <v>33440000</v>
      </c>
      <c r="L208" s="26">
        <f>IF(F208="",E208-K208,F208-K208)</f>
        <v>0</v>
      </c>
      <c r="M208" s="32" t="s">
        <v>387</v>
      </c>
      <c r="N208" s="32" t="s">
        <v>388</v>
      </c>
      <c r="O208" s="236">
        <v>43795</v>
      </c>
    </row>
    <row r="209" spans="1:15" ht="18.75" hidden="1" customHeight="1" x14ac:dyDescent="0.3">
      <c r="A209" s="1213"/>
      <c r="B209" s="26" t="s">
        <v>44</v>
      </c>
      <c r="C209" s="100" t="s">
        <v>161</v>
      </c>
      <c r="D209" s="46" t="s">
        <v>162</v>
      </c>
      <c r="E209" s="1172">
        <v>37200000</v>
      </c>
      <c r="F209" s="1179"/>
      <c r="G209" s="1172">
        <v>37200000</v>
      </c>
      <c r="H209" s="1172"/>
      <c r="I209" s="1172"/>
      <c r="J209" s="1172"/>
      <c r="K209" s="26">
        <f t="shared" si="15"/>
        <v>37200000</v>
      </c>
      <c r="L209" s="1172"/>
      <c r="M209" s="1177"/>
      <c r="N209" s="1177"/>
      <c r="O209" s="306"/>
    </row>
    <row r="210" spans="1:15" ht="18.75" hidden="1" customHeight="1" x14ac:dyDescent="0.3">
      <c r="A210" s="1213"/>
      <c r="B210" s="26" t="s">
        <v>49</v>
      </c>
      <c r="C210" s="100" t="s">
        <v>389</v>
      </c>
      <c r="D210" s="46" t="s">
        <v>173</v>
      </c>
      <c r="E210" s="1172">
        <v>118900000</v>
      </c>
      <c r="F210" s="1179">
        <v>118900000</v>
      </c>
      <c r="G210" s="1172">
        <v>26100000</v>
      </c>
      <c r="H210" s="1172">
        <v>26100000</v>
      </c>
      <c r="I210" s="1172">
        <v>66700000</v>
      </c>
      <c r="J210" s="1172"/>
      <c r="K210" s="1172">
        <f t="shared" si="15"/>
        <v>118900000</v>
      </c>
      <c r="L210" s="26">
        <f>IF(F210="",E210-K210,F210-K210)</f>
        <v>0</v>
      </c>
      <c r="M210" s="1177"/>
      <c r="N210" s="1177"/>
      <c r="O210" s="306"/>
    </row>
    <row r="211" spans="1:15" ht="18.75" hidden="1" customHeight="1" x14ac:dyDescent="0.3">
      <c r="A211" s="1213"/>
      <c r="B211" s="1172"/>
      <c r="C211" s="100" t="s">
        <v>170</v>
      </c>
      <c r="D211" s="502" t="s">
        <v>171</v>
      </c>
      <c r="E211" s="1172"/>
      <c r="F211" s="1179">
        <v>19895000</v>
      </c>
      <c r="G211" s="1172">
        <v>19895000</v>
      </c>
      <c r="H211" s="1172"/>
      <c r="I211" s="1172"/>
      <c r="J211" s="1172"/>
      <c r="K211" s="1172">
        <f t="shared" si="15"/>
        <v>19895000</v>
      </c>
      <c r="L211" s="1172"/>
      <c r="M211" s="1177"/>
      <c r="N211" s="1177"/>
      <c r="O211" s="306"/>
    </row>
    <row r="212" spans="1:15" ht="18.75" hidden="1" customHeight="1" x14ac:dyDescent="0.3">
      <c r="A212" s="1213"/>
      <c r="B212" s="1172"/>
      <c r="C212" s="100" t="s">
        <v>346</v>
      </c>
      <c r="D212" s="502"/>
      <c r="E212" s="1172">
        <v>69580000</v>
      </c>
      <c r="F212" s="1179"/>
      <c r="G212" s="1172">
        <v>69580000</v>
      </c>
      <c r="H212" s="1172"/>
      <c r="I212" s="1172"/>
      <c r="J212" s="1172"/>
      <c r="K212" s="1172">
        <f t="shared" si="15"/>
        <v>69580000</v>
      </c>
      <c r="L212" s="1172"/>
      <c r="M212" s="1177"/>
      <c r="N212" s="1177"/>
      <c r="O212" s="306"/>
    </row>
    <row r="213" spans="1:15" ht="21.75" hidden="1" customHeight="1" thickBot="1" x14ac:dyDescent="0.35">
      <c r="A213" s="1214"/>
      <c r="B213" s="55"/>
      <c r="C213" s="55"/>
      <c r="D213" s="55"/>
      <c r="E213" s="55"/>
      <c r="F213" s="220"/>
      <c r="G213" s="55"/>
      <c r="H213" s="118"/>
      <c r="I213" s="55"/>
      <c r="J213" s="55"/>
      <c r="K213" s="289">
        <f>SUM(K200:K212)</f>
        <v>805234565</v>
      </c>
      <c r="L213" s="288">
        <f>SUM(L200:L211)</f>
        <v>18763000</v>
      </c>
      <c r="M213" s="55"/>
      <c r="N213" s="55"/>
      <c r="O213" s="154"/>
    </row>
    <row r="214" spans="1:15" ht="21.75" hidden="1" customHeight="1" x14ac:dyDescent="0.3">
      <c r="A214" s="1220" t="s">
        <v>390</v>
      </c>
      <c r="B214" s="1173" t="s">
        <v>194</v>
      </c>
      <c r="C214" s="76" t="s">
        <v>359</v>
      </c>
      <c r="D214" s="77" t="s">
        <v>391</v>
      </c>
      <c r="E214" s="1173">
        <v>19400000</v>
      </c>
      <c r="F214" s="1176"/>
      <c r="G214" s="1173">
        <v>9700000</v>
      </c>
      <c r="H214" s="1173"/>
      <c r="I214" s="1173"/>
      <c r="J214" s="1173"/>
      <c r="K214" s="1173">
        <f t="shared" ref="K214:K226" si="16">SUM(G214:J214)</f>
        <v>9700000</v>
      </c>
      <c r="L214" s="1173">
        <f>IF(F214="",E214-K214,F214-K214)</f>
        <v>9700000</v>
      </c>
      <c r="M214" s="1178"/>
      <c r="N214" s="1178" t="s">
        <v>392</v>
      </c>
      <c r="O214" s="304">
        <v>43741</v>
      </c>
    </row>
    <row r="215" spans="1:15" ht="21.75" hidden="1" customHeight="1" x14ac:dyDescent="0.3">
      <c r="A215" s="1221"/>
      <c r="B215" s="26" t="s">
        <v>196</v>
      </c>
      <c r="C215" s="27" t="s">
        <v>369</v>
      </c>
      <c r="D215" s="28" t="s">
        <v>393</v>
      </c>
      <c r="E215" s="26"/>
      <c r="F215" s="29"/>
      <c r="G215" s="26">
        <v>13192000</v>
      </c>
      <c r="H215" s="26">
        <v>2250000</v>
      </c>
      <c r="I215" s="26"/>
      <c r="J215" s="26"/>
      <c r="K215" s="26">
        <f t="shared" si="16"/>
        <v>15442000</v>
      </c>
      <c r="L215" s="26"/>
      <c r="M215" s="32"/>
      <c r="N215" s="32"/>
      <c r="O215" s="32"/>
    </row>
    <row r="216" spans="1:15" ht="21.75" hidden="1" customHeight="1" x14ac:dyDescent="0.3">
      <c r="A216" s="1221"/>
      <c r="B216" s="26" t="s">
        <v>20</v>
      </c>
      <c r="C216" s="27" t="s">
        <v>118</v>
      </c>
      <c r="D216" s="28" t="s">
        <v>301</v>
      </c>
      <c r="E216" s="26">
        <v>36883450</v>
      </c>
      <c r="F216" s="29"/>
      <c r="G216" s="26">
        <v>36883450</v>
      </c>
      <c r="H216" s="26"/>
      <c r="I216" s="26"/>
      <c r="J216" s="26"/>
      <c r="K216" s="26">
        <f t="shared" si="16"/>
        <v>36883450</v>
      </c>
      <c r="L216" s="26">
        <f>IF(F216="",E216-K216,F216-K216)</f>
        <v>0</v>
      </c>
      <c r="M216" s="32"/>
      <c r="N216" s="32"/>
      <c r="O216" s="32"/>
    </row>
    <row r="217" spans="1:15" ht="21.75" hidden="1" customHeight="1" x14ac:dyDescent="0.3">
      <c r="A217" s="1221"/>
      <c r="B217" s="26" t="s">
        <v>24</v>
      </c>
      <c r="C217" s="27" t="s">
        <v>394</v>
      </c>
      <c r="D217" s="28" t="s">
        <v>162</v>
      </c>
      <c r="E217" s="26"/>
      <c r="F217" s="29"/>
      <c r="G217" s="26">
        <v>17600000</v>
      </c>
      <c r="H217" s="26"/>
      <c r="I217" s="26"/>
      <c r="J217" s="26"/>
      <c r="K217" s="26">
        <f t="shared" si="16"/>
        <v>17600000</v>
      </c>
      <c r="L217" s="26"/>
      <c r="M217" s="32"/>
      <c r="N217" s="32"/>
      <c r="O217" s="32"/>
    </row>
    <row r="218" spans="1:15" ht="21.75" hidden="1" customHeight="1" x14ac:dyDescent="0.3">
      <c r="A218" s="1221"/>
      <c r="B218" s="26" t="s">
        <v>26</v>
      </c>
      <c r="C218" s="27" t="s">
        <v>170</v>
      </c>
      <c r="D218" s="28" t="s">
        <v>395</v>
      </c>
      <c r="E218" s="26"/>
      <c r="F218" s="29"/>
      <c r="G218" s="26"/>
      <c r="H218" s="26"/>
      <c r="I218" s="26"/>
      <c r="J218" s="26"/>
      <c r="K218" s="26">
        <f t="shared" si="16"/>
        <v>0</v>
      </c>
      <c r="L218" s="26">
        <f t="shared" ref="L218:L226" si="17">IF(F218="",E218-K218,F218-K218)</f>
        <v>0</v>
      </c>
      <c r="M218" s="32"/>
      <c r="N218" s="32"/>
      <c r="O218" s="32"/>
    </row>
    <row r="219" spans="1:15" ht="21.75" hidden="1" customHeight="1" x14ac:dyDescent="0.3">
      <c r="A219" s="1221"/>
      <c r="B219" s="26" t="s">
        <v>28</v>
      </c>
      <c r="C219" s="27" t="s">
        <v>396</v>
      </c>
      <c r="D219" s="28" t="s">
        <v>397</v>
      </c>
      <c r="E219" s="26">
        <v>2722720</v>
      </c>
      <c r="F219" s="29"/>
      <c r="G219" s="26">
        <v>2722720</v>
      </c>
      <c r="H219" s="26"/>
      <c r="I219" s="26"/>
      <c r="J219" s="26"/>
      <c r="K219" s="26">
        <f t="shared" si="16"/>
        <v>2722720</v>
      </c>
      <c r="L219" s="26">
        <f t="shared" si="17"/>
        <v>0</v>
      </c>
      <c r="M219" s="32"/>
      <c r="N219" s="32"/>
      <c r="O219" s="32"/>
    </row>
    <row r="220" spans="1:15" ht="21.75" hidden="1" customHeight="1" x14ac:dyDescent="0.3">
      <c r="A220" s="1221"/>
      <c r="B220" s="26" t="s">
        <v>30</v>
      </c>
      <c r="C220" s="27" t="s">
        <v>398</v>
      </c>
      <c r="D220" s="28" t="s">
        <v>200</v>
      </c>
      <c r="E220" s="26">
        <v>20999000</v>
      </c>
      <c r="F220" s="29">
        <v>20999000</v>
      </c>
      <c r="G220" s="26">
        <v>15795000</v>
      </c>
      <c r="H220" s="26">
        <v>5204000</v>
      </c>
      <c r="I220" s="26"/>
      <c r="J220" s="26"/>
      <c r="K220" s="26">
        <f t="shared" si="16"/>
        <v>20999000</v>
      </c>
      <c r="L220" s="26">
        <f t="shared" si="17"/>
        <v>0</v>
      </c>
      <c r="M220" s="32" t="s">
        <v>399</v>
      </c>
      <c r="N220" s="32"/>
      <c r="O220" s="32"/>
    </row>
    <row r="221" spans="1:15" ht="21.75" hidden="1" customHeight="1" x14ac:dyDescent="0.3">
      <c r="A221" s="1221"/>
      <c r="B221" s="26" t="s">
        <v>33</v>
      </c>
      <c r="C221" s="27" t="s">
        <v>99</v>
      </c>
      <c r="D221" s="28" t="s">
        <v>400</v>
      </c>
      <c r="E221" s="26">
        <v>16050000</v>
      </c>
      <c r="F221" s="29"/>
      <c r="G221" s="26">
        <v>8025000</v>
      </c>
      <c r="H221" s="26">
        <v>8025000</v>
      </c>
      <c r="I221" s="26"/>
      <c r="J221" s="26"/>
      <c r="K221" s="26">
        <f t="shared" si="16"/>
        <v>16050000</v>
      </c>
      <c r="L221" s="26">
        <f t="shared" si="17"/>
        <v>0</v>
      </c>
      <c r="M221" s="32"/>
      <c r="N221" s="32"/>
      <c r="O221" s="32"/>
    </row>
    <row r="222" spans="1:15" ht="21.75" hidden="1" customHeight="1" x14ac:dyDescent="0.3">
      <c r="A222" s="1221"/>
      <c r="B222" s="26" t="s">
        <v>39</v>
      </c>
      <c r="C222" s="27" t="s">
        <v>401</v>
      </c>
      <c r="D222" s="28" t="s">
        <v>400</v>
      </c>
      <c r="E222" s="26">
        <v>9600000</v>
      </c>
      <c r="F222" s="29"/>
      <c r="G222" s="26">
        <v>9600000</v>
      </c>
      <c r="H222" s="26"/>
      <c r="I222" s="26"/>
      <c r="J222" s="26"/>
      <c r="K222" s="26">
        <f t="shared" si="16"/>
        <v>9600000</v>
      </c>
      <c r="L222" s="26">
        <f t="shared" si="17"/>
        <v>0</v>
      </c>
      <c r="M222" s="32"/>
      <c r="N222" s="32"/>
      <c r="O222" s="32"/>
    </row>
    <row r="223" spans="1:15" ht="39.75" hidden="1" customHeight="1" x14ac:dyDescent="0.3">
      <c r="A223" s="1222"/>
      <c r="B223" s="26" t="s">
        <v>44</v>
      </c>
      <c r="C223" s="45" t="s">
        <v>402</v>
      </c>
      <c r="D223" s="46" t="s">
        <v>403</v>
      </c>
      <c r="E223" s="1172">
        <v>3800000</v>
      </c>
      <c r="F223" s="1179"/>
      <c r="G223" s="1172">
        <v>3800000</v>
      </c>
      <c r="H223" s="1172"/>
      <c r="I223" s="1172"/>
      <c r="J223" s="1172"/>
      <c r="K223" s="26">
        <f t="shared" si="16"/>
        <v>3800000</v>
      </c>
      <c r="L223" s="26">
        <f t="shared" si="17"/>
        <v>0</v>
      </c>
      <c r="M223" s="1177"/>
      <c r="N223" s="1177"/>
      <c r="O223" s="1177"/>
    </row>
    <row r="224" spans="1:15" ht="21.75" hidden="1" customHeight="1" x14ac:dyDescent="0.3">
      <c r="A224" s="1222"/>
      <c r="B224" s="26" t="s">
        <v>49</v>
      </c>
      <c r="C224" s="45" t="s">
        <v>404</v>
      </c>
      <c r="D224" s="46" t="s">
        <v>299</v>
      </c>
      <c r="E224" s="1172">
        <v>8000000</v>
      </c>
      <c r="F224" s="1179"/>
      <c r="G224" s="1172">
        <v>8000000</v>
      </c>
      <c r="H224" s="1172"/>
      <c r="I224" s="1172"/>
      <c r="J224" s="1172"/>
      <c r="K224" s="26">
        <f t="shared" si="16"/>
        <v>8000000</v>
      </c>
      <c r="L224" s="26">
        <f t="shared" si="17"/>
        <v>0</v>
      </c>
      <c r="M224" s="1177"/>
      <c r="N224" s="1177"/>
      <c r="O224" s="1177"/>
    </row>
    <row r="225" spans="1:17" ht="21.75" hidden="1" customHeight="1" x14ac:dyDescent="0.3">
      <c r="A225" s="1222"/>
      <c r="B225" s="26" t="s">
        <v>55</v>
      </c>
      <c r="C225" s="45" t="s">
        <v>405</v>
      </c>
      <c r="D225" s="46" t="s">
        <v>173</v>
      </c>
      <c r="E225" s="1172">
        <v>5323000</v>
      </c>
      <c r="F225" s="1179"/>
      <c r="G225" s="1172">
        <v>5323000</v>
      </c>
      <c r="H225" s="1172"/>
      <c r="I225" s="1172"/>
      <c r="J225" s="1172"/>
      <c r="K225" s="26">
        <f t="shared" si="16"/>
        <v>5323000</v>
      </c>
      <c r="L225" s="26">
        <f t="shared" si="17"/>
        <v>0</v>
      </c>
      <c r="M225" s="1177"/>
      <c r="N225" s="1177"/>
      <c r="O225" s="1177"/>
    </row>
    <row r="226" spans="1:17" ht="21.75" hidden="1" customHeight="1" x14ac:dyDescent="0.3">
      <c r="A226" s="1222"/>
      <c r="B226" s="26" t="s">
        <v>59</v>
      </c>
      <c r="C226" s="45" t="s">
        <v>406</v>
      </c>
      <c r="D226" s="46" t="s">
        <v>100</v>
      </c>
      <c r="E226" s="1172"/>
      <c r="F226" s="1179">
        <f>21800000+22238000</f>
        <v>44038000</v>
      </c>
      <c r="G226" s="1172">
        <v>44038000</v>
      </c>
      <c r="H226" s="1172"/>
      <c r="I226" s="1172"/>
      <c r="J226" s="1172"/>
      <c r="K226" s="26">
        <f t="shared" si="16"/>
        <v>44038000</v>
      </c>
      <c r="L226" s="26">
        <f t="shared" si="17"/>
        <v>0</v>
      </c>
      <c r="M226" s="1177"/>
      <c r="N226" s="1177"/>
      <c r="O226" s="1177"/>
    </row>
    <row r="227" spans="1:17" ht="21.75" hidden="1" customHeight="1" x14ac:dyDescent="0.3">
      <c r="A227" s="1222"/>
      <c r="B227" s="1177"/>
      <c r="C227" s="1177"/>
      <c r="D227" s="1177"/>
      <c r="E227" s="1177"/>
      <c r="F227" s="1179"/>
      <c r="G227" s="1177"/>
      <c r="H227" s="1172"/>
      <c r="I227" s="1177"/>
      <c r="J227" s="1177"/>
      <c r="K227" s="299">
        <f>SUM(K214:K226)</f>
        <v>190158170</v>
      </c>
      <c r="L227" s="298">
        <f>SUM(L214:L226)</f>
        <v>9700000</v>
      </c>
      <c r="M227" s="1177"/>
      <c r="N227" s="1177"/>
      <c r="O227" s="1177"/>
    </row>
    <row r="228" spans="1:17" ht="21.75" hidden="1" customHeight="1" x14ac:dyDescent="0.3">
      <c r="A228" s="1230" t="s">
        <v>407</v>
      </c>
      <c r="B228" s="484" t="s">
        <v>194</v>
      </c>
      <c r="C228" s="485" t="s">
        <v>359</v>
      </c>
      <c r="D228" s="486" t="s">
        <v>100</v>
      </c>
      <c r="E228" s="487">
        <v>798512000</v>
      </c>
      <c r="F228" s="487">
        <v>798512000</v>
      </c>
      <c r="G228" s="484">
        <v>229563000</v>
      </c>
      <c r="H228" s="484">
        <v>306084000</v>
      </c>
      <c r="I228" s="484">
        <v>222940000</v>
      </c>
      <c r="J228" s="488"/>
      <c r="K228" s="484">
        <f>SUM(G228:I228)</f>
        <v>758587000</v>
      </c>
      <c r="L228" s="484">
        <f>IF(F228="",E228-K228,F228-K228)</f>
        <v>39925000</v>
      </c>
      <c r="M228" s="489"/>
      <c r="N228" s="489"/>
      <c r="O228" s="490" t="s">
        <v>408</v>
      </c>
      <c r="P228" s="103"/>
      <c r="Q228" s="312"/>
    </row>
    <row r="229" spans="1:17" ht="21.75" hidden="1" customHeight="1" x14ac:dyDescent="0.3">
      <c r="A229" s="1231"/>
      <c r="B229" s="240" t="s">
        <v>196</v>
      </c>
      <c r="C229" s="241" t="s">
        <v>409</v>
      </c>
      <c r="D229" s="242" t="s">
        <v>410</v>
      </c>
      <c r="E229" s="240">
        <v>9300000</v>
      </c>
      <c r="F229" s="243"/>
      <c r="G229" s="240">
        <v>9300000</v>
      </c>
      <c r="H229" s="240"/>
      <c r="I229" s="240"/>
      <c r="J229" s="240"/>
      <c r="K229" s="240">
        <f t="shared" ref="K229:K235" si="18">SUM(G229:J229)</f>
        <v>9300000</v>
      </c>
      <c r="L229" s="240">
        <f>IF(F229="",E229-K229,F229-K229)</f>
        <v>0</v>
      </c>
      <c r="M229" s="244"/>
      <c r="N229" s="244"/>
      <c r="O229" s="244"/>
    </row>
    <row r="230" spans="1:17" ht="21.75" hidden="1" customHeight="1" x14ac:dyDescent="0.3">
      <c r="A230" s="1231"/>
      <c r="B230" s="240" t="s">
        <v>20</v>
      </c>
      <c r="C230" s="241" t="s">
        <v>118</v>
      </c>
      <c r="D230" s="242" t="s">
        <v>301</v>
      </c>
      <c r="E230" s="240">
        <v>42597100</v>
      </c>
      <c r="F230" s="243"/>
      <c r="G230" s="240">
        <v>42597100</v>
      </c>
      <c r="H230" s="240"/>
      <c r="I230" s="240"/>
      <c r="J230" s="240"/>
      <c r="K230" s="240">
        <f t="shared" si="18"/>
        <v>42597100</v>
      </c>
      <c r="L230" s="240">
        <f>IF(F230="",E230-K230,F230-K230)</f>
        <v>0</v>
      </c>
      <c r="M230" s="244"/>
      <c r="N230" s="244"/>
      <c r="O230" s="244"/>
    </row>
    <row r="231" spans="1:17" ht="21.75" hidden="1" customHeight="1" x14ac:dyDescent="0.3">
      <c r="A231" s="1231"/>
      <c r="B231" s="240" t="s">
        <v>24</v>
      </c>
      <c r="C231" s="241" t="s">
        <v>411</v>
      </c>
      <c r="D231" s="242"/>
      <c r="E231" s="240"/>
      <c r="F231" s="243"/>
      <c r="G231" s="240">
        <v>200000</v>
      </c>
      <c r="H231" s="240"/>
      <c r="I231" s="240"/>
      <c r="J231" s="240"/>
      <c r="K231" s="240">
        <f t="shared" si="18"/>
        <v>200000</v>
      </c>
      <c r="L231" s="240"/>
      <c r="M231" s="244"/>
      <c r="N231" s="244"/>
      <c r="O231" s="244"/>
    </row>
    <row r="232" spans="1:17" ht="21.75" hidden="1" customHeight="1" x14ac:dyDescent="0.3">
      <c r="A232" s="1231"/>
      <c r="B232" s="240" t="s">
        <v>26</v>
      </c>
      <c r="C232" s="241" t="s">
        <v>201</v>
      </c>
      <c r="D232" s="242" t="s">
        <v>200</v>
      </c>
      <c r="E232" s="240">
        <v>20990000</v>
      </c>
      <c r="F232" s="243"/>
      <c r="G232" s="240"/>
      <c r="H232" s="240"/>
      <c r="I232" s="240"/>
      <c r="J232" s="240"/>
      <c r="K232" s="240">
        <f t="shared" si="18"/>
        <v>0</v>
      </c>
      <c r="L232" s="240">
        <f>IF(F232="",E232-K232,F232-K232)</f>
        <v>20990000</v>
      </c>
      <c r="M232" s="244" t="s">
        <v>47</v>
      </c>
      <c r="N232" s="244" t="s">
        <v>412</v>
      </c>
      <c r="O232" s="491">
        <v>43798</v>
      </c>
    </row>
    <row r="233" spans="1:17" ht="21.75" hidden="1" customHeight="1" x14ac:dyDescent="0.3">
      <c r="A233" s="1231"/>
      <c r="B233" s="240" t="s">
        <v>28</v>
      </c>
      <c r="C233" s="241" t="s">
        <v>304</v>
      </c>
      <c r="D233" s="242" t="s">
        <v>265</v>
      </c>
      <c r="E233" s="240">
        <v>65266000</v>
      </c>
      <c r="F233" s="243"/>
      <c r="G233" s="240">
        <v>65266000</v>
      </c>
      <c r="H233" s="240"/>
      <c r="I233" s="240"/>
      <c r="J233" s="240"/>
      <c r="K233" s="240">
        <f t="shared" si="18"/>
        <v>65266000</v>
      </c>
      <c r="L233" s="240">
        <f>IF(F233="",E233-K233,F233-K233)</f>
        <v>0</v>
      </c>
      <c r="M233" s="244"/>
      <c r="N233" s="244"/>
      <c r="O233" s="491"/>
    </row>
    <row r="234" spans="1:17" ht="21.75" hidden="1" customHeight="1" x14ac:dyDescent="0.3">
      <c r="A234" s="1231"/>
      <c r="B234" s="240" t="s">
        <v>30</v>
      </c>
      <c r="C234" s="241" t="s">
        <v>340</v>
      </c>
      <c r="D234" s="242" t="s">
        <v>156</v>
      </c>
      <c r="E234" s="240">
        <v>17727273</v>
      </c>
      <c r="F234" s="243"/>
      <c r="G234" s="240">
        <v>16000000</v>
      </c>
      <c r="H234" s="240">
        <v>1727273</v>
      </c>
      <c r="I234" s="240"/>
      <c r="J234" s="240"/>
      <c r="K234" s="240">
        <f t="shared" si="18"/>
        <v>17727273</v>
      </c>
      <c r="L234" s="240">
        <f>IF(F234="",E234-K234,F234-K234)</f>
        <v>0</v>
      </c>
      <c r="M234" s="244"/>
      <c r="N234" s="244"/>
      <c r="O234" s="491"/>
    </row>
    <row r="235" spans="1:17" ht="21.75" hidden="1" customHeight="1" x14ac:dyDescent="0.3">
      <c r="A235" s="1231"/>
      <c r="B235" s="240" t="s">
        <v>33</v>
      </c>
      <c r="C235" s="241" t="s">
        <v>413</v>
      </c>
      <c r="D235" s="242"/>
      <c r="E235" s="240"/>
      <c r="F235" s="243">
        <v>120436501</v>
      </c>
      <c r="G235" s="240">
        <v>58238000</v>
      </c>
      <c r="H235" s="240">
        <v>62198501</v>
      </c>
      <c r="I235" s="240"/>
      <c r="J235" s="240"/>
      <c r="K235" s="240">
        <f t="shared" si="18"/>
        <v>120436501</v>
      </c>
      <c r="L235" s="240">
        <f>IF(F235="",E235-K235,F235-K235)</f>
        <v>0</v>
      </c>
      <c r="M235" s="244"/>
      <c r="N235" s="244"/>
      <c r="O235" s="491"/>
    </row>
    <row r="236" spans="1:17" ht="21.75" hidden="1" customHeight="1" x14ac:dyDescent="0.3">
      <c r="A236" s="1232"/>
      <c r="B236" s="316"/>
      <c r="C236" s="326"/>
      <c r="D236" s="327"/>
      <c r="E236" s="316"/>
      <c r="F236" s="301"/>
      <c r="G236" s="316"/>
      <c r="H236" s="316"/>
      <c r="I236" s="316"/>
      <c r="J236" s="316"/>
      <c r="K236" s="316"/>
      <c r="L236" s="316"/>
      <c r="M236" s="302"/>
      <c r="N236" s="302"/>
      <c r="O236" s="732"/>
    </row>
    <row r="237" spans="1:17" ht="21.75" hidden="1" customHeight="1" x14ac:dyDescent="0.3">
      <c r="A237" s="1233"/>
      <c r="B237" s="492"/>
      <c r="C237" s="492"/>
      <c r="D237" s="492"/>
      <c r="E237" s="492"/>
      <c r="F237" s="493"/>
      <c r="G237" s="492"/>
      <c r="H237" s="494"/>
      <c r="I237" s="492"/>
      <c r="J237" s="492"/>
      <c r="K237" s="495">
        <f>SUM(K228:K235)</f>
        <v>1014113874</v>
      </c>
      <c r="L237" s="496">
        <f>SUM(L228:L235)</f>
        <v>60915000</v>
      </c>
      <c r="M237" s="492"/>
      <c r="N237" s="492"/>
      <c r="O237" s="492"/>
    </row>
    <row r="238" spans="1:17" ht="21.75" hidden="1" customHeight="1" x14ac:dyDescent="0.3">
      <c r="A238" s="1201"/>
      <c r="B238" s="240" t="s">
        <v>196</v>
      </c>
      <c r="C238" s="241" t="s">
        <v>201</v>
      </c>
      <c r="D238" s="242" t="s">
        <v>200</v>
      </c>
      <c r="E238" s="240">
        <v>36860571</v>
      </c>
      <c r="F238" s="243"/>
      <c r="G238" s="240">
        <v>18430000</v>
      </c>
      <c r="H238" s="240">
        <v>14744000</v>
      </c>
      <c r="I238" s="240">
        <f>3686751-180</f>
        <v>3686571</v>
      </c>
      <c r="J238" s="240"/>
      <c r="K238" s="240">
        <f>SUM(G238:J238)</f>
        <v>36860571</v>
      </c>
      <c r="L238" s="240">
        <f>IF(F238="",E238-K238,F238-K238)</f>
        <v>0</v>
      </c>
      <c r="M238" s="269" t="s">
        <v>47</v>
      </c>
      <c r="N238" s="270" t="s">
        <v>414</v>
      </c>
      <c r="O238" s="271">
        <v>43773</v>
      </c>
    </row>
    <row r="239" spans="1:17" ht="21.75" hidden="1" customHeight="1" x14ac:dyDescent="0.3">
      <c r="A239" s="1201"/>
      <c r="B239" s="240" t="s">
        <v>24</v>
      </c>
      <c r="C239" s="241" t="s">
        <v>304</v>
      </c>
      <c r="D239" s="242" t="s">
        <v>265</v>
      </c>
      <c r="E239" s="240">
        <v>5300000</v>
      </c>
      <c r="F239" s="243"/>
      <c r="G239" s="240">
        <v>5300000</v>
      </c>
      <c r="H239" s="240"/>
      <c r="I239" s="240"/>
      <c r="J239" s="240"/>
      <c r="K239" s="240">
        <f>SUM(G239:J239)</f>
        <v>5300000</v>
      </c>
      <c r="L239" s="240">
        <f>IF(F239="",E239-K239,F239-K239)</f>
        <v>0</v>
      </c>
      <c r="M239" s="269"/>
      <c r="N239" s="270"/>
      <c r="O239" s="258"/>
    </row>
    <row r="240" spans="1:17" ht="21.75" hidden="1" customHeight="1" x14ac:dyDescent="0.3">
      <c r="A240" s="1201"/>
      <c r="B240" s="240" t="s">
        <v>26</v>
      </c>
      <c r="C240" s="241" t="s">
        <v>415</v>
      </c>
      <c r="D240" s="242" t="s">
        <v>416</v>
      </c>
      <c r="E240" s="240">
        <v>1100000</v>
      </c>
      <c r="F240" s="243"/>
      <c r="G240" s="240"/>
      <c r="H240" s="240"/>
      <c r="I240" s="240"/>
      <c r="J240" s="240"/>
      <c r="K240" s="240">
        <v>1100000</v>
      </c>
      <c r="L240" s="240">
        <f>IF(F240="",E240-K240,F240-K240)</f>
        <v>0</v>
      </c>
      <c r="M240" s="277" t="s">
        <v>417</v>
      </c>
      <c r="N240" s="270"/>
      <c r="O240" s="258"/>
    </row>
    <row r="241" spans="1:17" ht="21.75" hidden="1" customHeight="1" x14ac:dyDescent="0.3">
      <c r="A241" s="1201"/>
      <c r="B241" s="240" t="s">
        <v>28</v>
      </c>
      <c r="C241" s="241" t="s">
        <v>215</v>
      </c>
      <c r="D241" s="242" t="s">
        <v>418</v>
      </c>
      <c r="E241" s="240">
        <v>55074636</v>
      </c>
      <c r="F241" s="243"/>
      <c r="G241" s="240">
        <v>25033925</v>
      </c>
      <c r="H241" s="240"/>
      <c r="I241" s="240"/>
      <c r="J241" s="240"/>
      <c r="K241" s="240">
        <f>SUM(G241:J241)</f>
        <v>25033925</v>
      </c>
      <c r="L241" s="240">
        <f>IF(F241="",E241-K241,F241-K241)</f>
        <v>30040711</v>
      </c>
      <c r="M241" s="269" t="s">
        <v>47</v>
      </c>
      <c r="N241" s="270" t="s">
        <v>419</v>
      </c>
      <c r="O241" s="271">
        <v>43782</v>
      </c>
    </row>
    <row r="242" spans="1:17" ht="21.75" hidden="1" customHeight="1" x14ac:dyDescent="0.3">
      <c r="A242" s="1201"/>
      <c r="B242" s="240" t="s">
        <v>30</v>
      </c>
      <c r="C242" s="241" t="s">
        <v>164</v>
      </c>
      <c r="D242" s="242" t="s">
        <v>41</v>
      </c>
      <c r="E242" s="240">
        <v>11295350</v>
      </c>
      <c r="F242" s="243"/>
      <c r="G242" s="240">
        <v>11295350</v>
      </c>
      <c r="H242" s="240"/>
      <c r="I242" s="240"/>
      <c r="J242" s="240"/>
      <c r="K242" s="240">
        <f>SUM(G242:J242)</f>
        <v>11295350</v>
      </c>
      <c r="L242" s="240">
        <f>IF(F242="",E242-K242,F242-K242)</f>
        <v>0</v>
      </c>
      <c r="M242" s="277" t="s">
        <v>420</v>
      </c>
      <c r="N242" s="270"/>
      <c r="O242" s="258"/>
    </row>
    <row r="243" spans="1:17" ht="21.75" hidden="1" customHeight="1" x14ac:dyDescent="0.3">
      <c r="A243" s="1201"/>
      <c r="B243" s="240" t="s">
        <v>33</v>
      </c>
      <c r="C243" s="241" t="s">
        <v>336</v>
      </c>
      <c r="D243" s="242" t="s">
        <v>286</v>
      </c>
      <c r="E243" s="240"/>
      <c r="F243" s="243"/>
      <c r="G243" s="240">
        <v>12040000</v>
      </c>
      <c r="H243" s="240"/>
      <c r="I243" s="240"/>
      <c r="J243" s="240"/>
      <c r="K243" s="240">
        <f>SUM(G243:J243)</f>
        <v>12040000</v>
      </c>
      <c r="L243" s="240"/>
      <c r="M243" s="269"/>
      <c r="N243" s="270"/>
      <c r="O243" s="258"/>
    </row>
    <row r="244" spans="1:17" ht="21.75" hidden="1" customHeight="1" x14ac:dyDescent="0.3">
      <c r="A244" s="1201"/>
      <c r="B244" s="240" t="s">
        <v>39</v>
      </c>
      <c r="C244" s="241" t="s">
        <v>421</v>
      </c>
      <c r="D244" s="242" t="s">
        <v>422</v>
      </c>
      <c r="E244" s="240">
        <v>15500000</v>
      </c>
      <c r="F244" s="243"/>
      <c r="G244" s="240">
        <v>15500000</v>
      </c>
      <c r="H244" s="240"/>
      <c r="I244" s="240"/>
      <c r="J244" s="240"/>
      <c r="K244" s="240">
        <f>SUM(G244:J244)</f>
        <v>15500000</v>
      </c>
      <c r="L244" s="240">
        <f>IF(F244="",E244-K244,F244-K244)</f>
        <v>0</v>
      </c>
      <c r="M244" s="269"/>
      <c r="N244" s="270"/>
      <c r="O244" s="258"/>
    </row>
    <row r="245" spans="1:17" ht="21.75" hidden="1" customHeight="1" x14ac:dyDescent="0.3">
      <c r="A245" s="1201"/>
      <c r="B245" s="322" t="s">
        <v>44</v>
      </c>
      <c r="C245" s="323" t="s">
        <v>423</v>
      </c>
      <c r="D245" s="324" t="s">
        <v>65</v>
      </c>
      <c r="E245" s="322">
        <v>5250000</v>
      </c>
      <c r="F245" s="325"/>
      <c r="G245" s="322">
        <v>1575000</v>
      </c>
      <c r="H245" s="322"/>
      <c r="I245" s="322"/>
      <c r="J245" s="322"/>
      <c r="K245" s="322">
        <f>SUM(G245:J245)</f>
        <v>1575000</v>
      </c>
      <c r="L245" s="322">
        <f>IF(F245="",E245-K245,F245-K245)</f>
        <v>3675000</v>
      </c>
      <c r="M245" s="269"/>
      <c r="N245" s="270"/>
      <c r="O245" s="258"/>
    </row>
    <row r="246" spans="1:17" s="42" customFormat="1" ht="30" hidden="1" customHeight="1" thickBot="1" x14ac:dyDescent="0.35">
      <c r="A246" s="1202"/>
      <c r="B246" s="278"/>
      <c r="C246" s="278"/>
      <c r="D246" s="278"/>
      <c r="E246" s="278"/>
      <c r="F246" s="279"/>
      <c r="G246" s="278"/>
      <c r="H246" s="360"/>
      <c r="I246" s="278"/>
      <c r="J246" s="278"/>
      <c r="K246" s="297">
        <f>SUM(K238:K245)</f>
        <v>108704846</v>
      </c>
      <c r="L246" s="296">
        <f>SUM(L238:L245)</f>
        <v>33715711</v>
      </c>
      <c r="M246" s="280"/>
      <c r="N246" s="281"/>
      <c r="O246" s="282"/>
      <c r="Q246" s="208"/>
    </row>
    <row r="247" spans="1:17" ht="23.25" hidden="1" customHeight="1" x14ac:dyDescent="0.3">
      <c r="A247" s="1208" t="s">
        <v>424</v>
      </c>
      <c r="B247" s="19" t="s">
        <v>194</v>
      </c>
      <c r="C247" s="136" t="s">
        <v>425</v>
      </c>
      <c r="D247" s="137"/>
      <c r="E247" s="138">
        <v>2000000</v>
      </c>
      <c r="F247" s="22"/>
      <c r="G247" s="138">
        <v>2000000</v>
      </c>
      <c r="H247" s="19"/>
      <c r="I247" s="19"/>
      <c r="J247" s="19"/>
      <c r="K247" s="19">
        <f t="shared" ref="K247:K276" si="19">SUM(G247:J247)</f>
        <v>2000000</v>
      </c>
      <c r="L247" s="19">
        <f t="shared" ref="L247:L253" si="20">IF(F247="",E247-K247,F247-K247)</f>
        <v>0</v>
      </c>
      <c r="M247" s="23"/>
      <c r="N247" s="24"/>
      <c r="O247" s="151"/>
    </row>
    <row r="248" spans="1:17" ht="23.25" hidden="1" customHeight="1" x14ac:dyDescent="0.3">
      <c r="A248" s="1207"/>
      <c r="B248" s="26" t="s">
        <v>24</v>
      </c>
      <c r="C248" s="45" t="s">
        <v>88</v>
      </c>
      <c r="D248" s="46" t="s">
        <v>397</v>
      </c>
      <c r="E248" s="1172">
        <v>24192000</v>
      </c>
      <c r="F248" s="1179"/>
      <c r="G248" s="1172">
        <v>24192000</v>
      </c>
      <c r="H248" s="144"/>
      <c r="I248" s="1172"/>
      <c r="J248" s="1172"/>
      <c r="K248" s="26">
        <f t="shared" si="19"/>
        <v>24192000</v>
      </c>
      <c r="L248" s="26">
        <f t="shared" si="20"/>
        <v>0</v>
      </c>
      <c r="M248" s="34"/>
      <c r="N248" s="33"/>
      <c r="O248" s="152"/>
    </row>
    <row r="249" spans="1:17" ht="23.25" hidden="1" customHeight="1" x14ac:dyDescent="0.3">
      <c r="A249" s="1207"/>
      <c r="B249" s="26" t="s">
        <v>26</v>
      </c>
      <c r="C249" s="45" t="s">
        <v>88</v>
      </c>
      <c r="D249" s="46" t="s">
        <v>426</v>
      </c>
      <c r="E249" s="1172">
        <v>2878600</v>
      </c>
      <c r="F249" s="1179"/>
      <c r="G249" s="1172">
        <v>2878600</v>
      </c>
      <c r="H249" s="144"/>
      <c r="I249" s="1172"/>
      <c r="J249" s="1172"/>
      <c r="K249" s="26">
        <f t="shared" si="19"/>
        <v>2878600</v>
      </c>
      <c r="L249" s="26">
        <f t="shared" si="20"/>
        <v>0</v>
      </c>
      <c r="M249" s="34"/>
      <c r="N249" s="33"/>
      <c r="O249" s="152"/>
    </row>
    <row r="250" spans="1:17" ht="23.25" hidden="1" customHeight="1" x14ac:dyDescent="0.3">
      <c r="A250" s="1207"/>
      <c r="B250" s="26" t="s">
        <v>28</v>
      </c>
      <c r="C250" s="45" t="s">
        <v>31</v>
      </c>
      <c r="D250" s="46" t="s">
        <v>195</v>
      </c>
      <c r="E250" s="1172">
        <v>81896000</v>
      </c>
      <c r="F250" s="1179"/>
      <c r="G250" s="1172">
        <v>5980000</v>
      </c>
      <c r="H250" s="1172">
        <v>75916000</v>
      </c>
      <c r="I250" s="1172"/>
      <c r="J250" s="1172"/>
      <c r="K250" s="1172">
        <f t="shared" si="19"/>
        <v>81896000</v>
      </c>
      <c r="L250" s="26">
        <f t="shared" si="20"/>
        <v>0</v>
      </c>
      <c r="M250" s="34"/>
      <c r="N250" s="33"/>
      <c r="O250" s="152"/>
    </row>
    <row r="251" spans="1:17" s="42" customFormat="1" ht="23.25" hidden="1" customHeight="1" x14ac:dyDescent="0.3">
      <c r="A251" s="1207"/>
      <c r="B251" s="38" t="s">
        <v>33</v>
      </c>
      <c r="C251" s="95" t="s">
        <v>427</v>
      </c>
      <c r="D251" s="96" t="s">
        <v>229</v>
      </c>
      <c r="E251" s="97">
        <v>34474000</v>
      </c>
      <c r="F251" s="219">
        <v>24590500</v>
      </c>
      <c r="G251" s="97">
        <v>10342000</v>
      </c>
      <c r="H251" s="97">
        <v>14248500</v>
      </c>
      <c r="I251" s="97"/>
      <c r="J251" s="97"/>
      <c r="K251" s="97">
        <f t="shared" si="19"/>
        <v>24590500</v>
      </c>
      <c r="L251" s="38">
        <f t="shared" si="20"/>
        <v>0</v>
      </c>
      <c r="M251" s="39" t="s">
        <v>47</v>
      </c>
      <c r="N251" s="139" t="s">
        <v>428</v>
      </c>
      <c r="O251" s="237">
        <v>43781</v>
      </c>
      <c r="Q251" s="208"/>
    </row>
    <row r="252" spans="1:17" ht="23.25" hidden="1" customHeight="1" x14ac:dyDescent="0.3">
      <c r="A252" s="1207"/>
      <c r="B252" s="26" t="s">
        <v>39</v>
      </c>
      <c r="C252" s="45" t="s">
        <v>429</v>
      </c>
      <c r="D252" s="46" t="s">
        <v>430</v>
      </c>
      <c r="E252" s="1172">
        <v>6392000</v>
      </c>
      <c r="F252" s="1179"/>
      <c r="G252" s="1172">
        <v>4474000</v>
      </c>
      <c r="H252" s="1172">
        <v>1918000</v>
      </c>
      <c r="I252" s="1172"/>
      <c r="J252" s="1172"/>
      <c r="K252" s="1172">
        <f t="shared" si="19"/>
        <v>6392000</v>
      </c>
      <c r="L252" s="26">
        <f t="shared" si="20"/>
        <v>0</v>
      </c>
      <c r="M252" s="44" t="s">
        <v>431</v>
      </c>
      <c r="N252" s="33"/>
      <c r="O252" s="152"/>
    </row>
    <row r="253" spans="1:17" ht="23.25" hidden="1" customHeight="1" x14ac:dyDescent="0.3">
      <c r="A253" s="1207"/>
      <c r="B253" s="26" t="s">
        <v>44</v>
      </c>
      <c r="C253" s="45" t="s">
        <v>172</v>
      </c>
      <c r="D253" s="46" t="s">
        <v>432</v>
      </c>
      <c r="E253" s="1172">
        <v>1925000</v>
      </c>
      <c r="F253" s="1179"/>
      <c r="G253" s="1172">
        <v>962500</v>
      </c>
      <c r="H253" s="1172">
        <v>962500</v>
      </c>
      <c r="I253" s="1172"/>
      <c r="J253" s="1172"/>
      <c r="K253" s="1172">
        <f t="shared" si="19"/>
        <v>1925000</v>
      </c>
      <c r="L253" s="26">
        <f t="shared" si="20"/>
        <v>0</v>
      </c>
      <c r="M253" s="44" t="s">
        <v>433</v>
      </c>
      <c r="N253" s="33"/>
      <c r="O253" s="152"/>
    </row>
    <row r="254" spans="1:17" ht="23.25" hidden="1" customHeight="1" x14ac:dyDescent="0.3">
      <c r="A254" s="1207"/>
      <c r="B254" s="26" t="s">
        <v>49</v>
      </c>
      <c r="C254" s="45" t="s">
        <v>336</v>
      </c>
      <c r="D254" s="105" t="s">
        <v>286</v>
      </c>
      <c r="E254" s="1172"/>
      <c r="F254" s="1179"/>
      <c r="G254" s="1172">
        <v>3753000</v>
      </c>
      <c r="H254" s="1172"/>
      <c r="I254" s="1172"/>
      <c r="J254" s="1172"/>
      <c r="K254" s="1172">
        <f t="shared" si="19"/>
        <v>3753000</v>
      </c>
      <c r="L254" s="26"/>
      <c r="M254" s="44"/>
      <c r="N254" s="33"/>
      <c r="O254" s="152"/>
    </row>
    <row r="255" spans="1:17" ht="23.25" hidden="1" customHeight="1" x14ac:dyDescent="0.3">
      <c r="A255" s="1207"/>
      <c r="B255" s="26" t="s">
        <v>55</v>
      </c>
      <c r="C255" s="45" t="s">
        <v>336</v>
      </c>
      <c r="D255" s="105" t="s">
        <v>434</v>
      </c>
      <c r="E255" s="1172"/>
      <c r="F255" s="1179"/>
      <c r="G255" s="1172">
        <v>997000</v>
      </c>
      <c r="H255" s="1172"/>
      <c r="I255" s="1172"/>
      <c r="J255" s="1172"/>
      <c r="K255" s="1172">
        <f t="shared" si="19"/>
        <v>997000</v>
      </c>
      <c r="L255" s="26"/>
      <c r="M255" s="44"/>
      <c r="N255" s="33"/>
      <c r="O255" s="152"/>
    </row>
    <row r="256" spans="1:17" ht="23.25" hidden="1" customHeight="1" x14ac:dyDescent="0.3">
      <c r="A256" s="1207"/>
      <c r="B256" s="26" t="s">
        <v>63</v>
      </c>
      <c r="C256" s="45" t="s">
        <v>99</v>
      </c>
      <c r="D256" s="105" t="s">
        <v>100</v>
      </c>
      <c r="E256" s="1172">
        <v>156045000</v>
      </c>
      <c r="F256" s="1179">
        <v>168285000</v>
      </c>
      <c r="G256" s="1172">
        <v>78022500</v>
      </c>
      <c r="H256" s="1172">
        <v>81848500</v>
      </c>
      <c r="I256" s="1172"/>
      <c r="J256" s="1172"/>
      <c r="K256" s="1172">
        <f t="shared" si="19"/>
        <v>159871000</v>
      </c>
      <c r="L256" s="26">
        <f>IF(F256="",E256-K256,F256-K256)</f>
        <v>8414000</v>
      </c>
      <c r="M256" s="44"/>
      <c r="N256" s="33"/>
      <c r="O256" s="152"/>
      <c r="P256" s="5" t="s">
        <v>435</v>
      </c>
      <c r="Q256" s="307">
        <v>8414000</v>
      </c>
    </row>
    <row r="257" spans="1:15" ht="23.25" hidden="1" customHeight="1" x14ac:dyDescent="0.3">
      <c r="A257" s="1207"/>
      <c r="B257" s="26" t="s">
        <v>67</v>
      </c>
      <c r="C257" s="45" t="s">
        <v>336</v>
      </c>
      <c r="D257" s="105" t="s">
        <v>436</v>
      </c>
      <c r="E257" s="1172"/>
      <c r="F257" s="1179"/>
      <c r="G257" s="1172">
        <v>7549000</v>
      </c>
      <c r="H257" s="1172"/>
      <c r="I257" s="1172"/>
      <c r="J257" s="1172"/>
      <c r="K257" s="1172">
        <f t="shared" si="19"/>
        <v>7549000</v>
      </c>
      <c r="L257" s="26"/>
      <c r="M257" s="44"/>
      <c r="N257" s="33"/>
      <c r="O257" s="152"/>
    </row>
    <row r="258" spans="1:15" ht="23.25" hidden="1" customHeight="1" x14ac:dyDescent="0.3">
      <c r="A258" s="1207"/>
      <c r="B258" s="26" t="s">
        <v>72</v>
      </c>
      <c r="C258" s="45" t="s">
        <v>437</v>
      </c>
      <c r="D258" s="105" t="s">
        <v>438</v>
      </c>
      <c r="E258" s="1172">
        <v>2285000</v>
      </c>
      <c r="F258" s="1179"/>
      <c r="G258" s="1172">
        <v>2285000</v>
      </c>
      <c r="H258" s="1172"/>
      <c r="I258" s="1172"/>
      <c r="J258" s="1172"/>
      <c r="K258" s="1172">
        <f t="shared" si="19"/>
        <v>2285000</v>
      </c>
      <c r="L258" s="26">
        <f t="shared" ref="L258:L268" si="21">IF(F258="",E258-K258,F258-K258)</f>
        <v>0</v>
      </c>
      <c r="M258" s="44"/>
      <c r="N258" s="33"/>
      <c r="O258" s="152"/>
    </row>
    <row r="259" spans="1:15" ht="23.25" hidden="1" customHeight="1" x14ac:dyDescent="0.3">
      <c r="A259" s="1207"/>
      <c r="B259" s="26" t="s">
        <v>74</v>
      </c>
      <c r="C259" s="45" t="s">
        <v>439</v>
      </c>
      <c r="D259" s="105" t="s">
        <v>173</v>
      </c>
      <c r="E259" s="1172">
        <v>260272000</v>
      </c>
      <c r="F259" s="1179"/>
      <c r="G259" s="1172">
        <v>78080000</v>
      </c>
      <c r="H259" s="1172">
        <v>104108000</v>
      </c>
      <c r="I259" s="144">
        <v>79244000</v>
      </c>
      <c r="J259" s="1172"/>
      <c r="K259" s="1172">
        <f t="shared" si="19"/>
        <v>261432000</v>
      </c>
      <c r="L259" s="26">
        <f t="shared" si="21"/>
        <v>-1160000</v>
      </c>
      <c r="M259" s="44"/>
      <c r="N259" s="33" t="s">
        <v>440</v>
      </c>
      <c r="O259" s="236">
        <v>43797</v>
      </c>
    </row>
    <row r="260" spans="1:15" ht="23.25" hidden="1" customHeight="1" x14ac:dyDescent="0.3">
      <c r="A260" s="1207"/>
      <c r="B260" s="26" t="s">
        <v>78</v>
      </c>
      <c r="C260" s="45" t="s">
        <v>121</v>
      </c>
      <c r="D260" s="105" t="s">
        <v>441</v>
      </c>
      <c r="E260" s="1172">
        <v>4380000</v>
      </c>
      <c r="F260" s="1179"/>
      <c r="G260" s="1172">
        <v>4380000</v>
      </c>
      <c r="H260" s="1172"/>
      <c r="I260" s="1172"/>
      <c r="J260" s="1172"/>
      <c r="K260" s="1172">
        <f t="shared" si="19"/>
        <v>4380000</v>
      </c>
      <c r="L260" s="26">
        <f t="shared" si="21"/>
        <v>0</v>
      </c>
      <c r="M260" s="44"/>
      <c r="N260" s="33"/>
      <c r="O260" s="152"/>
    </row>
    <row r="261" spans="1:15" ht="23.25" hidden="1" customHeight="1" x14ac:dyDescent="0.3">
      <c r="A261" s="1207"/>
      <c r="B261" s="26" t="s">
        <v>83</v>
      </c>
      <c r="C261" s="45" t="s">
        <v>442</v>
      </c>
      <c r="D261" s="105" t="s">
        <v>443</v>
      </c>
      <c r="E261" s="1172">
        <v>23484000</v>
      </c>
      <c r="F261" s="1179"/>
      <c r="G261" s="1172">
        <v>11342000</v>
      </c>
      <c r="H261" s="1172">
        <v>12142000</v>
      </c>
      <c r="I261" s="1172"/>
      <c r="J261" s="1172"/>
      <c r="K261" s="1172">
        <f t="shared" si="19"/>
        <v>23484000</v>
      </c>
      <c r="L261" s="26">
        <f t="shared" si="21"/>
        <v>0</v>
      </c>
      <c r="M261" s="44"/>
      <c r="N261" s="33" t="s">
        <v>444</v>
      </c>
      <c r="O261" s="236">
        <v>43805</v>
      </c>
    </row>
    <row r="262" spans="1:15" ht="23.25" hidden="1" customHeight="1" x14ac:dyDescent="0.3">
      <c r="A262" s="1207"/>
      <c r="B262" s="26" t="s">
        <v>87</v>
      </c>
      <c r="C262" s="45" t="s">
        <v>123</v>
      </c>
      <c r="D262" s="105" t="s">
        <v>445</v>
      </c>
      <c r="E262" s="1172">
        <v>8000000</v>
      </c>
      <c r="F262" s="1179"/>
      <c r="G262" s="1172">
        <v>8000000</v>
      </c>
      <c r="H262" s="1172"/>
      <c r="I262" s="1172"/>
      <c r="J262" s="1172"/>
      <c r="K262" s="1172">
        <f t="shared" si="19"/>
        <v>8000000</v>
      </c>
      <c r="L262" s="26">
        <f t="shared" si="21"/>
        <v>0</v>
      </c>
      <c r="M262" s="44"/>
      <c r="N262" s="33"/>
      <c r="O262" s="152"/>
    </row>
    <row r="263" spans="1:15" ht="23.25" hidden="1" customHeight="1" x14ac:dyDescent="0.3">
      <c r="A263" s="1207"/>
      <c r="B263" s="26" t="s">
        <v>91</v>
      </c>
      <c r="C263" s="45" t="s">
        <v>292</v>
      </c>
      <c r="D263" s="105" t="s">
        <v>104</v>
      </c>
      <c r="E263" s="1172">
        <v>25926100</v>
      </c>
      <c r="F263" s="1179">
        <f>25926100+1360000</f>
        <v>27286100</v>
      </c>
      <c r="G263" s="1172">
        <v>15555660</v>
      </c>
      <c r="H263" s="1172">
        <v>11730000</v>
      </c>
      <c r="I263" s="1172">
        <v>440</v>
      </c>
      <c r="J263" s="1172"/>
      <c r="K263" s="1172">
        <f t="shared" si="19"/>
        <v>27286100</v>
      </c>
      <c r="L263" s="26">
        <f t="shared" si="21"/>
        <v>0</v>
      </c>
      <c r="M263" s="44"/>
      <c r="N263" s="33"/>
      <c r="O263" s="152"/>
    </row>
    <row r="264" spans="1:15" ht="23.25" hidden="1" customHeight="1" x14ac:dyDescent="0.3">
      <c r="A264" s="1207"/>
      <c r="B264" s="26" t="s">
        <v>95</v>
      </c>
      <c r="C264" s="45" t="s">
        <v>446</v>
      </c>
      <c r="D264" s="105" t="s">
        <v>104</v>
      </c>
      <c r="E264" s="1172">
        <v>4500000</v>
      </c>
      <c r="F264" s="1179"/>
      <c r="G264" s="1172">
        <v>4500000</v>
      </c>
      <c r="H264" s="1172"/>
      <c r="I264" s="1172"/>
      <c r="J264" s="1172"/>
      <c r="K264" s="1172">
        <f t="shared" si="19"/>
        <v>4500000</v>
      </c>
      <c r="L264" s="26">
        <f t="shared" si="21"/>
        <v>0</v>
      </c>
      <c r="M264" s="44"/>
      <c r="N264" s="33"/>
      <c r="O264" s="152"/>
    </row>
    <row r="265" spans="1:15" ht="23.25" hidden="1" customHeight="1" x14ac:dyDescent="0.3">
      <c r="A265" s="1207"/>
      <c r="B265" s="26" t="s">
        <v>98</v>
      </c>
      <c r="C265" s="45" t="s">
        <v>447</v>
      </c>
      <c r="D265" s="105" t="s">
        <v>448</v>
      </c>
      <c r="E265" s="1172">
        <v>73000000</v>
      </c>
      <c r="F265" s="1179">
        <v>73000000</v>
      </c>
      <c r="G265" s="1172">
        <v>20700000</v>
      </c>
      <c r="H265" s="1172">
        <v>34500000</v>
      </c>
      <c r="I265" s="1172">
        <v>17800000</v>
      </c>
      <c r="J265" s="1172"/>
      <c r="K265" s="1172">
        <f t="shared" si="19"/>
        <v>73000000</v>
      </c>
      <c r="L265" s="26">
        <f t="shared" si="21"/>
        <v>0</v>
      </c>
      <c r="M265" s="44"/>
      <c r="N265" s="33"/>
      <c r="O265" s="152"/>
    </row>
    <row r="266" spans="1:15" ht="23.25" hidden="1" customHeight="1" x14ac:dyDescent="0.3">
      <c r="A266" s="1207"/>
      <c r="B266" s="26" t="s">
        <v>102</v>
      </c>
      <c r="C266" s="45" t="s">
        <v>449</v>
      </c>
      <c r="D266" s="105" t="s">
        <v>450</v>
      </c>
      <c r="E266" s="1172">
        <v>6630000</v>
      </c>
      <c r="F266" s="1179"/>
      <c r="G266" s="1172">
        <v>6630000</v>
      </c>
      <c r="H266" s="1172"/>
      <c r="I266" s="1172"/>
      <c r="J266" s="1172"/>
      <c r="K266" s="1172">
        <f t="shared" si="19"/>
        <v>6630000</v>
      </c>
      <c r="L266" s="26">
        <f t="shared" si="21"/>
        <v>0</v>
      </c>
      <c r="M266" s="44"/>
      <c r="N266" s="33"/>
      <c r="O266" s="152"/>
    </row>
    <row r="267" spans="1:15" ht="23.25" hidden="1" customHeight="1" x14ac:dyDescent="0.3">
      <c r="A267" s="1207"/>
      <c r="B267" s="26" t="s">
        <v>106</v>
      </c>
      <c r="C267" s="45" t="s">
        <v>107</v>
      </c>
      <c r="D267" s="105" t="s">
        <v>341</v>
      </c>
      <c r="E267" s="1172">
        <v>3000000</v>
      </c>
      <c r="F267" s="1179"/>
      <c r="G267" s="1172">
        <v>3000000</v>
      </c>
      <c r="H267" s="1172"/>
      <c r="I267" s="1172"/>
      <c r="J267" s="1172"/>
      <c r="K267" s="1172">
        <f t="shared" si="19"/>
        <v>3000000</v>
      </c>
      <c r="L267" s="26">
        <f t="shared" si="21"/>
        <v>0</v>
      </c>
      <c r="M267" s="44"/>
      <c r="N267" s="33"/>
      <c r="O267" s="152"/>
    </row>
    <row r="268" spans="1:15" ht="23.25" hidden="1" customHeight="1" x14ac:dyDescent="0.3">
      <c r="A268" s="1207"/>
      <c r="B268" s="26" t="s">
        <v>109</v>
      </c>
      <c r="C268" s="45" t="s">
        <v>451</v>
      </c>
      <c r="D268" s="105" t="s">
        <v>452</v>
      </c>
      <c r="E268" s="1172">
        <v>8520000</v>
      </c>
      <c r="F268" s="1179"/>
      <c r="G268" s="1172">
        <v>4260000</v>
      </c>
      <c r="H268" s="1172">
        <v>4260000</v>
      </c>
      <c r="I268" s="1172"/>
      <c r="J268" s="1172"/>
      <c r="K268" s="1172">
        <f t="shared" si="19"/>
        <v>8520000</v>
      </c>
      <c r="L268" s="26">
        <f t="shared" si="21"/>
        <v>0</v>
      </c>
      <c r="M268" s="44"/>
      <c r="N268" s="33"/>
      <c r="O268" s="152"/>
    </row>
    <row r="269" spans="1:15" ht="23.25" hidden="1" customHeight="1" x14ac:dyDescent="0.3">
      <c r="A269" s="1207"/>
      <c r="B269" s="26" t="s">
        <v>112</v>
      </c>
      <c r="C269" s="45" t="s">
        <v>336</v>
      </c>
      <c r="D269" s="105" t="s">
        <v>453</v>
      </c>
      <c r="E269" s="1172"/>
      <c r="F269" s="1179"/>
      <c r="G269" s="1172">
        <v>10509500</v>
      </c>
      <c r="H269" s="1172">
        <v>5881000</v>
      </c>
      <c r="I269" s="1172"/>
      <c r="J269" s="1172"/>
      <c r="K269" s="1172">
        <f t="shared" si="19"/>
        <v>16390500</v>
      </c>
      <c r="L269" s="26"/>
      <c r="M269" s="44"/>
      <c r="N269" s="33"/>
      <c r="O269" s="152"/>
    </row>
    <row r="270" spans="1:15" ht="23.25" hidden="1" customHeight="1" x14ac:dyDescent="0.3">
      <c r="A270" s="1207"/>
      <c r="B270" s="26" t="s">
        <v>115</v>
      </c>
      <c r="C270" s="45" t="s">
        <v>454</v>
      </c>
      <c r="D270" s="45" t="s">
        <v>454</v>
      </c>
      <c r="E270" s="1172">
        <v>2461800</v>
      </c>
      <c r="F270" s="1179"/>
      <c r="G270" s="1172">
        <v>2461800</v>
      </c>
      <c r="H270" s="1172"/>
      <c r="I270" s="1172"/>
      <c r="J270" s="1172"/>
      <c r="K270" s="1172">
        <f t="shared" si="19"/>
        <v>2461800</v>
      </c>
      <c r="L270" s="26">
        <f t="shared" ref="L270:L276" si="22">IF(F270="",E270-K270,F270-K270)</f>
        <v>0</v>
      </c>
      <c r="M270" s="44"/>
      <c r="N270" s="33"/>
      <c r="O270" s="152"/>
    </row>
    <row r="271" spans="1:15" ht="23.25" hidden="1" customHeight="1" x14ac:dyDescent="0.3">
      <c r="A271" s="1207"/>
      <c r="B271" s="26" t="s">
        <v>117</v>
      </c>
      <c r="C271" s="45" t="s">
        <v>88</v>
      </c>
      <c r="D271" s="45" t="s">
        <v>455</v>
      </c>
      <c r="E271" s="1172">
        <v>2268000</v>
      </c>
      <c r="F271" s="1179"/>
      <c r="G271" s="1172">
        <v>2268000</v>
      </c>
      <c r="H271" s="1172"/>
      <c r="I271" s="1172"/>
      <c r="J271" s="1172"/>
      <c r="K271" s="1172">
        <f t="shared" si="19"/>
        <v>2268000</v>
      </c>
      <c r="L271" s="26">
        <f t="shared" si="22"/>
        <v>0</v>
      </c>
      <c r="M271" s="44"/>
      <c r="N271" s="33"/>
      <c r="O271" s="152"/>
    </row>
    <row r="272" spans="1:15" ht="23.25" hidden="1" customHeight="1" x14ac:dyDescent="0.3">
      <c r="A272" s="1207"/>
      <c r="B272" s="26" t="s">
        <v>120</v>
      </c>
      <c r="C272" s="45" t="s">
        <v>167</v>
      </c>
      <c r="D272" s="45" t="s">
        <v>438</v>
      </c>
      <c r="E272" s="1172">
        <v>3566000</v>
      </c>
      <c r="F272" s="1179"/>
      <c r="G272" s="1172">
        <v>3566000</v>
      </c>
      <c r="H272" s="1172"/>
      <c r="I272" s="1172"/>
      <c r="J272" s="1172"/>
      <c r="K272" s="1172">
        <f t="shared" si="19"/>
        <v>3566000</v>
      </c>
      <c r="L272" s="26">
        <f t="shared" si="22"/>
        <v>0</v>
      </c>
      <c r="M272" s="44"/>
      <c r="N272" s="33"/>
      <c r="O272" s="152"/>
    </row>
    <row r="273" spans="1:17" ht="23.25" hidden="1" customHeight="1" x14ac:dyDescent="0.3">
      <c r="A273" s="1207"/>
      <c r="B273" s="26" t="s">
        <v>122</v>
      </c>
      <c r="C273" s="45" t="s">
        <v>456</v>
      </c>
      <c r="D273" s="45" t="s">
        <v>457</v>
      </c>
      <c r="E273" s="1172">
        <v>15011000</v>
      </c>
      <c r="F273" s="1179"/>
      <c r="G273" s="1172">
        <v>15011000</v>
      </c>
      <c r="H273" s="1172"/>
      <c r="I273" s="1172"/>
      <c r="J273" s="1172"/>
      <c r="K273" s="1172">
        <f t="shared" si="19"/>
        <v>15011000</v>
      </c>
      <c r="L273" s="26">
        <f t="shared" si="22"/>
        <v>0</v>
      </c>
      <c r="M273" s="44"/>
      <c r="N273" s="33"/>
      <c r="O273" s="152"/>
    </row>
    <row r="274" spans="1:17" ht="23.25" hidden="1" customHeight="1" x14ac:dyDescent="0.3">
      <c r="A274" s="1207"/>
      <c r="B274" s="26" t="s">
        <v>125</v>
      </c>
      <c r="C274" s="45" t="s">
        <v>458</v>
      </c>
      <c r="D274" s="45" t="s">
        <v>162</v>
      </c>
      <c r="E274" s="1172">
        <v>19600000</v>
      </c>
      <c r="F274" s="1179"/>
      <c r="G274" s="1172">
        <v>19600000</v>
      </c>
      <c r="H274" s="1172"/>
      <c r="I274" s="1172"/>
      <c r="J274" s="1172"/>
      <c r="K274" s="1172">
        <f t="shared" si="19"/>
        <v>19600000</v>
      </c>
      <c r="L274" s="26">
        <f t="shared" si="22"/>
        <v>0</v>
      </c>
      <c r="M274" s="44"/>
      <c r="N274" s="33"/>
      <c r="O274" s="152"/>
    </row>
    <row r="275" spans="1:17" s="52" customFormat="1" ht="32.25" hidden="1" customHeight="1" x14ac:dyDescent="0.3">
      <c r="A275" s="1207"/>
      <c r="B275" s="26" t="s">
        <v>128</v>
      </c>
      <c r="C275" s="53" t="s">
        <v>459</v>
      </c>
      <c r="D275" s="54" t="s">
        <v>460</v>
      </c>
      <c r="E275" s="1179"/>
      <c r="F275" s="1179">
        <v>9000000</v>
      </c>
      <c r="G275" s="1179">
        <v>2000000</v>
      </c>
      <c r="H275" s="1179">
        <v>2000000</v>
      </c>
      <c r="I275" s="1179">
        <v>5000000</v>
      </c>
      <c r="J275" s="1179"/>
      <c r="K275" s="1179">
        <f t="shared" si="19"/>
        <v>9000000</v>
      </c>
      <c r="L275" s="26">
        <f t="shared" si="22"/>
        <v>0</v>
      </c>
      <c r="M275" s="49"/>
      <c r="N275" s="50"/>
      <c r="O275" s="238"/>
      <c r="Q275" s="314"/>
    </row>
    <row r="276" spans="1:17" s="52" customFormat="1" ht="32.25" hidden="1" customHeight="1" x14ac:dyDescent="0.3">
      <c r="A276" s="1207"/>
      <c r="B276" s="26" t="s">
        <v>131</v>
      </c>
      <c r="C276" s="140" t="s">
        <v>461</v>
      </c>
      <c r="D276" s="141" t="s">
        <v>462</v>
      </c>
      <c r="E276" s="142"/>
      <c r="F276" s="1179">
        <v>1530000</v>
      </c>
      <c r="G276" s="142">
        <f>450000+500000+180000+150000+250000</f>
        <v>1530000</v>
      </c>
      <c r="H276" s="142"/>
      <c r="I276" s="142"/>
      <c r="J276" s="143"/>
      <c r="K276" s="1179">
        <f t="shared" si="19"/>
        <v>1530000</v>
      </c>
      <c r="L276" s="26">
        <f t="shared" si="22"/>
        <v>0</v>
      </c>
      <c r="M276" s="49"/>
      <c r="N276" s="50"/>
      <c r="O276" s="239"/>
      <c r="Q276" s="314"/>
    </row>
    <row r="277" spans="1:17" s="52" customFormat="1" ht="32.25" hidden="1" customHeight="1" x14ac:dyDescent="0.3">
      <c r="A277" s="1207"/>
      <c r="B277" s="1172">
        <v>35</v>
      </c>
      <c r="C277" s="140" t="s">
        <v>463</v>
      </c>
      <c r="D277" s="141" t="s">
        <v>464</v>
      </c>
      <c r="E277" s="142">
        <v>2700000</v>
      </c>
      <c r="F277" s="1179"/>
      <c r="G277" s="142">
        <v>2700000</v>
      </c>
      <c r="H277" s="142"/>
      <c r="I277" s="142"/>
      <c r="J277" s="143"/>
      <c r="K277" s="1179"/>
      <c r="L277" s="1172"/>
      <c r="M277" s="49"/>
      <c r="N277" s="50"/>
      <c r="O277" s="239"/>
      <c r="Q277" s="314"/>
    </row>
    <row r="278" spans="1:17" ht="23.25" hidden="1" customHeight="1" thickBot="1" x14ac:dyDescent="0.35">
      <c r="A278" s="1207"/>
      <c r="B278" s="1172"/>
      <c r="C278" s="246"/>
      <c r="D278" s="104"/>
      <c r="E278" s="104"/>
      <c r="F278" s="1179"/>
      <c r="G278" s="104"/>
      <c r="H278" s="361"/>
      <c r="I278" s="104"/>
      <c r="J278" s="247"/>
      <c r="K278" s="299">
        <f>SUM(K247:K276)</f>
        <v>808388500</v>
      </c>
      <c r="L278" s="298">
        <f>SUM(L247:L275)</f>
        <v>7254000</v>
      </c>
      <c r="M278" s="34"/>
      <c r="N278" s="33"/>
      <c r="O278" s="245"/>
    </row>
    <row r="279" spans="1:17" ht="19.5" hidden="1" x14ac:dyDescent="0.3">
      <c r="A279" s="1219" t="s">
        <v>465</v>
      </c>
      <c r="B279" s="248" t="s">
        <v>194</v>
      </c>
      <c r="C279" s="249" t="s">
        <v>50</v>
      </c>
      <c r="D279" s="250"/>
      <c r="E279" s="251">
        <v>15020000</v>
      </c>
      <c r="F279" s="252"/>
      <c r="G279" s="251">
        <f>14520000+500000</f>
        <v>15020000</v>
      </c>
      <c r="H279" s="251"/>
      <c r="I279" s="251"/>
      <c r="J279" s="251"/>
      <c r="K279" s="248">
        <f>SUM(G279:J279)</f>
        <v>15020000</v>
      </c>
      <c r="L279" s="248">
        <f>IF(F279="",E279-K279,F279-K279)</f>
        <v>0</v>
      </c>
      <c r="M279" s="253"/>
      <c r="N279" s="253"/>
      <c r="O279" s="254"/>
    </row>
    <row r="280" spans="1:17" ht="19.5" hidden="1" x14ac:dyDescent="0.3">
      <c r="A280" s="1201"/>
      <c r="B280" s="240" t="s">
        <v>196</v>
      </c>
      <c r="C280" s="255" t="s">
        <v>466</v>
      </c>
      <c r="D280" s="256" t="s">
        <v>100</v>
      </c>
      <c r="E280" s="257">
        <v>43230000</v>
      </c>
      <c r="F280" s="243"/>
      <c r="G280" s="257">
        <v>43230000</v>
      </c>
      <c r="H280" s="257"/>
      <c r="I280" s="257"/>
      <c r="J280" s="257"/>
      <c r="K280" s="240">
        <f>SUM(G280:J280)</f>
        <v>43230000</v>
      </c>
      <c r="L280" s="240">
        <f>IF(F280="",E280-K280,F280-K280)</f>
        <v>0</v>
      </c>
      <c r="M280" s="244" t="s">
        <v>467</v>
      </c>
      <c r="N280" s="244"/>
      <c r="O280" s="258"/>
    </row>
    <row r="281" spans="1:17" ht="19.5" hidden="1" x14ac:dyDescent="0.3">
      <c r="A281" s="1201"/>
      <c r="B281" s="240" t="s">
        <v>20</v>
      </c>
      <c r="C281" s="255" t="s">
        <v>75</v>
      </c>
      <c r="D281" s="259" t="s">
        <v>397</v>
      </c>
      <c r="E281" s="257">
        <v>28500000</v>
      </c>
      <c r="F281" s="243"/>
      <c r="G281" s="257">
        <v>14250000</v>
      </c>
      <c r="H281" s="257">
        <v>14250000</v>
      </c>
      <c r="I281" s="257"/>
      <c r="J281" s="257"/>
      <c r="K281" s="240">
        <f>SUM(G281:J281)</f>
        <v>28500000</v>
      </c>
      <c r="L281" s="240">
        <f>IF(F281="",E281-K281,F281-K281)</f>
        <v>0</v>
      </c>
      <c r="M281" s="260"/>
      <c r="N281" s="260"/>
      <c r="O281" s="258"/>
    </row>
    <row r="282" spans="1:17" ht="19.5" hidden="1" x14ac:dyDescent="0.3">
      <c r="A282" s="1201"/>
      <c r="B282" s="240" t="s">
        <v>24</v>
      </c>
      <c r="C282" s="255" t="s">
        <v>468</v>
      </c>
      <c r="D282" s="259" t="s">
        <v>51</v>
      </c>
      <c r="E282" s="257">
        <v>3119600</v>
      </c>
      <c r="F282" s="243"/>
      <c r="G282" s="257">
        <v>3119600</v>
      </c>
      <c r="H282" s="257"/>
      <c r="I282" s="257"/>
      <c r="J282" s="257"/>
      <c r="K282" s="240">
        <f>SUM(G282:J282)</f>
        <v>3119600</v>
      </c>
      <c r="L282" s="240">
        <f>IF(F282="",E282-K282,F282-K282)</f>
        <v>0</v>
      </c>
      <c r="M282" s="260" t="s">
        <v>469</v>
      </c>
      <c r="N282" s="260"/>
      <c r="O282" s="258"/>
    </row>
    <row r="283" spans="1:17" ht="19.5" hidden="1" x14ac:dyDescent="0.3">
      <c r="A283" s="1201"/>
      <c r="B283" s="240" t="s">
        <v>26</v>
      </c>
      <c r="C283" s="255" t="s">
        <v>470</v>
      </c>
      <c r="D283" s="259" t="s">
        <v>139</v>
      </c>
      <c r="E283" s="257">
        <v>19000000</v>
      </c>
      <c r="F283" s="243"/>
      <c r="G283" s="257">
        <v>2000000</v>
      </c>
      <c r="H283" s="257"/>
      <c r="I283" s="257"/>
      <c r="J283" s="257"/>
      <c r="K283" s="240">
        <f>SUM(G283:J283)</f>
        <v>2000000</v>
      </c>
      <c r="L283" s="240">
        <f>IF(F283="",E283-K283,F283-K283)</f>
        <v>17000000</v>
      </c>
      <c r="M283" s="260"/>
      <c r="N283" s="260"/>
      <c r="O283" s="258"/>
    </row>
    <row r="284" spans="1:17" ht="21" hidden="1" thickBot="1" x14ac:dyDescent="0.35">
      <c r="A284" s="1202"/>
      <c r="B284" s="261"/>
      <c r="C284" s="261"/>
      <c r="D284" s="261"/>
      <c r="E284" s="261"/>
      <c r="F284" s="262" t="s">
        <v>2</v>
      </c>
      <c r="G284" s="261"/>
      <c r="H284" s="261"/>
      <c r="I284" s="261"/>
      <c r="J284" s="261"/>
      <c r="K284" s="297">
        <f>SUM(K279:K283)</f>
        <v>91869600</v>
      </c>
      <c r="L284" s="296">
        <f>SUM(L279:L283)</f>
        <v>17000000</v>
      </c>
      <c r="M284" s="263"/>
      <c r="N284" s="263"/>
      <c r="O284" s="264"/>
    </row>
    <row r="285" spans="1:17" ht="20.25" hidden="1" customHeight="1" x14ac:dyDescent="0.3">
      <c r="A285" s="1215" t="s">
        <v>471</v>
      </c>
      <c r="B285" s="248" t="s">
        <v>194</v>
      </c>
      <c r="C285" s="249" t="s">
        <v>215</v>
      </c>
      <c r="D285" s="250" t="s">
        <v>472</v>
      </c>
      <c r="E285" s="251">
        <v>91300000</v>
      </c>
      <c r="F285" s="252">
        <v>93500000</v>
      </c>
      <c r="G285" s="251">
        <v>45650000</v>
      </c>
      <c r="H285" s="251">
        <v>47850000</v>
      </c>
      <c r="I285" s="251"/>
      <c r="J285" s="251"/>
      <c r="K285" s="248">
        <f>SUM(G285:J285)</f>
        <v>93500000</v>
      </c>
      <c r="L285" s="248">
        <f>IF(F285="",E285-K285,F285-K285)</f>
        <v>0</v>
      </c>
      <c r="M285" s="266" t="s">
        <v>47</v>
      </c>
      <c r="N285" s="267" t="s">
        <v>473</v>
      </c>
      <c r="O285" s="268">
        <v>43794</v>
      </c>
    </row>
    <row r="286" spans="1:17" ht="20.25" hidden="1" customHeight="1" x14ac:dyDescent="0.3">
      <c r="A286" s="1216"/>
      <c r="B286" s="240" t="s">
        <v>196</v>
      </c>
      <c r="C286" s="255" t="s">
        <v>215</v>
      </c>
      <c r="D286" s="256" t="s">
        <v>472</v>
      </c>
      <c r="E286" s="257">
        <v>65000000</v>
      </c>
      <c r="F286" s="243"/>
      <c r="G286" s="257">
        <v>32500000</v>
      </c>
      <c r="H286" s="257">
        <v>32500000</v>
      </c>
      <c r="I286" s="257"/>
      <c r="J286" s="257"/>
      <c r="K286" s="240">
        <f>SUM(G286:J286)</f>
        <v>65000000</v>
      </c>
      <c r="L286" s="240">
        <f>IF(F286="",E286-K286,F286-K286)</f>
        <v>0</v>
      </c>
      <c r="M286" s="269"/>
      <c r="N286" s="270" t="s">
        <v>474</v>
      </c>
      <c r="O286" s="271">
        <v>43795</v>
      </c>
    </row>
    <row r="287" spans="1:17" ht="20.25" hidden="1" customHeight="1" x14ac:dyDescent="0.3">
      <c r="A287" s="1217"/>
      <c r="B287" s="240" t="s">
        <v>20</v>
      </c>
      <c r="C287" s="255" t="s">
        <v>475</v>
      </c>
      <c r="D287" s="259"/>
      <c r="E287" s="257">
        <v>25000000</v>
      </c>
      <c r="F287" s="243"/>
      <c r="G287" s="257">
        <v>12500000</v>
      </c>
      <c r="H287" s="257">
        <v>12500000</v>
      </c>
      <c r="I287" s="257"/>
      <c r="J287" s="257"/>
      <c r="K287" s="240">
        <f>SUM(G287:J287)</f>
        <v>25000000</v>
      </c>
      <c r="L287" s="240">
        <f>IF(F287="",E287-K287,F287-K287)</f>
        <v>0</v>
      </c>
      <c r="M287" s="636"/>
      <c r="N287" s="637"/>
      <c r="O287" s="449"/>
    </row>
    <row r="288" spans="1:17" ht="20.25" hidden="1" customHeight="1" x14ac:dyDescent="0.3">
      <c r="A288" s="1217"/>
      <c r="B288" s="316"/>
      <c r="C288" s="255" t="s">
        <v>476</v>
      </c>
      <c r="D288" s="259" t="s">
        <v>190</v>
      </c>
      <c r="E288" s="257">
        <v>5000000</v>
      </c>
      <c r="F288" s="243"/>
      <c r="G288" s="257">
        <v>5000000</v>
      </c>
      <c r="H288" s="257"/>
      <c r="I288" s="257"/>
      <c r="J288" s="257"/>
      <c r="K288" s="240"/>
      <c r="L288" s="240"/>
      <c r="M288" s="636"/>
      <c r="N288" s="637"/>
      <c r="O288" s="449"/>
    </row>
    <row r="289" spans="1:17" ht="20.25" hidden="1" customHeight="1" x14ac:dyDescent="0.3">
      <c r="A289" s="1217"/>
      <c r="B289" s="316"/>
      <c r="C289" s="255" t="s">
        <v>215</v>
      </c>
      <c r="D289" s="259" t="s">
        <v>462</v>
      </c>
      <c r="E289" s="257">
        <v>2000000</v>
      </c>
      <c r="F289" s="243"/>
      <c r="G289" s="257">
        <v>2000000</v>
      </c>
      <c r="H289" s="257"/>
      <c r="I289" s="257"/>
      <c r="J289" s="257"/>
      <c r="K289" s="240">
        <f>SUM(G289:J289)</f>
        <v>2000000</v>
      </c>
      <c r="L289" s="240">
        <f>IF(F289="",E289-K289,F289-K289)</f>
        <v>0</v>
      </c>
      <c r="M289" s="636"/>
      <c r="N289" s="637"/>
      <c r="O289" s="449"/>
    </row>
    <row r="290" spans="1:17" ht="27" hidden="1" customHeight="1" thickBot="1" x14ac:dyDescent="0.35">
      <c r="A290" s="1218"/>
      <c r="B290" s="272"/>
      <c r="C290" s="261"/>
      <c r="D290" s="261"/>
      <c r="E290" s="261"/>
      <c r="F290" s="262"/>
      <c r="G290" s="261"/>
      <c r="H290" s="261"/>
      <c r="I290" s="261"/>
      <c r="J290" s="261"/>
      <c r="K290" s="297">
        <f>SUM(K285:K289)</f>
        <v>185500000</v>
      </c>
      <c r="L290" s="296">
        <f>SUM(L285:L289)</f>
        <v>0</v>
      </c>
      <c r="M290" s="274"/>
      <c r="N290" s="275"/>
      <c r="O290" s="264"/>
    </row>
    <row r="291" spans="1:17" ht="30" hidden="1" customHeight="1" x14ac:dyDescent="0.3">
      <c r="A291" s="1211" t="s">
        <v>477</v>
      </c>
      <c r="B291" s="19" t="s">
        <v>194</v>
      </c>
      <c r="C291" s="20" t="s">
        <v>45</v>
      </c>
      <c r="D291" s="21" t="s">
        <v>478</v>
      </c>
      <c r="E291" s="19">
        <v>2400000</v>
      </c>
      <c r="F291" s="225"/>
      <c r="G291" s="19">
        <v>2400000</v>
      </c>
      <c r="H291" s="19"/>
      <c r="I291" s="19"/>
      <c r="J291" s="19"/>
      <c r="K291" s="19">
        <f t="shared" ref="K291:K312" si="23">SUM(G291:J291)</f>
        <v>2400000</v>
      </c>
      <c r="L291" s="26">
        <f t="shared" ref="L291:L299" si="24">IF(F291="",E291-K291,F291-K291)</f>
        <v>0</v>
      </c>
      <c r="M291" s="107"/>
      <c r="N291" s="24"/>
      <c r="O291" s="25"/>
    </row>
    <row r="292" spans="1:17" ht="21.75" hidden="1" customHeight="1" x14ac:dyDescent="0.3">
      <c r="A292" s="1212"/>
      <c r="B292" s="26" t="s">
        <v>196</v>
      </c>
      <c r="C292" s="27" t="s">
        <v>340</v>
      </c>
      <c r="D292" s="28"/>
      <c r="E292" s="26">
        <v>1000000</v>
      </c>
      <c r="F292" s="226"/>
      <c r="G292" s="26">
        <v>1000000</v>
      </c>
      <c r="H292" s="26"/>
      <c r="I292" s="26"/>
      <c r="J292" s="26"/>
      <c r="K292" s="26">
        <f t="shared" si="23"/>
        <v>1000000</v>
      </c>
      <c r="L292" s="26">
        <f t="shared" si="24"/>
        <v>0</v>
      </c>
      <c r="M292" s="108"/>
      <c r="N292" s="33"/>
      <c r="O292" s="32"/>
    </row>
    <row r="293" spans="1:17" ht="21.75" hidden="1" customHeight="1" x14ac:dyDescent="0.3">
      <c r="A293" s="1212"/>
      <c r="B293" s="26" t="s">
        <v>20</v>
      </c>
      <c r="C293" s="27" t="s">
        <v>56</v>
      </c>
      <c r="D293" s="28" t="s">
        <v>339</v>
      </c>
      <c r="E293" s="26">
        <v>1700000</v>
      </c>
      <c r="F293" s="226"/>
      <c r="G293" s="26">
        <v>1700000</v>
      </c>
      <c r="H293" s="26"/>
      <c r="I293" s="26"/>
      <c r="J293" s="26"/>
      <c r="K293" s="26">
        <f t="shared" si="23"/>
        <v>1700000</v>
      </c>
      <c r="L293" s="26">
        <f t="shared" si="24"/>
        <v>0</v>
      </c>
      <c r="M293" s="108"/>
      <c r="N293" s="33"/>
      <c r="O293" s="32"/>
    </row>
    <row r="294" spans="1:17" s="116" customFormat="1" ht="36.75" hidden="1" customHeight="1" x14ac:dyDescent="0.3">
      <c r="A294" s="1212"/>
      <c r="B294" s="26" t="s">
        <v>24</v>
      </c>
      <c r="C294" s="109" t="s">
        <v>479</v>
      </c>
      <c r="D294" s="110" t="s">
        <v>173</v>
      </c>
      <c r="E294" s="111">
        <v>100430000</v>
      </c>
      <c r="F294" s="226"/>
      <c r="G294" s="111">
        <v>30879000</v>
      </c>
      <c r="H294" s="111">
        <v>50000000</v>
      </c>
      <c r="I294" s="111">
        <v>19551000</v>
      </c>
      <c r="J294" s="112"/>
      <c r="K294" s="111">
        <f t="shared" si="23"/>
        <v>100430000</v>
      </c>
      <c r="L294" s="26">
        <f t="shared" si="24"/>
        <v>0</v>
      </c>
      <c r="M294" s="113"/>
      <c r="N294" s="114"/>
      <c r="O294" s="115"/>
      <c r="Q294" s="134"/>
    </row>
    <row r="295" spans="1:17" ht="36" hidden="1" customHeight="1" x14ac:dyDescent="0.3">
      <c r="A295" s="1212"/>
      <c r="B295" s="26" t="s">
        <v>26</v>
      </c>
      <c r="C295" s="27" t="s">
        <v>480</v>
      </c>
      <c r="D295" s="28" t="s">
        <v>173</v>
      </c>
      <c r="E295" s="26">
        <v>31957000</v>
      </c>
      <c r="F295" s="226">
        <v>31390000</v>
      </c>
      <c r="G295" s="26">
        <v>31390000</v>
      </c>
      <c r="H295" s="26"/>
      <c r="I295" s="26"/>
      <c r="J295" s="26"/>
      <c r="K295" s="26">
        <f t="shared" si="23"/>
        <v>31390000</v>
      </c>
      <c r="L295" s="26">
        <f t="shared" si="24"/>
        <v>0</v>
      </c>
      <c r="M295" s="108"/>
      <c r="N295" s="33"/>
      <c r="O295" s="32"/>
    </row>
    <row r="296" spans="1:17" ht="26.25" hidden="1" customHeight="1" x14ac:dyDescent="0.3">
      <c r="A296" s="1212"/>
      <c r="B296" s="26" t="s">
        <v>28</v>
      </c>
      <c r="C296" s="27" t="s">
        <v>88</v>
      </c>
      <c r="D296" s="28" t="s">
        <v>339</v>
      </c>
      <c r="E296" s="26">
        <v>6432000</v>
      </c>
      <c r="F296" s="226"/>
      <c r="G296" s="26">
        <v>6432000</v>
      </c>
      <c r="H296" s="26"/>
      <c r="I296" s="26"/>
      <c r="J296" s="26"/>
      <c r="K296" s="26">
        <f t="shared" si="23"/>
        <v>6432000</v>
      </c>
      <c r="L296" s="26">
        <f t="shared" si="24"/>
        <v>0</v>
      </c>
      <c r="M296" s="108"/>
      <c r="N296" s="33"/>
      <c r="O296" s="32"/>
    </row>
    <row r="297" spans="1:17" ht="26.25" hidden="1" customHeight="1" x14ac:dyDescent="0.3">
      <c r="A297" s="1212"/>
      <c r="B297" s="26" t="s">
        <v>30</v>
      </c>
      <c r="C297" s="27" t="s">
        <v>340</v>
      </c>
      <c r="D297" s="28" t="s">
        <v>368</v>
      </c>
      <c r="E297" s="26">
        <v>6870000</v>
      </c>
      <c r="F297" s="226"/>
      <c r="G297" s="26">
        <v>6870000</v>
      </c>
      <c r="H297" s="26"/>
      <c r="I297" s="26"/>
      <c r="J297" s="26"/>
      <c r="K297" s="26">
        <f t="shared" si="23"/>
        <v>6870000</v>
      </c>
      <c r="L297" s="26">
        <f t="shared" si="24"/>
        <v>0</v>
      </c>
      <c r="M297" s="108"/>
      <c r="N297" s="33"/>
      <c r="O297" s="32"/>
    </row>
    <row r="298" spans="1:17" ht="26.25" hidden="1" customHeight="1" x14ac:dyDescent="0.3">
      <c r="A298" s="1212"/>
      <c r="B298" s="26" t="s">
        <v>33</v>
      </c>
      <c r="C298" s="27" t="s">
        <v>481</v>
      </c>
      <c r="D298" s="28" t="s">
        <v>195</v>
      </c>
      <c r="E298" s="26">
        <v>16390000</v>
      </c>
      <c r="F298" s="226"/>
      <c r="G298" s="26">
        <v>16390000</v>
      </c>
      <c r="H298" s="26"/>
      <c r="I298" s="26"/>
      <c r="J298" s="26"/>
      <c r="K298" s="26">
        <f t="shared" si="23"/>
        <v>16390000</v>
      </c>
      <c r="L298" s="26">
        <f t="shared" si="24"/>
        <v>0</v>
      </c>
      <c r="M298" s="108"/>
      <c r="N298" s="33"/>
      <c r="O298" s="32"/>
    </row>
    <row r="299" spans="1:17" ht="26.25" hidden="1" customHeight="1" x14ac:dyDescent="0.3">
      <c r="A299" s="1212"/>
      <c r="B299" s="26" t="s">
        <v>39</v>
      </c>
      <c r="C299" s="27" t="s">
        <v>31</v>
      </c>
      <c r="D299" s="28" t="s">
        <v>482</v>
      </c>
      <c r="E299" s="26">
        <v>5452000</v>
      </c>
      <c r="F299" s="226"/>
      <c r="G299" s="26">
        <v>5452000</v>
      </c>
      <c r="H299" s="26"/>
      <c r="I299" s="26"/>
      <c r="J299" s="26"/>
      <c r="K299" s="26">
        <f t="shared" si="23"/>
        <v>5452000</v>
      </c>
      <c r="L299" s="26">
        <f t="shared" si="24"/>
        <v>0</v>
      </c>
      <c r="M299" s="108"/>
      <c r="N299" s="33"/>
      <c r="O299" s="32"/>
    </row>
    <row r="300" spans="1:17" ht="26.25" hidden="1" customHeight="1" x14ac:dyDescent="0.3">
      <c r="A300" s="1213"/>
      <c r="B300" s="26" t="s">
        <v>44</v>
      </c>
      <c r="C300" s="45" t="s">
        <v>161</v>
      </c>
      <c r="D300" s="46" t="s">
        <v>483</v>
      </c>
      <c r="E300" s="1172"/>
      <c r="F300" s="227"/>
      <c r="G300" s="1172">
        <v>2250000</v>
      </c>
      <c r="H300" s="1172"/>
      <c r="I300" s="1172"/>
      <c r="J300" s="1172"/>
      <c r="K300" s="1172">
        <f t="shared" si="23"/>
        <v>2250000</v>
      </c>
      <c r="L300" s="26"/>
      <c r="M300" s="108"/>
      <c r="N300" s="33"/>
      <c r="O300" s="32"/>
    </row>
    <row r="301" spans="1:17" s="42" customFormat="1" ht="26.25" hidden="1" customHeight="1" x14ac:dyDescent="0.3">
      <c r="A301" s="1213"/>
      <c r="B301" s="38" t="s">
        <v>49</v>
      </c>
      <c r="C301" s="95" t="s">
        <v>164</v>
      </c>
      <c r="D301" s="96" t="s">
        <v>165</v>
      </c>
      <c r="E301" s="97">
        <v>18440000</v>
      </c>
      <c r="F301" s="228">
        <v>18440000</v>
      </c>
      <c r="G301" s="97">
        <v>18440000</v>
      </c>
      <c r="H301" s="97"/>
      <c r="I301" s="97"/>
      <c r="J301" s="97"/>
      <c r="K301" s="97">
        <f t="shared" si="23"/>
        <v>18440000</v>
      </c>
      <c r="L301" s="38">
        <f>IF(F301="",E301-K301,F301-K301)</f>
        <v>0</v>
      </c>
      <c r="M301" s="117"/>
      <c r="N301" s="40"/>
      <c r="O301" s="41"/>
      <c r="Q301" s="208"/>
    </row>
    <row r="302" spans="1:17" ht="26.25" hidden="1" customHeight="1" x14ac:dyDescent="0.3">
      <c r="A302" s="1213"/>
      <c r="B302" s="26" t="s">
        <v>55</v>
      </c>
      <c r="C302" s="45" t="s">
        <v>296</v>
      </c>
      <c r="D302" s="46" t="s">
        <v>299</v>
      </c>
      <c r="E302" s="1172">
        <v>2500000</v>
      </c>
      <c r="F302" s="227"/>
      <c r="G302" s="1172">
        <v>2500000</v>
      </c>
      <c r="H302" s="1172"/>
      <c r="I302" s="1172"/>
      <c r="J302" s="1172"/>
      <c r="K302" s="1172">
        <f t="shared" si="23"/>
        <v>2500000</v>
      </c>
      <c r="L302" s="26">
        <f>IF(F302="",E302-K302,F302-K302)</f>
        <v>0</v>
      </c>
      <c r="M302" s="108"/>
      <c r="N302" s="33"/>
      <c r="O302" s="32"/>
    </row>
    <row r="303" spans="1:17" ht="26.25" hidden="1" customHeight="1" x14ac:dyDescent="0.3">
      <c r="A303" s="1213"/>
      <c r="B303" s="26" t="s">
        <v>59</v>
      </c>
      <c r="C303" s="45" t="s">
        <v>484</v>
      </c>
      <c r="D303" s="46" t="s">
        <v>301</v>
      </c>
      <c r="E303" s="1172">
        <v>1000000</v>
      </c>
      <c r="F303" s="227"/>
      <c r="G303" s="1172">
        <v>1000000</v>
      </c>
      <c r="H303" s="1172"/>
      <c r="I303" s="1172"/>
      <c r="J303" s="1172"/>
      <c r="K303" s="1172">
        <f t="shared" si="23"/>
        <v>1000000</v>
      </c>
      <c r="L303" s="26">
        <f>IF(F303="",E303-K303,F303-K303)</f>
        <v>0</v>
      </c>
      <c r="M303" s="108"/>
      <c r="N303" s="33"/>
      <c r="O303" s="32"/>
    </row>
    <row r="304" spans="1:17" ht="26.25" hidden="1" customHeight="1" x14ac:dyDescent="0.3">
      <c r="A304" s="1213"/>
      <c r="B304" s="26" t="s">
        <v>63</v>
      </c>
      <c r="C304" s="45" t="s">
        <v>485</v>
      </c>
      <c r="D304" s="46" t="s">
        <v>486</v>
      </c>
      <c r="E304" s="1172"/>
      <c r="F304" s="227"/>
      <c r="G304" s="1172">
        <v>3376000</v>
      </c>
      <c r="H304" s="1172">
        <v>1408000</v>
      </c>
      <c r="I304" s="1172"/>
      <c r="J304" s="1172"/>
      <c r="K304" s="1172">
        <f t="shared" si="23"/>
        <v>4784000</v>
      </c>
      <c r="L304" s="26"/>
      <c r="M304" s="108"/>
      <c r="N304" s="33"/>
      <c r="O304" s="32"/>
    </row>
    <row r="305" spans="1:15" ht="26.25" hidden="1" customHeight="1" x14ac:dyDescent="0.3">
      <c r="A305" s="1213"/>
      <c r="B305" s="26" t="s">
        <v>67</v>
      </c>
      <c r="C305" s="45" t="s">
        <v>487</v>
      </c>
      <c r="D305" s="46" t="s">
        <v>173</v>
      </c>
      <c r="E305" s="1172">
        <v>4405000</v>
      </c>
      <c r="F305" s="227"/>
      <c r="G305" s="1172">
        <v>4405000</v>
      </c>
      <c r="H305" s="1172"/>
      <c r="I305" s="1172"/>
      <c r="J305" s="1172"/>
      <c r="K305" s="1172">
        <f t="shared" si="23"/>
        <v>4405000</v>
      </c>
      <c r="L305" s="26">
        <f>IF(F305="",E305-K305,F305-K305)</f>
        <v>0</v>
      </c>
      <c r="M305" s="108"/>
      <c r="N305" s="33"/>
      <c r="O305" s="1177"/>
    </row>
    <row r="306" spans="1:15" ht="26.25" hidden="1" customHeight="1" x14ac:dyDescent="0.3">
      <c r="A306" s="1213"/>
      <c r="B306" s="26" t="s">
        <v>72</v>
      </c>
      <c r="C306" s="45" t="s">
        <v>488</v>
      </c>
      <c r="D306" s="46" t="s">
        <v>368</v>
      </c>
      <c r="E306" s="1172"/>
      <c r="F306" s="227">
        <v>59915000</v>
      </c>
      <c r="G306" s="1172">
        <v>56000000</v>
      </c>
      <c r="H306" s="1172">
        <v>3915000</v>
      </c>
      <c r="I306" s="1172"/>
      <c r="J306" s="1172"/>
      <c r="K306" s="1172">
        <f t="shared" si="23"/>
        <v>59915000</v>
      </c>
      <c r="L306" s="26">
        <f>IF(F306="",E306-K306,F306-K306)</f>
        <v>0</v>
      </c>
      <c r="M306" s="108"/>
      <c r="N306" s="33"/>
      <c r="O306" s="1177"/>
    </row>
    <row r="307" spans="1:15" ht="26.25" hidden="1" customHeight="1" x14ac:dyDescent="0.3">
      <c r="A307" s="1213"/>
      <c r="B307" s="26" t="s">
        <v>74</v>
      </c>
      <c r="C307" s="45" t="s">
        <v>489</v>
      </c>
      <c r="D307" s="46" t="s">
        <v>100</v>
      </c>
      <c r="E307" s="1172">
        <v>40000000</v>
      </c>
      <c r="F307" s="227">
        <v>40000000</v>
      </c>
      <c r="G307" s="1172">
        <v>40000000</v>
      </c>
      <c r="H307" s="1172"/>
      <c r="I307" s="1172"/>
      <c r="J307" s="1172"/>
      <c r="K307" s="1172">
        <f t="shared" si="23"/>
        <v>40000000</v>
      </c>
      <c r="L307" s="26">
        <f>IF(F307="",E307-K307,F307-K307)</f>
        <v>0</v>
      </c>
      <c r="M307" s="108"/>
      <c r="N307" s="33"/>
      <c r="O307" s="1177"/>
    </row>
    <row r="308" spans="1:15" ht="26.25" hidden="1" customHeight="1" x14ac:dyDescent="0.3">
      <c r="A308" s="1213"/>
      <c r="B308" s="26" t="s">
        <v>78</v>
      </c>
      <c r="C308" s="45" t="s">
        <v>490</v>
      </c>
      <c r="D308" s="46" t="s">
        <v>491</v>
      </c>
      <c r="E308" s="1172">
        <v>4200000</v>
      </c>
      <c r="F308" s="227"/>
      <c r="G308" s="1172">
        <v>4200000</v>
      </c>
      <c r="H308" s="1172"/>
      <c r="I308" s="1172"/>
      <c r="J308" s="1172"/>
      <c r="K308" s="1172">
        <f t="shared" si="23"/>
        <v>4200000</v>
      </c>
      <c r="L308" s="26">
        <f>IF(F308="",E308-K308,F308-K308)</f>
        <v>0</v>
      </c>
      <c r="M308" s="108"/>
      <c r="N308" s="33"/>
      <c r="O308" s="1177"/>
    </row>
    <row r="309" spans="1:15" ht="26.25" hidden="1" customHeight="1" x14ac:dyDescent="0.3">
      <c r="A309" s="1213"/>
      <c r="B309" s="26" t="s">
        <v>83</v>
      </c>
      <c r="C309" s="45" t="s">
        <v>492</v>
      </c>
      <c r="D309" s="46" t="s">
        <v>46</v>
      </c>
      <c r="E309" s="1172"/>
      <c r="F309" s="227">
        <v>17325000</v>
      </c>
      <c r="G309" s="1172">
        <f>F309-H309</f>
        <v>8662500</v>
      </c>
      <c r="H309" s="1172">
        <v>8662500</v>
      </c>
      <c r="I309" s="1172"/>
      <c r="J309" s="1172"/>
      <c r="K309" s="1172">
        <f t="shared" si="23"/>
        <v>17325000</v>
      </c>
      <c r="L309" s="1172"/>
      <c r="M309" s="108"/>
      <c r="N309" s="33"/>
      <c r="O309" s="1177"/>
    </row>
    <row r="310" spans="1:15" ht="26.25" hidden="1" customHeight="1" x14ac:dyDescent="0.3">
      <c r="A310" s="1213"/>
      <c r="B310" s="26" t="s">
        <v>87</v>
      </c>
      <c r="C310" s="45" t="s">
        <v>493</v>
      </c>
      <c r="D310" s="46" t="s">
        <v>494</v>
      </c>
      <c r="E310" s="1172"/>
      <c r="F310" s="227">
        <v>66800000</v>
      </c>
      <c r="G310" s="1172">
        <v>14500000</v>
      </c>
      <c r="H310" s="1172">
        <v>30000000</v>
      </c>
      <c r="I310" s="1172">
        <v>7900000</v>
      </c>
      <c r="J310" s="1172">
        <v>14400000</v>
      </c>
      <c r="K310" s="1172">
        <f t="shared" si="23"/>
        <v>66800000</v>
      </c>
      <c r="L310" s="26">
        <f>IF(F310="",E310-K310,F310-K310)</f>
        <v>0</v>
      </c>
      <c r="M310" s="108"/>
      <c r="N310" s="33"/>
      <c r="O310" s="1177"/>
    </row>
    <row r="311" spans="1:15" ht="26.25" hidden="1" customHeight="1" x14ac:dyDescent="0.3">
      <c r="A311" s="1213"/>
      <c r="B311" s="1172"/>
      <c r="C311" s="45" t="s">
        <v>495</v>
      </c>
      <c r="D311" s="46" t="s">
        <v>496</v>
      </c>
      <c r="E311" s="1172"/>
      <c r="F311" s="227">
        <v>70909265</v>
      </c>
      <c r="G311" s="1172">
        <v>70909265</v>
      </c>
      <c r="H311" s="1172"/>
      <c r="I311" s="1172"/>
      <c r="J311" s="1172"/>
      <c r="K311" s="1172">
        <f>SUM(G311:J311)</f>
        <v>70909265</v>
      </c>
      <c r="L311" s="26">
        <f>IF(F311="",E311-K311,F311-K311)</f>
        <v>0</v>
      </c>
      <c r="M311" s="108"/>
      <c r="N311" s="33"/>
      <c r="O311" s="1177"/>
    </row>
    <row r="312" spans="1:15" ht="26.25" hidden="1" customHeight="1" x14ac:dyDescent="0.3">
      <c r="A312" s="1213"/>
      <c r="B312" s="1172"/>
      <c r="C312" s="45" t="s">
        <v>497</v>
      </c>
      <c r="D312" s="46" t="s">
        <v>323</v>
      </c>
      <c r="E312" s="1172"/>
      <c r="F312" s="227">
        <v>32115600</v>
      </c>
      <c r="G312" s="1172">
        <v>25692480</v>
      </c>
      <c r="H312" s="1172">
        <v>6423120</v>
      </c>
      <c r="I312" s="1172"/>
      <c r="J312" s="1172"/>
      <c r="K312" s="1172">
        <f t="shared" si="23"/>
        <v>32115600</v>
      </c>
      <c r="L312" s="26">
        <f>IF(F312="",E312-K312,F312-K312)</f>
        <v>0</v>
      </c>
      <c r="M312" s="108"/>
      <c r="N312" s="33"/>
      <c r="O312" s="1177"/>
    </row>
    <row r="313" spans="1:15" ht="21" hidden="1" thickBot="1" x14ac:dyDescent="0.35">
      <c r="A313" s="1214"/>
      <c r="B313" s="118"/>
      <c r="C313" s="119"/>
      <c r="D313" s="119"/>
      <c r="E313" s="119"/>
      <c r="F313" s="229"/>
      <c r="G313" s="119"/>
      <c r="H313" s="363"/>
      <c r="I313" s="119"/>
      <c r="J313" s="119"/>
      <c r="K313" s="289">
        <f>SUM(K291:K312)</f>
        <v>496707865</v>
      </c>
      <c r="L313" s="289">
        <f>SUM(L291:L312)</f>
        <v>0</v>
      </c>
      <c r="M313" s="106"/>
      <c r="N313" s="59"/>
      <c r="O313" s="60"/>
    </row>
    <row r="314" spans="1:15" ht="3.75" customHeight="1" thickBot="1" x14ac:dyDescent="0.35">
      <c r="A314" s="200"/>
      <c r="B314" s="61"/>
      <c r="C314" s="62"/>
      <c r="D314" s="63"/>
      <c r="E314" s="61"/>
      <c r="F314" s="221"/>
      <c r="G314" s="61"/>
      <c r="H314" s="61"/>
      <c r="I314" s="61"/>
      <c r="J314" s="61"/>
      <c r="K314" s="61"/>
      <c r="L314" s="61"/>
      <c r="M314" s="64"/>
      <c r="N314" s="65"/>
      <c r="O314" s="66"/>
    </row>
    <row r="315" spans="1:15" ht="23.25" customHeight="1" x14ac:dyDescent="0.3">
      <c r="A315" s="1203" t="s">
        <v>498</v>
      </c>
      <c r="B315" s="19" t="s">
        <v>194</v>
      </c>
      <c r="C315" s="67" t="s">
        <v>158</v>
      </c>
      <c r="D315" s="68" t="s">
        <v>499</v>
      </c>
      <c r="E315" s="69">
        <v>2500000</v>
      </c>
      <c r="F315" s="22"/>
      <c r="G315" s="69">
        <v>2500000</v>
      </c>
      <c r="H315" s="69"/>
      <c r="I315" s="69"/>
      <c r="J315" s="69"/>
      <c r="K315" s="19">
        <f t="shared" ref="K315:K322" si="25">SUM(G315:J315)</f>
        <v>2500000</v>
      </c>
      <c r="L315" s="26">
        <f>IF(F315="",E315-K315,F315-K315)</f>
        <v>0</v>
      </c>
      <c r="M315" s="23"/>
      <c r="N315" s="24"/>
      <c r="O315" s="25"/>
    </row>
    <row r="316" spans="1:15" ht="23.25" customHeight="1" x14ac:dyDescent="0.3">
      <c r="A316" s="1204"/>
      <c r="B316" s="26" t="s">
        <v>196</v>
      </c>
      <c r="C316" s="27" t="s">
        <v>31</v>
      </c>
      <c r="D316" s="28"/>
      <c r="E316" s="26"/>
      <c r="F316" s="29"/>
      <c r="G316" s="26">
        <v>2846000</v>
      </c>
      <c r="H316" s="26"/>
      <c r="I316" s="26"/>
      <c r="J316" s="26"/>
      <c r="K316" s="26">
        <f t="shared" si="25"/>
        <v>2846000</v>
      </c>
      <c r="L316" s="26"/>
      <c r="M316" s="30"/>
      <c r="N316" s="31"/>
      <c r="O316" s="32"/>
    </row>
    <row r="317" spans="1:15" ht="23.25" customHeight="1" x14ac:dyDescent="0.3">
      <c r="A317" s="1204"/>
      <c r="B317" s="26" t="s">
        <v>20</v>
      </c>
      <c r="C317" s="27" t="s">
        <v>118</v>
      </c>
      <c r="D317" s="28"/>
      <c r="E317" s="26">
        <v>6036000</v>
      </c>
      <c r="F317" s="29"/>
      <c r="G317" s="26">
        <v>6036000</v>
      </c>
      <c r="H317" s="26"/>
      <c r="I317" s="26"/>
      <c r="J317" s="26"/>
      <c r="K317" s="26">
        <f t="shared" si="25"/>
        <v>6036000</v>
      </c>
      <c r="L317" s="26">
        <f>IF(F317="",E317-K317,F317-K317)</f>
        <v>0</v>
      </c>
      <c r="M317" s="30"/>
      <c r="N317" s="31"/>
      <c r="O317" s="32"/>
    </row>
    <row r="318" spans="1:15" ht="23.25" customHeight="1" x14ac:dyDescent="0.3">
      <c r="A318" s="1205"/>
      <c r="B318" s="26" t="s">
        <v>24</v>
      </c>
      <c r="C318" s="27" t="s">
        <v>500</v>
      </c>
      <c r="D318" s="28"/>
      <c r="E318" s="26">
        <v>1063000</v>
      </c>
      <c r="F318" s="1179"/>
      <c r="G318" s="26">
        <v>1063000</v>
      </c>
      <c r="H318" s="26"/>
      <c r="I318" s="26" t="s">
        <v>501</v>
      </c>
      <c r="J318" s="26"/>
      <c r="K318" s="26">
        <f t="shared" si="25"/>
        <v>1063000</v>
      </c>
      <c r="L318" s="26">
        <f>IF(F318="",E318-K318,F318-K318)</f>
        <v>0</v>
      </c>
      <c r="M318" s="34"/>
      <c r="N318" s="33"/>
      <c r="O318" s="32"/>
    </row>
    <row r="319" spans="1:15" ht="23.25" customHeight="1" x14ac:dyDescent="0.3">
      <c r="A319" s="1205"/>
      <c r="B319" s="26" t="s">
        <v>26</v>
      </c>
      <c r="C319" s="27" t="s">
        <v>502</v>
      </c>
      <c r="D319" s="28"/>
      <c r="E319" s="26">
        <v>850000</v>
      </c>
      <c r="F319" s="1179"/>
      <c r="G319" s="26">
        <v>850000</v>
      </c>
      <c r="H319" s="26"/>
      <c r="I319" s="26"/>
      <c r="J319" s="26"/>
      <c r="K319" s="1172">
        <f t="shared" si="25"/>
        <v>850000</v>
      </c>
      <c r="L319" s="26">
        <f>IF(F319="",E319-K319,F319-K319)</f>
        <v>0</v>
      </c>
      <c r="M319" s="34"/>
      <c r="N319" s="33"/>
      <c r="O319" s="32"/>
    </row>
    <row r="320" spans="1:15" ht="23.25" customHeight="1" x14ac:dyDescent="0.3">
      <c r="A320" s="1205"/>
      <c r="B320" s="26" t="s">
        <v>28</v>
      </c>
      <c r="C320" s="27" t="s">
        <v>336</v>
      </c>
      <c r="D320" s="28" t="s">
        <v>286</v>
      </c>
      <c r="E320" s="26"/>
      <c r="F320" s="1179"/>
      <c r="G320" s="26">
        <v>530000</v>
      </c>
      <c r="H320" s="26"/>
      <c r="I320" s="26"/>
      <c r="J320" s="26"/>
      <c r="K320" s="1172">
        <f t="shared" si="25"/>
        <v>530000</v>
      </c>
      <c r="L320" s="26"/>
      <c r="M320" s="34"/>
      <c r="N320" s="33"/>
      <c r="O320" s="32"/>
    </row>
    <row r="321" spans="1:17" ht="23.25" customHeight="1" x14ac:dyDescent="0.3">
      <c r="A321" s="1205"/>
      <c r="B321" s="26" t="s">
        <v>30</v>
      </c>
      <c r="C321" s="27" t="s">
        <v>336</v>
      </c>
      <c r="D321" s="28" t="s">
        <v>453</v>
      </c>
      <c r="E321" s="26"/>
      <c r="F321" s="1179"/>
      <c r="G321" s="26">
        <v>18672000</v>
      </c>
      <c r="H321" s="26"/>
      <c r="I321" s="26"/>
      <c r="J321" s="26"/>
      <c r="K321" s="1172">
        <f t="shared" si="25"/>
        <v>18672000</v>
      </c>
      <c r="L321" s="26"/>
      <c r="M321" s="34"/>
      <c r="N321" s="33"/>
      <c r="O321" s="32"/>
    </row>
    <row r="322" spans="1:17" ht="23.25" customHeight="1" x14ac:dyDescent="0.3">
      <c r="A322" s="1205"/>
      <c r="B322" s="26" t="s">
        <v>33</v>
      </c>
      <c r="C322" s="27" t="s">
        <v>503</v>
      </c>
      <c r="D322" s="28" t="s">
        <v>453</v>
      </c>
      <c r="E322" s="26"/>
      <c r="F322" s="1179"/>
      <c r="G322" s="26">
        <v>1900000</v>
      </c>
      <c r="H322" s="26"/>
      <c r="I322" s="26"/>
      <c r="J322" s="26"/>
      <c r="K322" s="1172">
        <f t="shared" si="25"/>
        <v>1900000</v>
      </c>
      <c r="L322" s="26"/>
      <c r="N322" s="33"/>
      <c r="O322" s="32"/>
    </row>
    <row r="323" spans="1:17" ht="23.25" customHeight="1" thickBot="1" x14ac:dyDescent="0.35">
      <c r="A323" s="1206"/>
      <c r="B323" s="120"/>
      <c r="C323" s="121"/>
      <c r="D323" s="121"/>
      <c r="E323" s="121"/>
      <c r="F323" s="220"/>
      <c r="G323" s="121"/>
      <c r="H323" s="364"/>
      <c r="I323" s="121"/>
      <c r="J323" s="121"/>
      <c r="K323" s="289">
        <f>SUM(K315:K322)</f>
        <v>34397000</v>
      </c>
      <c r="L323" s="288">
        <f>SUM(L315:L322)</f>
        <v>0</v>
      </c>
      <c r="M323" s="58"/>
      <c r="N323" s="59"/>
      <c r="O323" s="60"/>
    </row>
    <row r="324" spans="1:17" ht="5.25" customHeight="1" thickBot="1" x14ac:dyDescent="0.35">
      <c r="A324" s="200"/>
      <c r="B324" s="61"/>
      <c r="C324" s="62"/>
      <c r="D324" s="63"/>
      <c r="E324" s="61"/>
      <c r="F324" s="221"/>
      <c r="G324" s="61"/>
      <c r="H324" s="61"/>
      <c r="I324" s="61"/>
      <c r="J324" s="61"/>
      <c r="K324" s="61"/>
      <c r="L324" s="61"/>
      <c r="M324" s="64"/>
      <c r="N324" s="65"/>
      <c r="O324" s="66"/>
    </row>
    <row r="325" spans="1:17" s="128" customFormat="1" ht="24.75" customHeight="1" x14ac:dyDescent="0.3">
      <c r="A325" s="1207" t="s">
        <v>504</v>
      </c>
      <c r="B325" s="19" t="s">
        <v>194</v>
      </c>
      <c r="C325" s="122" t="s">
        <v>505</v>
      </c>
      <c r="D325" s="123" t="s">
        <v>506</v>
      </c>
      <c r="E325" s="124"/>
      <c r="F325" s="224"/>
      <c r="G325" s="124">
        <v>7865000</v>
      </c>
      <c r="H325" s="124"/>
      <c r="I325" s="124"/>
      <c r="J325" s="124"/>
      <c r="K325" s="124">
        <f t="shared" ref="K325:K342" si="26">SUM(G325:J325)</f>
        <v>7865000</v>
      </c>
      <c r="L325" s="26"/>
      <c r="M325" s="125"/>
      <c r="N325" s="126"/>
      <c r="O325" s="127"/>
      <c r="Q325" s="310"/>
    </row>
    <row r="326" spans="1:17" s="128" customFormat="1" ht="24.75" customHeight="1" x14ac:dyDescent="0.3">
      <c r="A326" s="1207"/>
      <c r="B326" s="26" t="s">
        <v>196</v>
      </c>
      <c r="C326" s="109" t="s">
        <v>118</v>
      </c>
      <c r="D326" s="129" t="s">
        <v>507</v>
      </c>
      <c r="E326" s="111"/>
      <c r="F326" s="29">
        <v>324714300</v>
      </c>
      <c r="G326" s="111">
        <v>130000000</v>
      </c>
      <c r="H326" s="111">
        <v>100000000</v>
      </c>
      <c r="I326" s="111">
        <v>94714300</v>
      </c>
      <c r="J326" s="111"/>
      <c r="K326" s="111">
        <f t="shared" si="26"/>
        <v>324714300</v>
      </c>
      <c r="L326" s="26">
        <f>IF(F326="",E326-K326,F326-K326)</f>
        <v>0</v>
      </c>
      <c r="M326" s="130"/>
      <c r="N326" s="126"/>
      <c r="O326" s="115"/>
      <c r="Q326" s="310"/>
    </row>
    <row r="327" spans="1:17" s="128" customFormat="1" ht="24.75" customHeight="1" x14ac:dyDescent="0.3">
      <c r="A327" s="1207"/>
      <c r="B327" s="26" t="s">
        <v>20</v>
      </c>
      <c r="C327" s="109" t="s">
        <v>278</v>
      </c>
      <c r="D327" s="129" t="s">
        <v>400</v>
      </c>
      <c r="E327" s="111"/>
      <c r="F327" s="29">
        <v>43846000</v>
      </c>
      <c r="G327" s="111">
        <v>43846000</v>
      </c>
      <c r="H327" s="111"/>
      <c r="I327" s="111"/>
      <c r="J327" s="111"/>
      <c r="K327" s="111">
        <f t="shared" si="26"/>
        <v>43846000</v>
      </c>
      <c r="L327" s="26">
        <f>IF(F327="",E327-K327,F327-K327)</f>
        <v>0</v>
      </c>
      <c r="M327" s="44" t="s">
        <v>508</v>
      </c>
      <c r="N327" s="126"/>
      <c r="O327" s="115"/>
      <c r="Q327" s="310"/>
    </row>
    <row r="328" spans="1:17" s="116" customFormat="1" ht="24.75" customHeight="1" x14ac:dyDescent="0.3">
      <c r="A328" s="1207"/>
      <c r="B328" s="26" t="s">
        <v>24</v>
      </c>
      <c r="C328" s="109" t="s">
        <v>164</v>
      </c>
      <c r="D328" s="129" t="s">
        <v>173</v>
      </c>
      <c r="E328" s="111">
        <v>302561600</v>
      </c>
      <c r="F328" s="29">
        <v>315866800</v>
      </c>
      <c r="G328" s="111">
        <v>110000000</v>
      </c>
      <c r="H328" s="111">
        <v>100000000</v>
      </c>
      <c r="I328" s="111">
        <v>105866800</v>
      </c>
      <c r="J328" s="111"/>
      <c r="K328" s="111">
        <f t="shared" si="26"/>
        <v>315866800</v>
      </c>
      <c r="L328" s="26">
        <f>IF(F328="",E328-K328,F328-K328)</f>
        <v>0</v>
      </c>
      <c r="M328" s="130"/>
      <c r="N328" s="126"/>
      <c r="O328" s="115"/>
      <c r="Q328" s="134"/>
    </row>
    <row r="329" spans="1:17" s="116" customFormat="1" ht="24.75" customHeight="1" x14ac:dyDescent="0.3">
      <c r="A329" s="1207"/>
      <c r="B329" s="26" t="s">
        <v>26</v>
      </c>
      <c r="C329" s="109" t="s">
        <v>509</v>
      </c>
      <c r="D329" s="129" t="s">
        <v>173</v>
      </c>
      <c r="E329" s="111">
        <f>156097500+69027500+10000000</f>
        <v>235125000</v>
      </c>
      <c r="F329" s="29">
        <v>235125000</v>
      </c>
      <c r="G329" s="111">
        <v>51000000</v>
      </c>
      <c r="H329" s="111">
        <v>34226000</v>
      </c>
      <c r="I329" s="111">
        <v>34226000</v>
      </c>
      <c r="J329" s="111">
        <v>115673000</v>
      </c>
      <c r="K329" s="111">
        <f t="shared" si="26"/>
        <v>235125000</v>
      </c>
      <c r="L329" s="26">
        <f>IF(F329="",E329-K329,F329-K329)</f>
        <v>0</v>
      </c>
      <c r="M329" s="130"/>
      <c r="N329" s="126"/>
      <c r="O329" s="115"/>
      <c r="Q329" s="134"/>
    </row>
    <row r="330" spans="1:17" s="116" customFormat="1" ht="24.75" customHeight="1" x14ac:dyDescent="0.3">
      <c r="A330" s="1207"/>
      <c r="B330" s="26" t="s">
        <v>28</v>
      </c>
      <c r="C330" s="109" t="s">
        <v>510</v>
      </c>
      <c r="D330" s="129" t="s">
        <v>511</v>
      </c>
      <c r="E330" s="111"/>
      <c r="F330" s="29"/>
      <c r="G330" s="111">
        <v>598000</v>
      </c>
      <c r="H330" s="111">
        <v>18909000</v>
      </c>
      <c r="I330" s="111"/>
      <c r="J330" s="111"/>
      <c r="K330" s="111">
        <f t="shared" si="26"/>
        <v>19507000</v>
      </c>
      <c r="L330" s="26"/>
      <c r="M330" s="130"/>
      <c r="N330" s="126"/>
      <c r="O330" s="115"/>
      <c r="Q330" s="134"/>
    </row>
    <row r="331" spans="1:17" s="116" customFormat="1" ht="24.75" customHeight="1" x14ac:dyDescent="0.3">
      <c r="A331" s="1207"/>
      <c r="B331" s="26" t="s">
        <v>30</v>
      </c>
      <c r="C331" s="109" t="s">
        <v>512</v>
      </c>
      <c r="D331" s="129" t="s">
        <v>513</v>
      </c>
      <c r="E331" s="131">
        <v>313200372</v>
      </c>
      <c r="F331" s="29"/>
      <c r="G331" s="111">
        <v>313200372</v>
      </c>
      <c r="H331" s="111"/>
      <c r="I331" s="111"/>
      <c r="J331" s="111"/>
      <c r="K331" s="111">
        <f t="shared" si="26"/>
        <v>313200372</v>
      </c>
      <c r="L331" s="26">
        <f t="shared" ref="L331:L339" si="27">IF(F331="",E331-K331,F331-K331)</f>
        <v>0</v>
      </c>
      <c r="M331" s="130"/>
      <c r="N331" s="126"/>
      <c r="O331" s="115"/>
      <c r="Q331" s="134"/>
    </row>
    <row r="332" spans="1:17" s="116" customFormat="1" ht="24.75" customHeight="1" x14ac:dyDescent="0.3">
      <c r="A332" s="1207"/>
      <c r="B332" s="26" t="s">
        <v>33</v>
      </c>
      <c r="C332" s="109" t="s">
        <v>514</v>
      </c>
      <c r="D332" s="129" t="s">
        <v>301</v>
      </c>
      <c r="E332" s="132">
        <v>2608000</v>
      </c>
      <c r="F332" s="29"/>
      <c r="G332" s="111">
        <v>2608000</v>
      </c>
      <c r="H332" s="111"/>
      <c r="I332" s="111"/>
      <c r="J332" s="111"/>
      <c r="K332" s="111">
        <f t="shared" si="26"/>
        <v>2608000</v>
      </c>
      <c r="L332" s="26">
        <f t="shared" si="27"/>
        <v>0</v>
      </c>
      <c r="M332" s="130"/>
      <c r="N332" s="126"/>
      <c r="O332" s="115"/>
      <c r="Q332" s="134"/>
    </row>
    <row r="333" spans="1:17" s="116" customFormat="1" ht="24.75" customHeight="1" x14ac:dyDescent="0.3">
      <c r="A333" s="1207"/>
      <c r="B333" s="26" t="s">
        <v>39</v>
      </c>
      <c r="C333" s="109" t="s">
        <v>515</v>
      </c>
      <c r="D333" s="129" t="s">
        <v>301</v>
      </c>
      <c r="E333" s="132">
        <v>143979000</v>
      </c>
      <c r="F333" s="29">
        <v>143979000</v>
      </c>
      <c r="G333" s="111">
        <v>102000000</v>
      </c>
      <c r="H333" s="111">
        <v>41979000</v>
      </c>
      <c r="I333" s="111"/>
      <c r="J333" s="111"/>
      <c r="K333" s="111">
        <f t="shared" si="26"/>
        <v>143979000</v>
      </c>
      <c r="L333" s="26">
        <f t="shared" si="27"/>
        <v>0</v>
      </c>
      <c r="M333" s="130"/>
      <c r="N333" s="126"/>
      <c r="O333" s="133"/>
      <c r="Q333" s="134"/>
    </row>
    <row r="334" spans="1:17" s="116" customFormat="1" ht="24.75" customHeight="1" x14ac:dyDescent="0.3">
      <c r="A334" s="1207"/>
      <c r="B334" s="26" t="s">
        <v>44</v>
      </c>
      <c r="C334" s="109" t="s">
        <v>92</v>
      </c>
      <c r="D334" s="129" t="s">
        <v>516</v>
      </c>
      <c r="E334" s="132"/>
      <c r="F334" s="29">
        <f>84720680+20422500</f>
        <v>105143180</v>
      </c>
      <c r="G334" s="111">
        <v>81994544</v>
      </c>
      <c r="H334" s="111">
        <v>16472456</v>
      </c>
      <c r="I334" s="111">
        <v>6676180</v>
      </c>
      <c r="J334" s="111"/>
      <c r="K334" s="111">
        <f t="shared" si="26"/>
        <v>105143180</v>
      </c>
      <c r="L334" s="26">
        <f t="shared" si="27"/>
        <v>0</v>
      </c>
      <c r="M334" s="130"/>
      <c r="N334" s="126"/>
      <c r="O334" s="133"/>
      <c r="Q334" s="134"/>
    </row>
    <row r="335" spans="1:17" s="116" customFormat="1" ht="24.75" customHeight="1" x14ac:dyDescent="0.3">
      <c r="A335" s="1207"/>
      <c r="B335" s="26" t="s">
        <v>49</v>
      </c>
      <c r="C335" s="109" t="s">
        <v>31</v>
      </c>
      <c r="D335" s="129" t="s">
        <v>195</v>
      </c>
      <c r="E335" s="132"/>
      <c r="F335" s="29">
        <f>84720680+20422500</f>
        <v>105143180</v>
      </c>
      <c r="G335" s="111">
        <f>F335-H335</f>
        <v>24705430</v>
      </c>
      <c r="H335" s="111">
        <v>80437750</v>
      </c>
      <c r="I335" s="111"/>
      <c r="J335" s="111"/>
      <c r="K335" s="111">
        <f t="shared" si="26"/>
        <v>105143180</v>
      </c>
      <c r="L335" s="26">
        <f t="shared" si="27"/>
        <v>0</v>
      </c>
      <c r="M335" s="130"/>
      <c r="N335" s="126"/>
      <c r="O335" s="133"/>
      <c r="Q335" s="134"/>
    </row>
    <row r="336" spans="1:17" s="116" customFormat="1" ht="34.5" customHeight="1" x14ac:dyDescent="0.3">
      <c r="A336" s="1207"/>
      <c r="B336" s="26" t="s">
        <v>55</v>
      </c>
      <c r="C336" s="109" t="s">
        <v>517</v>
      </c>
      <c r="D336" s="129"/>
      <c r="E336" s="132">
        <v>80775881</v>
      </c>
      <c r="F336" s="29"/>
      <c r="G336" s="111">
        <v>39970433</v>
      </c>
      <c r="H336" s="111">
        <v>40805448</v>
      </c>
      <c r="I336" s="111"/>
      <c r="J336" s="111"/>
      <c r="K336" s="111">
        <f t="shared" si="26"/>
        <v>80775881</v>
      </c>
      <c r="L336" s="26">
        <f t="shared" si="27"/>
        <v>0</v>
      </c>
      <c r="M336" s="130"/>
      <c r="N336" s="126"/>
      <c r="O336" s="133"/>
      <c r="Q336" s="134"/>
    </row>
    <row r="337" spans="1:17" s="116" customFormat="1" ht="38.25" customHeight="1" x14ac:dyDescent="0.3">
      <c r="A337" s="1207"/>
      <c r="B337" s="1050" t="s">
        <v>59</v>
      </c>
      <c r="C337" s="109" t="s">
        <v>518</v>
      </c>
      <c r="D337" s="129" t="s">
        <v>519</v>
      </c>
      <c r="E337" s="132">
        <v>50000000</v>
      </c>
      <c r="F337" s="29"/>
      <c r="G337" s="111">
        <v>50000000</v>
      </c>
      <c r="H337" s="111"/>
      <c r="I337" s="111"/>
      <c r="J337" s="111"/>
      <c r="K337" s="111">
        <f t="shared" si="26"/>
        <v>50000000</v>
      </c>
      <c r="L337" s="26">
        <f t="shared" si="27"/>
        <v>0</v>
      </c>
      <c r="M337" s="130"/>
      <c r="N337" s="126"/>
      <c r="O337" s="133"/>
      <c r="Q337" s="134"/>
    </row>
    <row r="338" spans="1:17" s="116" customFormat="1" ht="24.75" customHeight="1" x14ac:dyDescent="0.3">
      <c r="A338" s="1207"/>
      <c r="B338" s="1050" t="s">
        <v>63</v>
      </c>
      <c r="C338" s="109" t="s">
        <v>520</v>
      </c>
      <c r="D338" s="129" t="s">
        <v>521</v>
      </c>
      <c r="E338" s="132">
        <v>500000</v>
      </c>
      <c r="F338" s="29"/>
      <c r="G338" s="111">
        <v>500000</v>
      </c>
      <c r="H338" s="111"/>
      <c r="I338" s="111"/>
      <c r="J338" s="111"/>
      <c r="K338" s="111">
        <f t="shared" si="26"/>
        <v>500000</v>
      </c>
      <c r="L338" s="26">
        <f t="shared" si="27"/>
        <v>0</v>
      </c>
      <c r="M338" s="130"/>
      <c r="N338" s="126"/>
      <c r="O338" s="133"/>
      <c r="Q338" s="134"/>
    </row>
    <row r="339" spans="1:17" s="116" customFormat="1" ht="24.75" customHeight="1" x14ac:dyDescent="0.3">
      <c r="A339" s="1207"/>
      <c r="B339" s="26"/>
      <c r="C339" s="109" t="s">
        <v>92</v>
      </c>
      <c r="D339" s="129" t="s">
        <v>204</v>
      </c>
      <c r="E339" s="132">
        <v>3750000</v>
      </c>
      <c r="F339" s="29"/>
      <c r="G339" s="111">
        <v>3750000</v>
      </c>
      <c r="H339" s="111"/>
      <c r="I339" s="111"/>
      <c r="J339" s="111"/>
      <c r="K339" s="111">
        <f t="shared" si="26"/>
        <v>3750000</v>
      </c>
      <c r="L339" s="26">
        <f t="shared" si="27"/>
        <v>0</v>
      </c>
      <c r="M339" s="130"/>
      <c r="N339" s="126"/>
      <c r="O339" s="133"/>
      <c r="Q339" s="134"/>
    </row>
    <row r="340" spans="1:17" s="116" customFormat="1" ht="24.75" customHeight="1" x14ac:dyDescent="0.3">
      <c r="A340" s="1207"/>
      <c r="B340" s="26"/>
      <c r="C340" s="109" t="s">
        <v>522</v>
      </c>
      <c r="D340" s="129" t="s">
        <v>258</v>
      </c>
      <c r="E340" s="132"/>
      <c r="F340" s="29"/>
      <c r="G340" s="111">
        <v>10000000</v>
      </c>
      <c r="H340" s="111"/>
      <c r="I340" s="111"/>
      <c r="J340" s="111"/>
      <c r="K340" s="111">
        <f t="shared" si="26"/>
        <v>10000000</v>
      </c>
      <c r="L340" s="26"/>
      <c r="M340" s="130"/>
      <c r="N340" s="126"/>
      <c r="O340" s="133"/>
      <c r="Q340" s="134"/>
    </row>
    <row r="341" spans="1:17" s="116" customFormat="1" ht="24.75" customHeight="1" x14ac:dyDescent="0.3">
      <c r="A341" s="1207"/>
      <c r="B341" s="26"/>
      <c r="C341" s="109" t="s">
        <v>510</v>
      </c>
      <c r="D341" s="116" t="s">
        <v>258</v>
      </c>
      <c r="E341" s="132"/>
      <c r="F341" s="29"/>
      <c r="G341" s="132">
        <v>6833000</v>
      </c>
      <c r="H341" s="132">
        <v>650000</v>
      </c>
      <c r="I341" s="111"/>
      <c r="J341" s="111"/>
      <c r="K341" s="111">
        <f t="shared" si="26"/>
        <v>7483000</v>
      </c>
      <c r="L341" s="26"/>
      <c r="M341" s="130"/>
      <c r="N341" s="126"/>
      <c r="O341" s="133"/>
      <c r="Q341" s="134"/>
    </row>
    <row r="342" spans="1:17" s="116" customFormat="1" ht="24.75" customHeight="1" x14ac:dyDescent="0.3">
      <c r="A342" s="1207"/>
      <c r="B342" s="26"/>
      <c r="C342" s="109" t="s">
        <v>34</v>
      </c>
      <c r="D342" s="116" t="s">
        <v>104</v>
      </c>
      <c r="E342" s="132">
        <v>3850000</v>
      </c>
      <c r="F342" s="29"/>
      <c r="G342" s="132">
        <v>3850000</v>
      </c>
      <c r="H342" s="132"/>
      <c r="I342" s="111"/>
      <c r="J342" s="111"/>
      <c r="K342" s="111">
        <f t="shared" si="26"/>
        <v>3850000</v>
      </c>
      <c r="L342" s="26">
        <f>IF(F342="",E342-K342,F342-K342)</f>
        <v>0</v>
      </c>
      <c r="M342" s="130"/>
      <c r="N342" s="126"/>
      <c r="O342" s="133"/>
      <c r="Q342" s="134"/>
    </row>
    <row r="343" spans="1:17" ht="22.5" customHeight="1" x14ac:dyDescent="0.3">
      <c r="A343" s="1207"/>
      <c r="B343" s="26"/>
      <c r="C343" s="27"/>
      <c r="D343" s="27"/>
      <c r="E343" s="27"/>
      <c r="F343" s="29"/>
      <c r="G343" s="27"/>
      <c r="H343" s="365"/>
      <c r="I343" s="27"/>
      <c r="J343" s="27"/>
      <c r="K343" s="291">
        <f>SUM(K325:K342)</f>
        <v>1773356713</v>
      </c>
      <c r="L343" s="290">
        <f>SUM(L325:L339)</f>
        <v>0</v>
      </c>
      <c r="M343" s="30"/>
      <c r="N343" s="91"/>
      <c r="O343" s="60"/>
    </row>
    <row r="344" spans="1:17" ht="6" customHeight="1" thickBot="1" x14ac:dyDescent="0.35">
      <c r="A344" s="200"/>
      <c r="B344" s="72"/>
      <c r="C344" s="73"/>
      <c r="D344" s="74"/>
      <c r="E344" s="72"/>
      <c r="F344" s="222"/>
      <c r="G344" s="72"/>
      <c r="H344" s="72"/>
      <c r="I344" s="72"/>
      <c r="J344" s="72"/>
      <c r="K344" s="72"/>
      <c r="L344" s="72"/>
      <c r="M344" s="75"/>
      <c r="N344" s="65"/>
      <c r="O344" s="65"/>
    </row>
    <row r="345" spans="1:17" ht="25.5" customHeight="1" x14ac:dyDescent="0.3">
      <c r="A345" s="1198" t="s">
        <v>523</v>
      </c>
      <c r="B345" s="19" t="s">
        <v>194</v>
      </c>
      <c r="C345" s="67" t="s">
        <v>292</v>
      </c>
      <c r="D345" s="68" t="s">
        <v>104</v>
      </c>
      <c r="E345" s="69">
        <v>16610000</v>
      </c>
      <c r="F345" s="224"/>
      <c r="G345" s="69">
        <v>12000000</v>
      </c>
      <c r="H345" s="69">
        <v>4610000</v>
      </c>
      <c r="I345" s="69"/>
      <c r="J345" s="69"/>
      <c r="K345" s="69">
        <f t="shared" ref="K345:K354" si="28">SUM(G345:J345)</f>
        <v>16610000</v>
      </c>
      <c r="L345" s="26">
        <f>IF(F345="",E345-K345,F345-K345)</f>
        <v>0</v>
      </c>
      <c r="M345" s="135"/>
      <c r="N345" s="79"/>
      <c r="O345" s="25"/>
    </row>
    <row r="346" spans="1:17" ht="23.25" customHeight="1" x14ac:dyDescent="0.3">
      <c r="A346" s="1199"/>
      <c r="B346" s="26" t="s">
        <v>196</v>
      </c>
      <c r="C346" s="27" t="s">
        <v>118</v>
      </c>
      <c r="D346" s="28"/>
      <c r="E346" s="26">
        <v>38063600</v>
      </c>
      <c r="F346" s="29"/>
      <c r="G346" s="26">
        <v>38063000</v>
      </c>
      <c r="H346" s="26"/>
      <c r="I346" s="26"/>
      <c r="J346" s="26"/>
      <c r="K346" s="26">
        <f t="shared" si="28"/>
        <v>38063000</v>
      </c>
      <c r="L346" s="26"/>
      <c r="M346" s="34"/>
      <c r="N346" s="33"/>
      <c r="O346" s="32"/>
    </row>
    <row r="347" spans="1:17" ht="23.25" customHeight="1" x14ac:dyDescent="0.3">
      <c r="A347" s="1199"/>
      <c r="B347" s="26" t="s">
        <v>20</v>
      </c>
      <c r="C347" s="27" t="s">
        <v>107</v>
      </c>
      <c r="D347" s="28" t="s">
        <v>2</v>
      </c>
      <c r="E347" s="26">
        <v>5980000</v>
      </c>
      <c r="F347" s="29"/>
      <c r="G347" s="26">
        <v>5980000</v>
      </c>
      <c r="H347" s="26"/>
      <c r="I347" s="26"/>
      <c r="J347" s="26"/>
      <c r="K347" s="26">
        <f t="shared" si="28"/>
        <v>5980000</v>
      </c>
      <c r="L347" s="26">
        <f>IF(F347="",E347-K347,F347-K347)</f>
        <v>0</v>
      </c>
      <c r="M347" s="34"/>
      <c r="N347" s="33"/>
      <c r="O347" s="32"/>
    </row>
    <row r="348" spans="1:17" ht="23.25" customHeight="1" x14ac:dyDescent="0.3">
      <c r="A348" s="1199"/>
      <c r="B348" s="26" t="s">
        <v>24</v>
      </c>
      <c r="C348" s="27" t="s">
        <v>34</v>
      </c>
      <c r="D348" s="28" t="s">
        <v>204</v>
      </c>
      <c r="E348" s="26">
        <v>21978600</v>
      </c>
      <c r="F348" s="29"/>
      <c r="G348" s="26">
        <v>8278600</v>
      </c>
      <c r="H348" s="26"/>
      <c r="I348" s="26"/>
      <c r="J348" s="26"/>
      <c r="K348" s="26">
        <f t="shared" si="28"/>
        <v>8278600</v>
      </c>
      <c r="L348" s="26">
        <f>IF(F348="",E348-K348,F348-K348)</f>
        <v>13700000</v>
      </c>
      <c r="M348" s="34"/>
      <c r="N348" s="33"/>
      <c r="O348" s="32"/>
    </row>
    <row r="349" spans="1:17" ht="23.25" customHeight="1" x14ac:dyDescent="0.3">
      <c r="A349" s="1199"/>
      <c r="B349" s="26" t="s">
        <v>26</v>
      </c>
      <c r="C349" s="27" t="s">
        <v>336</v>
      </c>
      <c r="D349" s="28" t="s">
        <v>434</v>
      </c>
      <c r="E349" s="26"/>
      <c r="F349" s="29"/>
      <c r="G349" s="26">
        <v>13550000</v>
      </c>
      <c r="H349" s="26"/>
      <c r="I349" s="26"/>
      <c r="J349" s="26"/>
      <c r="K349" s="26">
        <f t="shared" si="28"/>
        <v>13550000</v>
      </c>
      <c r="L349" s="26"/>
      <c r="M349" s="34"/>
      <c r="N349" s="33"/>
      <c r="O349" s="32"/>
    </row>
    <row r="350" spans="1:17" ht="23.25" customHeight="1" x14ac:dyDescent="0.3">
      <c r="A350" s="1199"/>
      <c r="B350" s="26" t="s">
        <v>28</v>
      </c>
      <c r="C350" s="27" t="s">
        <v>524</v>
      </c>
      <c r="D350" s="28" t="s">
        <v>341</v>
      </c>
      <c r="E350" s="26">
        <v>1000000</v>
      </c>
      <c r="F350" s="29"/>
      <c r="G350" s="26">
        <v>1000000</v>
      </c>
      <c r="H350" s="26"/>
      <c r="I350" s="26"/>
      <c r="J350" s="26"/>
      <c r="K350" s="26">
        <f t="shared" si="28"/>
        <v>1000000</v>
      </c>
      <c r="L350" s="26">
        <f>IF(F350="",E350-K350,F350-K350)</f>
        <v>0</v>
      </c>
      <c r="M350" s="34"/>
      <c r="N350" s="33"/>
      <c r="O350" s="32"/>
    </row>
    <row r="351" spans="1:17" ht="23.25" customHeight="1" x14ac:dyDescent="0.3">
      <c r="A351" s="1199"/>
      <c r="B351" s="26" t="s">
        <v>30</v>
      </c>
      <c r="C351" s="45" t="s">
        <v>272</v>
      </c>
      <c r="D351" s="46" t="s">
        <v>273</v>
      </c>
      <c r="E351" s="1172">
        <v>5679000</v>
      </c>
      <c r="F351" s="1179"/>
      <c r="G351" s="1172">
        <v>5679000</v>
      </c>
      <c r="H351" s="1172"/>
      <c r="I351" s="1172"/>
      <c r="J351" s="1172"/>
      <c r="K351" s="26">
        <f t="shared" si="28"/>
        <v>5679000</v>
      </c>
      <c r="L351" s="26">
        <f>IF(F351="",E351-K351,F351-K351)</f>
        <v>0</v>
      </c>
      <c r="M351" s="34"/>
      <c r="N351" s="33"/>
      <c r="O351" s="32"/>
    </row>
    <row r="352" spans="1:17" ht="23.25" customHeight="1" x14ac:dyDescent="0.3">
      <c r="A352" s="1199"/>
      <c r="B352" s="26" t="s">
        <v>33</v>
      </c>
      <c r="C352" s="45" t="s">
        <v>257</v>
      </c>
      <c r="D352" s="46" t="s">
        <v>525</v>
      </c>
      <c r="E352" s="1172"/>
      <c r="F352" s="1179"/>
      <c r="G352" s="1172">
        <v>985000</v>
      </c>
      <c r="H352" s="1172"/>
      <c r="I352" s="1172"/>
      <c r="J352" s="1172"/>
      <c r="K352" s="1172">
        <f t="shared" si="28"/>
        <v>985000</v>
      </c>
      <c r="L352" s="26"/>
      <c r="M352" s="34"/>
      <c r="N352" s="33"/>
      <c r="O352" s="32"/>
    </row>
    <row r="353" spans="1:17" ht="23.25" customHeight="1" x14ac:dyDescent="0.3">
      <c r="A353" s="1199"/>
      <c r="B353" s="26" t="s">
        <v>39</v>
      </c>
      <c r="C353" s="45" t="s">
        <v>29</v>
      </c>
      <c r="D353" s="46" t="s">
        <v>526</v>
      </c>
      <c r="E353" s="1172"/>
      <c r="F353" s="1179"/>
      <c r="G353" s="1172">
        <v>2000000</v>
      </c>
      <c r="H353" s="1172"/>
      <c r="I353" s="1172"/>
      <c r="J353" s="1172"/>
      <c r="K353" s="1172">
        <f t="shared" si="28"/>
        <v>2000000</v>
      </c>
      <c r="L353" s="1172"/>
      <c r="M353" s="34"/>
      <c r="N353" s="33"/>
      <c r="O353" s="1177"/>
    </row>
    <row r="354" spans="1:17" ht="23.25" customHeight="1" x14ac:dyDescent="0.3">
      <c r="A354" s="1199"/>
      <c r="B354" s="26" t="s">
        <v>44</v>
      </c>
      <c r="C354" s="45" t="s">
        <v>99</v>
      </c>
      <c r="D354" s="46" t="s">
        <v>100</v>
      </c>
      <c r="E354" s="1172"/>
      <c r="F354" s="1179">
        <v>8400000</v>
      </c>
      <c r="G354" s="1172">
        <v>8400000</v>
      </c>
      <c r="H354" s="1172"/>
      <c r="I354" s="1172"/>
      <c r="J354" s="1172"/>
      <c r="K354" s="1172">
        <f t="shared" si="28"/>
        <v>8400000</v>
      </c>
      <c r="L354" s="26">
        <f>IF(F354="",E354-K354,F354-K354)</f>
        <v>0</v>
      </c>
      <c r="M354" s="34"/>
      <c r="N354" s="33"/>
      <c r="O354" s="1177"/>
    </row>
    <row r="355" spans="1:17" ht="23.25" customHeight="1" thickBot="1" x14ac:dyDescent="0.35">
      <c r="A355" s="1200"/>
      <c r="B355" s="120"/>
      <c r="C355" s="121"/>
      <c r="D355" s="121"/>
      <c r="E355" s="121"/>
      <c r="F355" s="86"/>
      <c r="G355" s="121"/>
      <c r="H355" s="364"/>
      <c r="I355" s="121"/>
      <c r="J355" s="121"/>
      <c r="K355" s="295">
        <f>SUM(K345:K354)</f>
        <v>100545600</v>
      </c>
      <c r="L355" s="294">
        <f>SUM(L345:L354)</f>
        <v>13700000</v>
      </c>
      <c r="M355" s="58"/>
      <c r="N355" s="59"/>
      <c r="O355" s="60"/>
      <c r="Q355" s="5"/>
    </row>
    <row r="356" spans="1:17" ht="20.25" customHeight="1" x14ac:dyDescent="0.3">
      <c r="A356" s="1227" t="s">
        <v>527</v>
      </c>
      <c r="B356" s="69" t="s">
        <v>194</v>
      </c>
      <c r="C356" s="67" t="s">
        <v>278</v>
      </c>
      <c r="D356" s="68" t="s">
        <v>100</v>
      </c>
      <c r="E356" s="69">
        <v>108825000</v>
      </c>
      <c r="F356" s="224">
        <v>119375000</v>
      </c>
      <c r="G356" s="69">
        <v>54415500</v>
      </c>
      <c r="H356" s="69">
        <v>58994500</v>
      </c>
      <c r="I356" s="69"/>
      <c r="J356" s="69"/>
      <c r="K356" s="69">
        <f t="shared" ref="K356:K363" si="29">SUM(G356:J356)</f>
        <v>113410000</v>
      </c>
      <c r="L356" s="69">
        <f t="shared" ref="L356:L363" si="30">IF(F356="",E356-K356,F356-K356)</f>
        <v>5965000</v>
      </c>
      <c r="M356" s="25"/>
      <c r="N356" s="25"/>
      <c r="O356" s="25"/>
      <c r="Q356" s="5"/>
    </row>
    <row r="357" spans="1:17" ht="20.25" customHeight="1" x14ac:dyDescent="0.3">
      <c r="A357" s="1228"/>
      <c r="B357" s="26" t="s">
        <v>196</v>
      </c>
      <c r="C357" s="27" t="s">
        <v>442</v>
      </c>
      <c r="D357" s="28" t="s">
        <v>443</v>
      </c>
      <c r="E357" s="26">
        <v>15216800</v>
      </c>
      <c r="F357" s="29">
        <v>15216800</v>
      </c>
      <c r="G357" s="26">
        <v>7500000</v>
      </c>
      <c r="H357" s="26">
        <v>7716800</v>
      </c>
      <c r="I357" s="26"/>
      <c r="J357" s="26"/>
      <c r="K357" s="26">
        <f t="shared" si="29"/>
        <v>15216800</v>
      </c>
      <c r="L357" s="26">
        <f t="shared" si="30"/>
        <v>0</v>
      </c>
      <c r="M357" s="32"/>
      <c r="N357" s="32"/>
      <c r="O357" s="32"/>
      <c r="Q357" s="5"/>
    </row>
    <row r="358" spans="1:17" ht="20.25" customHeight="1" x14ac:dyDescent="0.3">
      <c r="A358" s="1228"/>
      <c r="B358" s="26" t="s">
        <v>20</v>
      </c>
      <c r="C358" s="27" t="s">
        <v>123</v>
      </c>
      <c r="D358" s="28" t="s">
        <v>384</v>
      </c>
      <c r="E358" s="26">
        <v>5130000</v>
      </c>
      <c r="F358" s="29"/>
      <c r="G358" s="26">
        <v>5130000</v>
      </c>
      <c r="H358" s="26"/>
      <c r="I358" s="26"/>
      <c r="J358" s="26"/>
      <c r="K358" s="26">
        <f t="shared" si="29"/>
        <v>5130000</v>
      </c>
      <c r="L358" s="26">
        <f t="shared" si="30"/>
        <v>0</v>
      </c>
      <c r="M358" s="32"/>
      <c r="N358" s="32"/>
      <c r="O358" s="32"/>
      <c r="Q358" s="5"/>
    </row>
    <row r="359" spans="1:17" ht="20.25" customHeight="1" x14ac:dyDescent="0.3">
      <c r="A359" s="1228"/>
      <c r="B359" s="26" t="s">
        <v>24</v>
      </c>
      <c r="C359" s="27" t="s">
        <v>161</v>
      </c>
      <c r="D359" s="28" t="s">
        <v>528</v>
      </c>
      <c r="E359" s="26">
        <v>16500000</v>
      </c>
      <c r="F359" s="29"/>
      <c r="G359" s="26">
        <v>14000000</v>
      </c>
      <c r="H359" s="26">
        <v>2500000</v>
      </c>
      <c r="I359" s="26"/>
      <c r="J359" s="26"/>
      <c r="K359" s="26">
        <f t="shared" si="29"/>
        <v>16500000</v>
      </c>
      <c r="L359" s="26">
        <f t="shared" si="30"/>
        <v>0</v>
      </c>
      <c r="M359" s="32"/>
      <c r="N359" s="32"/>
      <c r="O359" s="32"/>
      <c r="Q359" s="5"/>
    </row>
    <row r="360" spans="1:17" ht="20.25" customHeight="1" x14ac:dyDescent="0.3">
      <c r="A360" s="1228"/>
      <c r="B360" s="26" t="s">
        <v>26</v>
      </c>
      <c r="C360" s="27" t="s">
        <v>304</v>
      </c>
      <c r="D360" s="28" t="s">
        <v>265</v>
      </c>
      <c r="E360" s="26">
        <v>11326000</v>
      </c>
      <c r="F360" s="29"/>
      <c r="G360" s="26">
        <v>11326000</v>
      </c>
      <c r="H360" s="26"/>
      <c r="I360" s="26"/>
      <c r="J360" s="26"/>
      <c r="K360" s="26">
        <f t="shared" si="29"/>
        <v>11326000</v>
      </c>
      <c r="L360" s="26">
        <f t="shared" si="30"/>
        <v>0</v>
      </c>
      <c r="M360" s="32"/>
      <c r="N360" s="32"/>
      <c r="O360" s="32"/>
      <c r="Q360" s="5"/>
    </row>
    <row r="361" spans="1:17" ht="20.25" customHeight="1" x14ac:dyDescent="0.3">
      <c r="A361" s="1228"/>
      <c r="B361" s="26" t="s">
        <v>28</v>
      </c>
      <c r="C361" s="27" t="s">
        <v>31</v>
      </c>
      <c r="D361" s="28" t="s">
        <v>195</v>
      </c>
      <c r="E361" s="26">
        <v>20872000</v>
      </c>
      <c r="F361" s="29">
        <v>20872000</v>
      </c>
      <c r="G361" s="26">
        <v>15000000</v>
      </c>
      <c r="H361" s="26">
        <v>5872000</v>
      </c>
      <c r="I361" s="26"/>
      <c r="J361" s="26"/>
      <c r="K361" s="26">
        <f t="shared" si="29"/>
        <v>20872000</v>
      </c>
      <c r="L361" s="26">
        <f t="shared" si="30"/>
        <v>0</v>
      </c>
      <c r="M361" s="32"/>
      <c r="N361" s="32"/>
      <c r="O361" s="32"/>
      <c r="Q361" s="5"/>
    </row>
    <row r="362" spans="1:17" ht="20.25" customHeight="1" x14ac:dyDescent="0.3">
      <c r="A362" s="1229"/>
      <c r="B362" s="26" t="s">
        <v>30</v>
      </c>
      <c r="C362" s="45" t="s">
        <v>99</v>
      </c>
      <c r="D362" s="46" t="s">
        <v>400</v>
      </c>
      <c r="E362" s="1172">
        <v>46656000</v>
      </c>
      <c r="F362" s="1179"/>
      <c r="G362" s="1172">
        <v>19000000</v>
      </c>
      <c r="H362" s="1172">
        <v>20000000</v>
      </c>
      <c r="I362" s="1172">
        <v>7656000</v>
      </c>
      <c r="J362" s="1172"/>
      <c r="K362" s="26">
        <f t="shared" si="29"/>
        <v>46656000</v>
      </c>
      <c r="L362" s="26">
        <f t="shared" si="30"/>
        <v>0</v>
      </c>
      <c r="M362" s="1177"/>
      <c r="N362" s="1177"/>
      <c r="O362" s="1177"/>
      <c r="Q362" s="5"/>
    </row>
    <row r="363" spans="1:17" ht="20.25" customHeight="1" x14ac:dyDescent="0.3">
      <c r="A363" s="1229"/>
      <c r="B363" s="26" t="s">
        <v>33</v>
      </c>
      <c r="C363" s="45" t="s">
        <v>529</v>
      </c>
      <c r="D363" s="46" t="s">
        <v>173</v>
      </c>
      <c r="E363" s="1172"/>
      <c r="F363" s="1179">
        <v>272487000</v>
      </c>
      <c r="G363" s="1172">
        <v>48990000</v>
      </c>
      <c r="H363" s="1172">
        <v>48990000</v>
      </c>
      <c r="I363" s="1172">
        <v>174507000</v>
      </c>
      <c r="J363" s="1172"/>
      <c r="K363" s="1172">
        <f t="shared" si="29"/>
        <v>272487000</v>
      </c>
      <c r="L363" s="26">
        <f t="shared" si="30"/>
        <v>0</v>
      </c>
      <c r="M363" s="1177"/>
      <c r="N363" s="1177"/>
      <c r="O363" s="1177"/>
      <c r="Q363" s="5"/>
    </row>
    <row r="364" spans="1:17" ht="20.25" customHeight="1" thickBot="1" x14ac:dyDescent="0.35">
      <c r="A364" s="1229"/>
      <c r="B364" s="1172"/>
      <c r="C364" s="45"/>
      <c r="D364" s="45"/>
      <c r="E364" s="45"/>
      <c r="F364" s="1179"/>
      <c r="G364" s="45"/>
      <c r="H364" s="366"/>
      <c r="I364" s="45"/>
      <c r="J364" s="45"/>
      <c r="K364" s="299">
        <f>SUM(K356:K363)</f>
        <v>501597800</v>
      </c>
      <c r="L364" s="298">
        <f>SUM(L356:L363)</f>
        <v>5965000</v>
      </c>
      <c r="M364" s="1177"/>
      <c r="N364" s="1177"/>
      <c r="O364" s="1177"/>
      <c r="Q364" s="5"/>
    </row>
    <row r="365" spans="1:17" ht="20.25" customHeight="1" x14ac:dyDescent="0.3">
      <c r="A365" s="1223" t="s">
        <v>530</v>
      </c>
      <c r="B365" s="248" t="s">
        <v>194</v>
      </c>
      <c r="C365" s="265" t="s">
        <v>92</v>
      </c>
      <c r="D365" s="276"/>
      <c r="E365" s="248">
        <v>458058260</v>
      </c>
      <c r="F365" s="252"/>
      <c r="G365" s="248">
        <v>109411500</v>
      </c>
      <c r="H365" s="248">
        <v>265386000</v>
      </c>
      <c r="I365" s="248"/>
      <c r="J365" s="248"/>
      <c r="K365" s="248">
        <f t="shared" ref="K365:K382" si="31">SUM(G365:J365)</f>
        <v>374797500</v>
      </c>
      <c r="L365" s="248">
        <f>IF(F365="",E365-K365,F365-K365)</f>
        <v>83260760</v>
      </c>
      <c r="M365" s="253"/>
      <c r="N365" s="253"/>
      <c r="O365" s="254"/>
      <c r="Q365" s="5"/>
    </row>
    <row r="366" spans="1:17" ht="23.25" customHeight="1" x14ac:dyDescent="0.3">
      <c r="A366" s="1201"/>
      <c r="B366" s="240" t="s">
        <v>196</v>
      </c>
      <c r="C366" s="241" t="s">
        <v>531</v>
      </c>
      <c r="D366" s="242" t="s">
        <v>341</v>
      </c>
      <c r="E366" s="240">
        <v>1500000</v>
      </c>
      <c r="F366" s="243"/>
      <c r="G366" s="240">
        <v>1500000</v>
      </c>
      <c r="H366" s="240"/>
      <c r="I366" s="240"/>
      <c r="J366" s="240"/>
      <c r="K366" s="240">
        <f t="shared" si="31"/>
        <v>1500000</v>
      </c>
      <c r="L366" s="240">
        <f>IF(F366="",E366-K366,F366-K366)</f>
        <v>0</v>
      </c>
      <c r="M366" s="244"/>
      <c r="N366" s="244"/>
      <c r="O366" s="258"/>
      <c r="Q366" s="5"/>
    </row>
    <row r="367" spans="1:17" ht="23.25" customHeight="1" x14ac:dyDescent="0.3">
      <c r="A367" s="1201"/>
      <c r="B367" s="240" t="s">
        <v>20</v>
      </c>
      <c r="C367" s="241" t="s">
        <v>532</v>
      </c>
      <c r="D367" s="242" t="s">
        <v>533</v>
      </c>
      <c r="E367" s="240"/>
      <c r="F367" s="243">
        <f>6680000-1171314</f>
        <v>5508686</v>
      </c>
      <c r="G367" s="240">
        <v>2786000</v>
      </c>
      <c r="H367" s="240">
        <v>2722686</v>
      </c>
      <c r="I367" s="240"/>
      <c r="J367" s="240"/>
      <c r="K367" s="240">
        <f t="shared" si="31"/>
        <v>5508686</v>
      </c>
      <c r="L367" s="240">
        <f>IF(F367="",E367-K367,F367-K367)</f>
        <v>0</v>
      </c>
      <c r="M367" s="244"/>
      <c r="N367" s="244"/>
      <c r="O367" s="258"/>
      <c r="Q367" s="5"/>
    </row>
    <row r="368" spans="1:17" ht="23.25" customHeight="1" x14ac:dyDescent="0.3">
      <c r="A368" s="1201"/>
      <c r="B368" s="240" t="s">
        <v>24</v>
      </c>
      <c r="C368" s="241" t="s">
        <v>161</v>
      </c>
      <c r="D368" s="242" t="s">
        <v>483</v>
      </c>
      <c r="E368" s="240"/>
      <c r="F368" s="243"/>
      <c r="G368" s="240">
        <v>5850000</v>
      </c>
      <c r="H368" s="240"/>
      <c r="I368" s="240"/>
      <c r="J368" s="240"/>
      <c r="K368" s="240">
        <f t="shared" si="31"/>
        <v>5850000</v>
      </c>
      <c r="L368" s="240"/>
      <c r="M368" s="244"/>
      <c r="N368" s="244"/>
      <c r="O368" s="258"/>
      <c r="Q368" s="5"/>
    </row>
    <row r="369" spans="1:17" ht="23.25" customHeight="1" x14ac:dyDescent="0.3">
      <c r="A369" s="1201"/>
      <c r="B369" s="240" t="s">
        <v>26</v>
      </c>
      <c r="C369" s="241" t="s">
        <v>534</v>
      </c>
      <c r="D369" s="242" t="s">
        <v>173</v>
      </c>
      <c r="E369" s="240">
        <v>1200000</v>
      </c>
      <c r="F369" s="243"/>
      <c r="G369" s="240">
        <v>1200000</v>
      </c>
      <c r="H369" s="240"/>
      <c r="I369" s="240"/>
      <c r="J369" s="240"/>
      <c r="K369" s="240">
        <f t="shared" si="31"/>
        <v>1200000</v>
      </c>
      <c r="L369" s="240">
        <f>IF(F369="",E369-K369,F369-K369)</f>
        <v>0</v>
      </c>
      <c r="M369" s="244"/>
      <c r="N369" s="244"/>
      <c r="O369" s="258"/>
      <c r="Q369" s="5"/>
    </row>
    <row r="370" spans="1:17" ht="23.25" customHeight="1" x14ac:dyDescent="0.3">
      <c r="A370" s="1201"/>
      <c r="B370" s="240" t="s">
        <v>28</v>
      </c>
      <c r="C370" s="241" t="s">
        <v>535</v>
      </c>
      <c r="D370" s="242" t="s">
        <v>373</v>
      </c>
      <c r="E370" s="240">
        <v>9300000</v>
      </c>
      <c r="F370" s="243"/>
      <c r="G370" s="240">
        <v>9300000</v>
      </c>
      <c r="H370" s="240"/>
      <c r="I370" s="240"/>
      <c r="J370" s="240"/>
      <c r="K370" s="240">
        <f t="shared" si="31"/>
        <v>9300000</v>
      </c>
      <c r="L370" s="240">
        <f>IF(F370="",E370-K370,F370-K370)</f>
        <v>0</v>
      </c>
      <c r="M370" s="244"/>
      <c r="N370" s="244"/>
      <c r="O370" s="258"/>
      <c r="Q370" s="5"/>
    </row>
    <row r="371" spans="1:17" ht="23.25" customHeight="1" x14ac:dyDescent="0.3">
      <c r="A371" s="1201"/>
      <c r="B371" s="240" t="s">
        <v>30</v>
      </c>
      <c r="C371" s="241" t="s">
        <v>292</v>
      </c>
      <c r="D371" s="242" t="s">
        <v>104</v>
      </c>
      <c r="E371" s="240">
        <v>28040000</v>
      </c>
      <c r="F371" s="243">
        <v>28040000</v>
      </c>
      <c r="G371" s="240">
        <v>15000000</v>
      </c>
      <c r="H371" s="240"/>
      <c r="I371" s="240"/>
      <c r="J371" s="240"/>
      <c r="K371" s="240">
        <f t="shared" si="31"/>
        <v>15000000</v>
      </c>
      <c r="L371" s="240">
        <f>IF(F371="",E371-K371,F371-K371)</f>
        <v>13040000</v>
      </c>
      <c r="M371" s="244"/>
      <c r="N371" s="244"/>
      <c r="O371" s="258"/>
      <c r="Q371" s="5"/>
    </row>
    <row r="372" spans="1:17" ht="23.25" customHeight="1" x14ac:dyDescent="0.3">
      <c r="A372" s="1201"/>
      <c r="B372" s="240" t="s">
        <v>33</v>
      </c>
      <c r="C372" s="241" t="s">
        <v>536</v>
      </c>
      <c r="D372" s="242" t="s">
        <v>385</v>
      </c>
      <c r="E372" s="240">
        <v>107500000</v>
      </c>
      <c r="F372" s="243">
        <v>119567150</v>
      </c>
      <c r="G372" s="240">
        <v>53750000</v>
      </c>
      <c r="H372" s="240">
        <v>65817150</v>
      </c>
      <c r="I372" s="240"/>
      <c r="J372" s="240"/>
      <c r="K372" s="240">
        <f t="shared" si="31"/>
        <v>119567150</v>
      </c>
      <c r="L372" s="240">
        <f>IF(F372="",E372-K372,F372-K372)</f>
        <v>0</v>
      </c>
      <c r="M372" s="244"/>
      <c r="N372" s="244"/>
      <c r="O372" s="258"/>
      <c r="Q372" s="5"/>
    </row>
    <row r="373" spans="1:17" ht="23.25" customHeight="1" x14ac:dyDescent="0.3">
      <c r="A373" s="1201"/>
      <c r="B373" s="240" t="s">
        <v>39</v>
      </c>
      <c r="C373" s="241" t="s">
        <v>537</v>
      </c>
      <c r="D373" s="242"/>
      <c r="E373" s="240">
        <v>670000</v>
      </c>
      <c r="F373" s="243"/>
      <c r="G373" s="240">
        <v>670000</v>
      </c>
      <c r="H373" s="240"/>
      <c r="I373" s="240"/>
      <c r="J373" s="240"/>
      <c r="K373" s="240">
        <f t="shared" si="31"/>
        <v>670000</v>
      </c>
      <c r="L373" s="240">
        <f>IF(F373="",E373-K373,F373-K373)</f>
        <v>0</v>
      </c>
      <c r="M373" s="244"/>
      <c r="N373" s="244"/>
      <c r="O373" s="258"/>
      <c r="Q373" s="5"/>
    </row>
    <row r="374" spans="1:17" ht="36" customHeight="1" x14ac:dyDescent="0.3">
      <c r="A374" s="1201"/>
      <c r="B374" s="240" t="s">
        <v>44</v>
      </c>
      <c r="C374" s="241" t="s">
        <v>293</v>
      </c>
      <c r="D374" s="242" t="s">
        <v>538</v>
      </c>
      <c r="E374" s="240"/>
      <c r="F374" s="243"/>
      <c r="G374" s="240">
        <v>11054500</v>
      </c>
      <c r="H374" s="240">
        <v>14403840</v>
      </c>
      <c r="I374" s="240"/>
      <c r="J374" s="240"/>
      <c r="K374" s="240">
        <f t="shared" si="31"/>
        <v>25458340</v>
      </c>
      <c r="L374" s="240"/>
      <c r="M374" s="244"/>
      <c r="N374" s="244"/>
      <c r="O374" s="258"/>
      <c r="Q374" s="5"/>
    </row>
    <row r="375" spans="1:17" ht="33.75" customHeight="1" x14ac:dyDescent="0.3">
      <c r="A375" s="1201"/>
      <c r="B375" s="240" t="s">
        <v>49</v>
      </c>
      <c r="C375" s="241" t="s">
        <v>539</v>
      </c>
      <c r="D375" s="242" t="s">
        <v>100</v>
      </c>
      <c r="E375" s="240">
        <v>18180000</v>
      </c>
      <c r="F375" s="243">
        <v>18180000</v>
      </c>
      <c r="G375" s="240">
        <v>18180000</v>
      </c>
      <c r="H375" s="240"/>
      <c r="I375" s="240"/>
      <c r="J375" s="240"/>
      <c r="K375" s="240">
        <f t="shared" si="31"/>
        <v>18180000</v>
      </c>
      <c r="L375" s="240"/>
      <c r="M375" s="244"/>
      <c r="N375" s="244"/>
      <c r="O375" s="258"/>
      <c r="Q375" s="5"/>
    </row>
    <row r="376" spans="1:17" ht="23.25" customHeight="1" x14ac:dyDescent="0.3">
      <c r="A376" s="1201"/>
      <c r="B376" s="240" t="s">
        <v>55</v>
      </c>
      <c r="C376" s="241" t="s">
        <v>172</v>
      </c>
      <c r="D376" s="242" t="s">
        <v>173</v>
      </c>
      <c r="E376" s="240">
        <v>1000000</v>
      </c>
      <c r="F376" s="243"/>
      <c r="G376" s="240">
        <v>1000000</v>
      </c>
      <c r="H376" s="240"/>
      <c r="I376" s="240"/>
      <c r="J376" s="240"/>
      <c r="K376" s="240">
        <f t="shared" si="31"/>
        <v>1000000</v>
      </c>
      <c r="L376" s="240">
        <f t="shared" ref="L376:L382" si="32">IF(F376="",E376-K376,F376-K376)</f>
        <v>0</v>
      </c>
      <c r="M376" s="244"/>
      <c r="N376" s="244"/>
      <c r="O376" s="258"/>
      <c r="Q376" s="5"/>
    </row>
    <row r="377" spans="1:17" ht="23.25" customHeight="1" x14ac:dyDescent="0.3">
      <c r="A377" s="1201"/>
      <c r="B377" s="240" t="s">
        <v>59</v>
      </c>
      <c r="C377" s="241" t="s">
        <v>531</v>
      </c>
      <c r="D377" s="242" t="s">
        <v>521</v>
      </c>
      <c r="E377" s="240">
        <v>17120000</v>
      </c>
      <c r="F377" s="243"/>
      <c r="G377" s="240">
        <v>17120000</v>
      </c>
      <c r="H377" s="240"/>
      <c r="I377" s="240"/>
      <c r="J377" s="240"/>
      <c r="K377" s="240">
        <f t="shared" si="31"/>
        <v>17120000</v>
      </c>
      <c r="L377" s="240">
        <f t="shared" si="32"/>
        <v>0</v>
      </c>
      <c r="M377" s="244"/>
      <c r="N377" s="244"/>
      <c r="O377" s="258"/>
      <c r="Q377" s="5"/>
    </row>
    <row r="378" spans="1:17" ht="23.25" customHeight="1" x14ac:dyDescent="0.3">
      <c r="A378" s="1201"/>
      <c r="B378" s="240" t="s">
        <v>63</v>
      </c>
      <c r="C378" s="241" t="s">
        <v>540</v>
      </c>
      <c r="D378" s="242"/>
      <c r="E378" s="240">
        <v>7290000</v>
      </c>
      <c r="F378" s="243"/>
      <c r="G378" s="240">
        <v>7290000</v>
      </c>
      <c r="H378" s="240"/>
      <c r="I378" s="240"/>
      <c r="J378" s="240"/>
      <c r="K378" s="240">
        <f t="shared" si="31"/>
        <v>7290000</v>
      </c>
      <c r="L378" s="240">
        <f t="shared" si="32"/>
        <v>0</v>
      </c>
      <c r="M378" s="244"/>
      <c r="N378" s="244"/>
      <c r="O378" s="258"/>
      <c r="Q378" s="5"/>
    </row>
    <row r="379" spans="1:17" ht="23.25" customHeight="1" x14ac:dyDescent="0.3">
      <c r="A379" s="1224"/>
      <c r="B379" s="240" t="s">
        <v>67</v>
      </c>
      <c r="C379" s="326" t="s">
        <v>541</v>
      </c>
      <c r="D379" s="327"/>
      <c r="E379" s="316">
        <v>2583000</v>
      </c>
      <c r="F379" s="301"/>
      <c r="G379" s="316">
        <v>2583000</v>
      </c>
      <c r="H379" s="316"/>
      <c r="I379" s="316"/>
      <c r="J379" s="316"/>
      <c r="K379" s="240">
        <f t="shared" si="31"/>
        <v>2583000</v>
      </c>
      <c r="L379" s="240">
        <f t="shared" si="32"/>
        <v>0</v>
      </c>
      <c r="M379" s="302"/>
      <c r="N379" s="302"/>
      <c r="O379" s="321"/>
      <c r="Q379" s="5"/>
    </row>
    <row r="380" spans="1:17" ht="23.25" customHeight="1" x14ac:dyDescent="0.3">
      <c r="A380" s="1224"/>
      <c r="B380" s="240" t="s">
        <v>72</v>
      </c>
      <c r="C380" s="326" t="s">
        <v>531</v>
      </c>
      <c r="D380" s="242" t="s">
        <v>521</v>
      </c>
      <c r="E380" s="316">
        <v>500000</v>
      </c>
      <c r="F380" s="301"/>
      <c r="G380" s="316">
        <v>500000</v>
      </c>
      <c r="H380" s="316"/>
      <c r="I380" s="316"/>
      <c r="J380" s="316"/>
      <c r="K380" s="316">
        <f t="shared" si="31"/>
        <v>500000</v>
      </c>
      <c r="L380" s="316">
        <f t="shared" si="32"/>
        <v>0</v>
      </c>
      <c r="M380" s="302"/>
      <c r="N380" s="302"/>
      <c r="O380" s="321"/>
      <c r="Q380" s="5"/>
    </row>
    <row r="381" spans="1:17" ht="23.25" customHeight="1" x14ac:dyDescent="0.3">
      <c r="A381" s="1224"/>
      <c r="B381" s="240" t="s">
        <v>74</v>
      </c>
      <c r="C381" s="326" t="s">
        <v>542</v>
      </c>
      <c r="D381" s="327" t="s">
        <v>543</v>
      </c>
      <c r="E381" s="316">
        <v>1600000</v>
      </c>
      <c r="F381" s="301"/>
      <c r="G381" s="316">
        <v>1600000</v>
      </c>
      <c r="H381" s="316"/>
      <c r="I381" s="316"/>
      <c r="J381" s="316"/>
      <c r="K381" s="316">
        <f t="shared" si="31"/>
        <v>1600000</v>
      </c>
      <c r="L381" s="316">
        <f t="shared" si="32"/>
        <v>0</v>
      </c>
      <c r="M381" s="302"/>
      <c r="N381" s="302"/>
      <c r="O381" s="321"/>
      <c r="Q381" s="5"/>
    </row>
    <row r="382" spans="1:17" ht="23.25" customHeight="1" x14ac:dyDescent="0.3">
      <c r="A382" s="1224"/>
      <c r="B382" s="240" t="s">
        <v>78</v>
      </c>
      <c r="C382" s="326" t="s">
        <v>161</v>
      </c>
      <c r="D382" s="327" t="s">
        <v>483</v>
      </c>
      <c r="E382" s="316">
        <v>2475000</v>
      </c>
      <c r="F382" s="301"/>
      <c r="G382" s="316">
        <v>2475000</v>
      </c>
      <c r="H382" s="316"/>
      <c r="I382" s="316"/>
      <c r="J382" s="316"/>
      <c r="K382" s="316">
        <f t="shared" si="31"/>
        <v>2475000</v>
      </c>
      <c r="L382" s="316">
        <f t="shared" si="32"/>
        <v>0</v>
      </c>
      <c r="M382" s="302"/>
      <c r="N382" s="302"/>
      <c r="O382" s="321"/>
      <c r="Q382" s="5"/>
    </row>
    <row r="383" spans="1:17" ht="25.5" customHeight="1" thickBot="1" x14ac:dyDescent="0.35">
      <c r="A383" s="1202"/>
      <c r="B383" s="272"/>
      <c r="C383" s="273"/>
      <c r="D383" s="273"/>
      <c r="E383" s="273"/>
      <c r="F383" s="262"/>
      <c r="G383" s="273"/>
      <c r="H383" s="362"/>
      <c r="I383" s="273"/>
      <c r="J383" s="273"/>
      <c r="K383" s="297">
        <f>SUM(K365:K382)</f>
        <v>609599676</v>
      </c>
      <c r="L383" s="296">
        <f>SUM(L365:L381)</f>
        <v>96300760</v>
      </c>
      <c r="M383" s="263"/>
      <c r="N383" s="263"/>
      <c r="O383" s="264"/>
      <c r="Q383" s="5"/>
    </row>
    <row r="384" spans="1:17" ht="21" customHeight="1" x14ac:dyDescent="0.3">
      <c r="A384" s="1211" t="s">
        <v>544</v>
      </c>
      <c r="B384" s="19" t="s">
        <v>194</v>
      </c>
      <c r="C384" s="147" t="s">
        <v>170</v>
      </c>
      <c r="D384" s="148" t="s">
        <v>146</v>
      </c>
      <c r="E384" s="149">
        <v>1745000</v>
      </c>
      <c r="F384" s="22"/>
      <c r="G384" s="149">
        <v>1745000</v>
      </c>
      <c r="H384" s="149"/>
      <c r="I384" s="149"/>
      <c r="J384" s="149"/>
      <c r="K384" s="19">
        <f t="shared" ref="K384:K395" si="33">SUM(G384:J384)</f>
        <v>1745000</v>
      </c>
      <c r="L384" s="19">
        <f>IF(F384="",E384-K384,F384-K384)</f>
        <v>0</v>
      </c>
      <c r="M384" s="150"/>
      <c r="N384" s="150"/>
      <c r="O384" s="151"/>
      <c r="Q384" s="5"/>
    </row>
    <row r="385" spans="1:17" ht="21" customHeight="1" x14ac:dyDescent="0.3">
      <c r="A385" s="1212"/>
      <c r="B385" s="26" t="s">
        <v>196</v>
      </c>
      <c r="C385" s="109" t="s">
        <v>514</v>
      </c>
      <c r="D385" s="110" t="s">
        <v>441</v>
      </c>
      <c r="E385" s="111">
        <v>6736000</v>
      </c>
      <c r="F385" s="29"/>
      <c r="G385" s="111">
        <v>6736000</v>
      </c>
      <c r="H385" s="111"/>
      <c r="I385" s="111"/>
      <c r="J385" s="111"/>
      <c r="K385" s="26">
        <f t="shared" si="33"/>
        <v>6736000</v>
      </c>
      <c r="L385" s="26">
        <f>IF(F385="",E385-K385,F385-K385)</f>
        <v>0</v>
      </c>
      <c r="M385" s="32"/>
      <c r="N385" s="32"/>
      <c r="O385" s="152"/>
      <c r="Q385" s="5"/>
    </row>
    <row r="386" spans="1:17" ht="21" customHeight="1" x14ac:dyDescent="0.3">
      <c r="A386" s="1212"/>
      <c r="B386" s="26" t="s">
        <v>20</v>
      </c>
      <c r="C386" s="109" t="s">
        <v>340</v>
      </c>
      <c r="D386" s="129" t="s">
        <v>545</v>
      </c>
      <c r="E386" s="111"/>
      <c r="F386" s="29"/>
      <c r="G386" s="111">
        <v>100637000</v>
      </c>
      <c r="H386" s="111"/>
      <c r="I386" s="111"/>
      <c r="J386" s="111"/>
      <c r="K386" s="26">
        <f t="shared" si="33"/>
        <v>100637000</v>
      </c>
      <c r="L386" s="26"/>
      <c r="M386" s="51"/>
      <c r="N386" s="51"/>
      <c r="O386" s="152"/>
      <c r="Q386" s="5"/>
    </row>
    <row r="387" spans="1:17" ht="21" customHeight="1" x14ac:dyDescent="0.3">
      <c r="A387" s="1212"/>
      <c r="B387" s="26" t="s">
        <v>24</v>
      </c>
      <c r="C387" s="109" t="s">
        <v>34</v>
      </c>
      <c r="D387" s="129" t="s">
        <v>321</v>
      </c>
      <c r="E387" s="111">
        <v>45462850</v>
      </c>
      <c r="F387" s="29">
        <v>48177050</v>
      </c>
      <c r="G387" s="111">
        <v>30000000</v>
      </c>
      <c r="H387" s="111">
        <v>18177050</v>
      </c>
      <c r="I387" s="111"/>
      <c r="J387" s="111"/>
      <c r="K387" s="26">
        <f t="shared" si="33"/>
        <v>48177050</v>
      </c>
      <c r="L387" s="26">
        <f>IF(F387="",E387-K387,F387-K387)</f>
        <v>0</v>
      </c>
      <c r="M387" s="51"/>
      <c r="N387" s="51"/>
      <c r="O387" s="152"/>
      <c r="Q387" s="5"/>
    </row>
    <row r="388" spans="1:17" ht="21" customHeight="1" x14ac:dyDescent="0.3">
      <c r="A388" s="1212"/>
      <c r="B388" s="26" t="s">
        <v>26</v>
      </c>
      <c r="C388" s="109" t="s">
        <v>118</v>
      </c>
      <c r="D388" s="129" t="s">
        <v>301</v>
      </c>
      <c r="E388" s="111">
        <v>20671300</v>
      </c>
      <c r="F388" s="29"/>
      <c r="G388" s="111">
        <v>20671300</v>
      </c>
      <c r="H388" s="111"/>
      <c r="I388" s="111"/>
      <c r="J388" s="111"/>
      <c r="K388" s="26">
        <f t="shared" si="33"/>
        <v>20671300</v>
      </c>
      <c r="L388" s="26">
        <f>IF(F388="",E388-K388,F388-K388)</f>
        <v>0</v>
      </c>
      <c r="M388" s="51"/>
      <c r="N388" s="51"/>
      <c r="O388" s="152"/>
      <c r="Q388" s="5"/>
    </row>
    <row r="389" spans="1:17" ht="21" customHeight="1" x14ac:dyDescent="0.3">
      <c r="A389" s="1212"/>
      <c r="B389" s="26" t="s">
        <v>28</v>
      </c>
      <c r="C389" s="109" t="s">
        <v>344</v>
      </c>
      <c r="D389" s="129" t="s">
        <v>321</v>
      </c>
      <c r="E389" s="111">
        <v>3150000</v>
      </c>
      <c r="F389" s="29"/>
      <c r="G389" s="111">
        <v>3150000</v>
      </c>
      <c r="H389" s="111"/>
      <c r="I389" s="111"/>
      <c r="J389" s="111"/>
      <c r="K389" s="26">
        <f t="shared" si="33"/>
        <v>3150000</v>
      </c>
      <c r="L389" s="26">
        <f>IF(F389="",E389-K389,F389-K389)</f>
        <v>0</v>
      </c>
      <c r="M389" s="51"/>
      <c r="N389" s="51"/>
      <c r="O389" s="152"/>
      <c r="Q389" s="5"/>
    </row>
    <row r="390" spans="1:17" ht="21" customHeight="1" x14ac:dyDescent="0.3">
      <c r="A390" s="1212"/>
      <c r="B390" s="26" t="s">
        <v>30</v>
      </c>
      <c r="C390" s="109" t="s">
        <v>546</v>
      </c>
      <c r="D390" s="129" t="s">
        <v>373</v>
      </c>
      <c r="E390" s="111">
        <v>48314400</v>
      </c>
      <c r="F390" s="29"/>
      <c r="G390" s="111">
        <v>16125000</v>
      </c>
      <c r="H390" s="111">
        <v>32189400</v>
      </c>
      <c r="I390" s="111"/>
      <c r="J390" s="111"/>
      <c r="K390" s="26">
        <f t="shared" si="33"/>
        <v>48314400</v>
      </c>
      <c r="L390" s="26">
        <f t="shared" ref="L390:L395" si="34">IF(F390="",E390-K390,F390-K390)</f>
        <v>0</v>
      </c>
      <c r="M390" s="51"/>
      <c r="N390" s="51"/>
      <c r="O390" s="152"/>
    </row>
    <row r="391" spans="1:17" ht="21" customHeight="1" x14ac:dyDescent="0.3">
      <c r="A391" s="1212"/>
      <c r="B391" s="26" t="s">
        <v>33</v>
      </c>
      <c r="C391" s="27" t="s">
        <v>547</v>
      </c>
      <c r="D391" s="129" t="s">
        <v>383</v>
      </c>
      <c r="E391" s="111">
        <v>7772000</v>
      </c>
      <c r="F391" s="29"/>
      <c r="G391" s="111">
        <v>4149000</v>
      </c>
      <c r="H391" s="111">
        <v>3536000</v>
      </c>
      <c r="I391" s="82">
        <v>87000</v>
      </c>
      <c r="J391" s="111"/>
      <c r="K391" s="26">
        <f t="shared" si="33"/>
        <v>7772000</v>
      </c>
      <c r="L391" s="26">
        <f t="shared" si="34"/>
        <v>0</v>
      </c>
      <c r="M391" s="51"/>
      <c r="N391" s="51"/>
      <c r="O391" s="152"/>
    </row>
    <row r="392" spans="1:17" ht="21" customHeight="1" x14ac:dyDescent="0.3">
      <c r="A392" s="1212"/>
      <c r="B392" s="26" t="s">
        <v>39</v>
      </c>
      <c r="C392" s="27" t="s">
        <v>161</v>
      </c>
      <c r="D392" s="129" t="s">
        <v>162</v>
      </c>
      <c r="E392" s="111">
        <v>34400000</v>
      </c>
      <c r="F392" s="29"/>
      <c r="G392" s="111">
        <v>12800000</v>
      </c>
      <c r="H392" s="111">
        <v>21600000</v>
      </c>
      <c r="I392" s="111"/>
      <c r="J392" s="111"/>
      <c r="K392" s="26">
        <f t="shared" si="33"/>
        <v>34400000</v>
      </c>
      <c r="L392" s="26">
        <f t="shared" si="34"/>
        <v>0</v>
      </c>
      <c r="M392" s="51"/>
      <c r="N392" s="51"/>
      <c r="O392" s="152"/>
    </row>
    <row r="393" spans="1:17" ht="21" customHeight="1" x14ac:dyDescent="0.3">
      <c r="A393" s="1212"/>
      <c r="B393" s="26" t="s">
        <v>44</v>
      </c>
      <c r="C393" s="27" t="s">
        <v>107</v>
      </c>
      <c r="D393" s="129" t="s">
        <v>156</v>
      </c>
      <c r="E393" s="111">
        <v>7700000</v>
      </c>
      <c r="F393" s="29"/>
      <c r="G393" s="111">
        <v>7700000</v>
      </c>
      <c r="H393" s="111"/>
      <c r="I393" s="111"/>
      <c r="J393" s="111"/>
      <c r="K393" s="26">
        <f t="shared" si="33"/>
        <v>7700000</v>
      </c>
      <c r="L393" s="26">
        <f t="shared" si="34"/>
        <v>0</v>
      </c>
      <c r="M393" s="51"/>
      <c r="N393" s="51"/>
      <c r="O393" s="152"/>
    </row>
    <row r="394" spans="1:17" ht="21" customHeight="1" x14ac:dyDescent="0.3">
      <c r="A394" s="1213"/>
      <c r="B394" s="26" t="s">
        <v>49</v>
      </c>
      <c r="C394" s="45" t="s">
        <v>548</v>
      </c>
      <c r="D394" s="155" t="s">
        <v>549</v>
      </c>
      <c r="E394" s="82">
        <v>2000000</v>
      </c>
      <c r="F394" s="1179"/>
      <c r="G394" s="82">
        <v>2000000</v>
      </c>
      <c r="H394" s="82"/>
      <c r="I394" s="82"/>
      <c r="J394" s="82"/>
      <c r="K394" s="1172">
        <f t="shared" si="33"/>
        <v>2000000</v>
      </c>
      <c r="L394" s="26">
        <f t="shared" si="34"/>
        <v>0</v>
      </c>
      <c r="M394" s="98"/>
      <c r="N394" s="98"/>
      <c r="O394" s="245"/>
    </row>
    <row r="395" spans="1:17" ht="21" customHeight="1" x14ac:dyDescent="0.3">
      <c r="A395" s="1213"/>
      <c r="B395" s="26" t="s">
        <v>55</v>
      </c>
      <c r="C395" s="45" t="s">
        <v>272</v>
      </c>
      <c r="D395" s="155" t="s">
        <v>273</v>
      </c>
      <c r="E395" s="82">
        <v>5963100</v>
      </c>
      <c r="F395" s="1179"/>
      <c r="G395" s="82">
        <v>5963100</v>
      </c>
      <c r="H395" s="82"/>
      <c r="I395" s="82"/>
      <c r="J395" s="82"/>
      <c r="K395" s="1172">
        <f t="shared" si="33"/>
        <v>5963100</v>
      </c>
      <c r="L395" s="26">
        <f t="shared" si="34"/>
        <v>0</v>
      </c>
      <c r="M395" s="98"/>
      <c r="N395" s="98"/>
      <c r="O395" s="245"/>
    </row>
    <row r="396" spans="1:17" ht="25.5" customHeight="1" thickBot="1" x14ac:dyDescent="0.35">
      <c r="A396" s="1214"/>
      <c r="B396" s="153"/>
      <c r="C396" s="153"/>
      <c r="D396" s="153"/>
      <c r="E396" s="153"/>
      <c r="F396" s="220"/>
      <c r="G396" s="153"/>
      <c r="H396" s="153"/>
      <c r="I396" s="153"/>
      <c r="J396" s="153"/>
      <c r="K396" s="289">
        <f>SUM(K384:K395)</f>
        <v>287265850</v>
      </c>
      <c r="L396" s="288">
        <f>SUM(L384:L395)</f>
        <v>0</v>
      </c>
      <c r="M396" s="55"/>
      <c r="N396" s="55"/>
      <c r="O396" s="154"/>
    </row>
    <row r="397" spans="1:17" s="42" customFormat="1" ht="18.75" customHeight="1" x14ac:dyDescent="0.3">
      <c r="A397" s="283"/>
      <c r="B397" s="195"/>
      <c r="C397" s="196"/>
      <c r="D397" s="197"/>
      <c r="E397" s="195"/>
      <c r="F397" s="230"/>
      <c r="G397" s="195"/>
      <c r="H397" s="195"/>
      <c r="I397" s="195"/>
      <c r="J397" s="195"/>
      <c r="M397" s="198"/>
      <c r="N397" s="199"/>
      <c r="O397" s="199"/>
      <c r="Q397" s="208"/>
    </row>
    <row r="398" spans="1:17" s="42" customFormat="1" ht="33" customHeight="1" x14ac:dyDescent="0.3">
      <c r="A398" s="283"/>
      <c r="B398" s="195"/>
      <c r="C398" s="196"/>
      <c r="D398" s="197"/>
      <c r="E398" s="195"/>
      <c r="F398" s="230"/>
      <c r="G398" s="195"/>
      <c r="H398" s="195"/>
      <c r="I398" s="195"/>
      <c r="J398" s="195"/>
      <c r="K398" s="284"/>
      <c r="L398" s="285"/>
      <c r="M398" s="198"/>
      <c r="N398" s="199"/>
      <c r="O398" s="199"/>
      <c r="Q398" s="208"/>
    </row>
    <row r="399" spans="1:17" s="42" customFormat="1" ht="34.5" customHeight="1" x14ac:dyDescent="0.3">
      <c r="A399" s="283"/>
      <c r="B399" s="195"/>
      <c r="C399" s="196"/>
      <c r="D399" s="197"/>
      <c r="E399" s="195"/>
      <c r="F399" s="230"/>
      <c r="G399" s="195"/>
      <c r="H399" s="195"/>
      <c r="I399" s="195"/>
      <c r="J399" s="195"/>
      <c r="K399" s="195"/>
      <c r="L399" s="285"/>
      <c r="M399" s="198"/>
      <c r="N399" s="199"/>
      <c r="O399" s="199"/>
      <c r="Q399" s="208"/>
    </row>
    <row r="400" spans="1:17" s="42" customFormat="1" ht="18.75" customHeight="1" x14ac:dyDescent="0.3">
      <c r="A400" s="283"/>
      <c r="B400" s="195"/>
      <c r="C400" s="196"/>
      <c r="D400" s="197"/>
      <c r="E400" s="195"/>
      <c r="F400" s="230"/>
      <c r="G400" s="195"/>
      <c r="H400" s="195"/>
      <c r="I400" s="195"/>
      <c r="J400" s="195"/>
      <c r="K400" s="195"/>
      <c r="L400" s="195"/>
      <c r="M400" s="198"/>
      <c r="N400" s="199"/>
      <c r="O400" s="199"/>
      <c r="Q400" s="208"/>
    </row>
    <row r="401" spans="1:17" s="42" customFormat="1" ht="18.75" customHeight="1" x14ac:dyDescent="0.3">
      <c r="A401" s="283"/>
      <c r="B401" s="195"/>
      <c r="C401" s="196"/>
      <c r="D401" s="197"/>
      <c r="E401" s="195"/>
      <c r="F401" s="230"/>
      <c r="G401" s="195"/>
      <c r="H401" s="195"/>
      <c r="I401" s="195"/>
      <c r="J401" s="195"/>
      <c r="K401" s="195"/>
      <c r="L401" s="195"/>
      <c r="M401" s="198"/>
      <c r="N401" s="199"/>
      <c r="O401" s="199"/>
      <c r="Q401" s="208"/>
    </row>
    <row r="402" spans="1:17" s="42" customFormat="1" ht="18.75" customHeight="1" x14ac:dyDescent="0.3">
      <c r="A402" s="283"/>
      <c r="B402" s="195"/>
      <c r="C402" s="196"/>
      <c r="D402" s="197"/>
      <c r="E402" s="195"/>
      <c r="F402" s="230"/>
      <c r="G402" s="195"/>
      <c r="H402" s="195"/>
      <c r="I402" s="195"/>
      <c r="J402" s="195"/>
      <c r="K402" s="195"/>
      <c r="L402" s="195"/>
      <c r="M402" s="198"/>
      <c r="N402" s="199"/>
      <c r="O402" s="199"/>
      <c r="Q402" s="208"/>
    </row>
    <row r="403" spans="1:17" s="42" customFormat="1" ht="18.75" customHeight="1" x14ac:dyDescent="0.3">
      <c r="A403" s="283"/>
      <c r="B403" s="195"/>
      <c r="C403" s="196"/>
      <c r="D403" s="197"/>
      <c r="E403" s="195"/>
      <c r="F403" s="230"/>
      <c r="G403" s="195"/>
      <c r="H403" s="195"/>
      <c r="I403" s="195"/>
      <c r="J403" s="195"/>
      <c r="K403" s="195"/>
      <c r="L403" s="195"/>
      <c r="M403" s="198"/>
      <c r="N403" s="199"/>
      <c r="O403" s="199"/>
      <c r="Q403" s="208"/>
    </row>
    <row r="404" spans="1:17" s="42" customFormat="1" ht="18.75" customHeight="1" x14ac:dyDescent="0.3">
      <c r="A404" s="283"/>
      <c r="B404" s="195"/>
      <c r="C404" s="196"/>
      <c r="D404" s="197"/>
      <c r="E404" s="195"/>
      <c r="F404" s="230"/>
      <c r="G404" s="195"/>
      <c r="H404" s="195"/>
      <c r="I404" s="195"/>
      <c r="J404" s="195"/>
      <c r="K404" s="195"/>
      <c r="L404" s="195"/>
      <c r="M404" s="198"/>
      <c r="N404" s="199"/>
      <c r="O404" s="199"/>
      <c r="Q404" s="208"/>
    </row>
    <row r="405" spans="1:17" s="42" customFormat="1" ht="18.75" customHeight="1" x14ac:dyDescent="0.3">
      <c r="A405" s="283"/>
      <c r="B405" s="195"/>
      <c r="C405" s="196"/>
      <c r="D405" s="197"/>
      <c r="E405" s="195"/>
      <c r="F405" s="230"/>
      <c r="G405" s="195"/>
      <c r="H405" s="195"/>
      <c r="I405" s="195"/>
      <c r="J405" s="195"/>
      <c r="K405" s="195"/>
      <c r="L405" s="195"/>
      <c r="M405" s="198"/>
      <c r="N405" s="199"/>
      <c r="O405" s="199"/>
      <c r="Q405" s="208"/>
    </row>
    <row r="406" spans="1:17" s="42" customFormat="1" ht="18.75" customHeight="1" x14ac:dyDescent="0.3">
      <c r="A406" s="283"/>
      <c r="B406" s="195"/>
      <c r="C406" s="196"/>
      <c r="D406" s="197"/>
      <c r="E406" s="195"/>
      <c r="F406" s="230"/>
      <c r="G406" s="195"/>
      <c r="H406" s="195"/>
      <c r="I406" s="195"/>
      <c r="J406" s="195"/>
      <c r="K406" s="195"/>
      <c r="L406" s="195"/>
      <c r="M406" s="198"/>
      <c r="N406" s="199"/>
      <c r="O406" s="199"/>
      <c r="Q406" s="208"/>
    </row>
    <row r="407" spans="1:17" s="42" customFormat="1" ht="18.75" customHeight="1" x14ac:dyDescent="0.3">
      <c r="A407" s="283"/>
      <c r="B407" s="195"/>
      <c r="C407" s="196"/>
      <c r="D407" s="197"/>
      <c r="E407" s="195"/>
      <c r="F407" s="230"/>
      <c r="G407" s="195"/>
      <c r="H407" s="195"/>
      <c r="I407" s="195"/>
      <c r="J407" s="195"/>
      <c r="K407" s="195"/>
      <c r="L407" s="195"/>
      <c r="M407" s="198"/>
      <c r="N407" s="199"/>
      <c r="O407" s="199"/>
      <c r="Q407" s="208"/>
    </row>
    <row r="408" spans="1:17" s="42" customFormat="1" ht="18.75" customHeight="1" x14ac:dyDescent="0.3">
      <c r="A408" s="283"/>
      <c r="B408" s="195"/>
      <c r="C408" s="196"/>
      <c r="D408" s="197"/>
      <c r="E408" s="195"/>
      <c r="F408" s="230"/>
      <c r="G408" s="195"/>
      <c r="H408" s="195"/>
      <c r="I408" s="195"/>
      <c r="J408" s="195"/>
      <c r="K408" s="195"/>
      <c r="L408" s="195"/>
      <c r="M408" s="198"/>
      <c r="N408" s="199"/>
      <c r="O408" s="199"/>
      <c r="Q408" s="208"/>
    </row>
    <row r="409" spans="1:17" s="42" customFormat="1" ht="18.75" customHeight="1" x14ac:dyDescent="0.3">
      <c r="A409" s="283"/>
      <c r="B409" s="195"/>
      <c r="C409" s="196"/>
      <c r="D409" s="197"/>
      <c r="E409" s="195"/>
      <c r="F409" s="230"/>
      <c r="G409" s="195"/>
      <c r="H409" s="195"/>
      <c r="I409" s="195"/>
      <c r="J409" s="195"/>
      <c r="K409" s="195"/>
      <c r="L409" s="195"/>
      <c r="M409" s="198"/>
      <c r="N409" s="199"/>
      <c r="O409" s="199"/>
      <c r="Q409" s="208"/>
    </row>
    <row r="410" spans="1:17" s="42" customFormat="1" ht="18.75" customHeight="1" x14ac:dyDescent="0.3">
      <c r="A410" s="283"/>
      <c r="B410" s="195"/>
      <c r="C410" s="196"/>
      <c r="D410" s="197"/>
      <c r="E410" s="195"/>
      <c r="F410" s="230"/>
      <c r="G410" s="195"/>
      <c r="H410" s="195"/>
      <c r="I410" s="195"/>
      <c r="J410" s="195"/>
      <c r="K410" s="195"/>
      <c r="L410" s="195"/>
      <c r="M410" s="198"/>
      <c r="N410" s="199"/>
      <c r="O410" s="199"/>
      <c r="Q410" s="208"/>
    </row>
    <row r="411" spans="1:17" ht="18.75" customHeight="1" x14ac:dyDescent="0.3">
      <c r="A411" s="1225" t="s">
        <v>550</v>
      </c>
      <c r="B411" s="69" t="s">
        <v>194</v>
      </c>
      <c r="C411" s="67" t="s">
        <v>92</v>
      </c>
      <c r="D411" s="68"/>
      <c r="E411" s="69">
        <v>403972800</v>
      </c>
      <c r="F411" s="224">
        <v>403972800</v>
      </c>
      <c r="G411" s="69">
        <v>96098145</v>
      </c>
      <c r="H411" s="69">
        <v>128130860</v>
      </c>
      <c r="I411" s="69">
        <v>70000000</v>
      </c>
      <c r="J411" s="146">
        <v>109743795</v>
      </c>
      <c r="K411" s="69">
        <f t="shared" ref="K411:K416" si="35">SUM(G411:J411)</f>
        <v>403972800</v>
      </c>
      <c r="L411" s="69">
        <f>IF(F411="",E411-K411,F411-K411)</f>
        <v>0</v>
      </c>
      <c r="M411" s="25"/>
      <c r="N411" s="25"/>
      <c r="O411" s="25"/>
    </row>
    <row r="412" spans="1:17" ht="26.25" customHeight="1" x14ac:dyDescent="0.3">
      <c r="A412" s="1221"/>
      <c r="B412" s="26" t="s">
        <v>196</v>
      </c>
      <c r="C412" s="27" t="s">
        <v>551</v>
      </c>
      <c r="D412" s="28" t="s">
        <v>341</v>
      </c>
      <c r="E412" s="26">
        <v>1500000</v>
      </c>
      <c r="F412" s="29"/>
      <c r="G412" s="26">
        <v>1500000</v>
      </c>
      <c r="H412" s="26"/>
      <c r="I412" s="26"/>
      <c r="J412" s="26"/>
      <c r="K412" s="26">
        <f t="shared" si="35"/>
        <v>1500000</v>
      </c>
      <c r="L412" s="26">
        <f>IF(F412="",E412-K412,F412-K412)</f>
        <v>0</v>
      </c>
      <c r="M412" s="32"/>
      <c r="N412" s="32"/>
      <c r="O412" s="32"/>
    </row>
    <row r="413" spans="1:17" ht="26.25" customHeight="1" x14ac:dyDescent="0.3">
      <c r="A413" s="1221"/>
      <c r="B413" s="26" t="s">
        <v>20</v>
      </c>
      <c r="C413" s="27" t="s">
        <v>552</v>
      </c>
      <c r="D413" s="28" t="s">
        <v>553</v>
      </c>
      <c r="E413" s="26"/>
      <c r="F413" s="29"/>
      <c r="G413" s="26">
        <v>2000000</v>
      </c>
      <c r="H413" s="26"/>
      <c r="I413" s="26"/>
      <c r="J413" s="26"/>
      <c r="K413" s="26">
        <f t="shared" si="35"/>
        <v>2000000</v>
      </c>
      <c r="L413" s="26"/>
      <c r="M413" s="32"/>
      <c r="N413" s="32"/>
      <c r="O413" s="32"/>
    </row>
    <row r="414" spans="1:17" ht="26.25" customHeight="1" x14ac:dyDescent="0.3">
      <c r="A414" s="1221"/>
      <c r="B414" s="26" t="s">
        <v>24</v>
      </c>
      <c r="C414" s="27" t="s">
        <v>161</v>
      </c>
      <c r="D414" s="28" t="s">
        <v>554</v>
      </c>
      <c r="E414" s="26"/>
      <c r="F414" s="29">
        <v>23600000</v>
      </c>
      <c r="G414" s="26">
        <v>23600000</v>
      </c>
      <c r="H414" s="26"/>
      <c r="I414" s="26"/>
      <c r="J414" s="26"/>
      <c r="K414" s="26">
        <f t="shared" si="35"/>
        <v>23600000</v>
      </c>
      <c r="L414" s="26">
        <f>IF(F414="",E414-K414,F414-K414)</f>
        <v>0</v>
      </c>
      <c r="M414" s="32"/>
      <c r="N414" s="32"/>
      <c r="O414" s="32"/>
    </row>
    <row r="415" spans="1:17" ht="26.25" customHeight="1" x14ac:dyDescent="0.3">
      <c r="A415" s="1221"/>
      <c r="B415" s="26" t="s">
        <v>26</v>
      </c>
      <c r="C415" s="27" t="s">
        <v>555</v>
      </c>
      <c r="D415" s="28" t="s">
        <v>556</v>
      </c>
      <c r="E415" s="26">
        <v>23216000</v>
      </c>
      <c r="F415" s="29">
        <v>23216000</v>
      </c>
      <c r="G415" s="26">
        <v>10000000</v>
      </c>
      <c r="H415" s="26">
        <v>13216000</v>
      </c>
      <c r="I415" s="26"/>
      <c r="J415" s="26"/>
      <c r="K415" s="26">
        <f t="shared" si="35"/>
        <v>23216000</v>
      </c>
      <c r="L415" s="26">
        <f>IF(F415="",E415-K415,F415-K415)</f>
        <v>0</v>
      </c>
      <c r="M415" s="32"/>
      <c r="N415" s="32"/>
      <c r="O415" s="32"/>
    </row>
    <row r="416" spans="1:17" s="42" customFormat="1" ht="26.25" customHeight="1" x14ac:dyDescent="0.3">
      <c r="A416" s="1221"/>
      <c r="B416" s="26" t="s">
        <v>28</v>
      </c>
      <c r="C416" s="36" t="s">
        <v>557</v>
      </c>
      <c r="D416" s="37" t="s">
        <v>265</v>
      </c>
      <c r="E416" s="38">
        <v>125880000</v>
      </c>
      <c r="F416" s="216"/>
      <c r="G416" s="38">
        <v>100000000</v>
      </c>
      <c r="H416" s="38">
        <v>25880000</v>
      </c>
      <c r="I416" s="38"/>
      <c r="J416" s="38"/>
      <c r="K416" s="38">
        <f t="shared" si="35"/>
        <v>125880000</v>
      </c>
      <c r="L416" s="38">
        <f>IF(F416="",E416-K416,F416-K416)</f>
        <v>0</v>
      </c>
      <c r="M416" s="41"/>
      <c r="N416" s="41"/>
      <c r="O416" s="41"/>
      <c r="Q416" s="208"/>
    </row>
    <row r="417" spans="1:17" s="42" customFormat="1" ht="26.25" customHeight="1" x14ac:dyDescent="0.3">
      <c r="A417" s="1221"/>
      <c r="B417" s="26" t="s">
        <v>30</v>
      </c>
      <c r="C417" s="36" t="s">
        <v>50</v>
      </c>
      <c r="D417" s="37" t="s">
        <v>61</v>
      </c>
      <c r="E417" s="38"/>
      <c r="F417" s="216"/>
      <c r="G417" s="38"/>
      <c r="H417" s="38"/>
      <c r="I417" s="38"/>
      <c r="J417" s="38"/>
      <c r="K417" s="38"/>
      <c r="L417" s="38"/>
      <c r="M417" s="41"/>
      <c r="N417" s="41"/>
      <c r="O417" s="41"/>
      <c r="Q417" s="208"/>
    </row>
    <row r="418" spans="1:17" s="42" customFormat="1" ht="26.25" customHeight="1" x14ac:dyDescent="0.3">
      <c r="A418" s="1222"/>
      <c r="B418" s="1172"/>
      <c r="C418" s="95" t="s">
        <v>99</v>
      </c>
      <c r="D418" s="96" t="s">
        <v>100</v>
      </c>
      <c r="E418" s="97">
        <v>53550000</v>
      </c>
      <c r="F418" s="219"/>
      <c r="G418" s="97">
        <v>53550000</v>
      </c>
      <c r="H418" s="97"/>
      <c r="I418" s="97"/>
      <c r="J418" s="97"/>
      <c r="K418" s="38">
        <f>SUM(G418:J418)</f>
        <v>53550000</v>
      </c>
      <c r="L418" s="38">
        <f>IF(F418="",E418-K418,F418-K418)</f>
        <v>0</v>
      </c>
      <c r="M418" s="177"/>
      <c r="N418" s="177"/>
      <c r="O418" s="177"/>
      <c r="Q418" s="208"/>
    </row>
    <row r="419" spans="1:17" ht="20.25" customHeight="1" x14ac:dyDescent="0.3">
      <c r="A419" s="1226"/>
      <c r="B419" s="120"/>
      <c r="C419" s="121"/>
      <c r="D419" s="121"/>
      <c r="E419" s="121"/>
      <c r="F419" s="86"/>
      <c r="G419" s="121"/>
      <c r="H419" s="364"/>
      <c r="I419" s="121"/>
      <c r="J419" s="121"/>
      <c r="K419" s="101">
        <f>SUM(K411:K418)</f>
        <v>633718800</v>
      </c>
      <c r="L419" s="102">
        <f>SUM(L411:L418)</f>
        <v>0</v>
      </c>
      <c r="M419" s="60"/>
      <c r="N419" s="60"/>
      <c r="O419" s="60"/>
    </row>
    <row r="420" spans="1:17" ht="3" customHeight="1" thickBot="1" x14ac:dyDescent="0.35">
      <c r="A420" s="200"/>
      <c r="B420" s="61"/>
      <c r="C420" s="62"/>
      <c r="D420" s="63"/>
      <c r="E420" s="61"/>
      <c r="F420" s="221"/>
      <c r="G420" s="61"/>
      <c r="H420" s="61"/>
      <c r="I420" s="61"/>
      <c r="J420" s="61"/>
      <c r="K420" s="61"/>
      <c r="L420" s="61"/>
      <c r="M420" s="64"/>
      <c r="N420" s="65"/>
      <c r="O420" s="65"/>
    </row>
    <row r="423" spans="1:17" x14ac:dyDescent="0.3">
      <c r="H423" s="1">
        <f>100+246+254</f>
        <v>600</v>
      </c>
    </row>
    <row r="431" spans="1:17" x14ac:dyDescent="0.3">
      <c r="Q431" s="5"/>
    </row>
    <row r="432" spans="1:17" ht="25.5" customHeight="1" x14ac:dyDescent="0.3">
      <c r="A432" s="1207" t="s">
        <v>558</v>
      </c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4"/>
      <c r="N432" s="33"/>
      <c r="O432" s="25"/>
      <c r="Q432" s="5"/>
    </row>
    <row r="433" spans="1:17" ht="19.5" x14ac:dyDescent="0.3">
      <c r="A433" s="1207"/>
      <c r="B433" s="26">
        <v>2</v>
      </c>
      <c r="C433" s="80" t="s">
        <v>340</v>
      </c>
      <c r="D433" s="81" t="s">
        <v>559</v>
      </c>
      <c r="E433" s="82">
        <v>5214567</v>
      </c>
      <c r="F433" s="1179"/>
      <c r="G433" s="82">
        <v>4000000</v>
      </c>
      <c r="H433" s="82">
        <v>1214567</v>
      </c>
      <c r="I433" s="82"/>
      <c r="J433" s="82"/>
      <c r="K433" s="1172">
        <f>SUM(G433:J433)</f>
        <v>5214567</v>
      </c>
      <c r="L433" s="26">
        <f>IF(F433="",E433-K433,F433-K433)</f>
        <v>0</v>
      </c>
      <c r="M433" s="34" t="s">
        <v>560</v>
      </c>
      <c r="N433" s="33"/>
      <c r="O433" s="32"/>
      <c r="Q433" s="5"/>
    </row>
    <row r="434" spans="1:17" ht="19.5" x14ac:dyDescent="0.3">
      <c r="A434" s="1207"/>
      <c r="B434" s="26"/>
      <c r="C434" s="80"/>
      <c r="D434" s="155"/>
      <c r="E434" s="82"/>
      <c r="F434" s="1179"/>
      <c r="G434" s="82"/>
      <c r="H434" s="82"/>
      <c r="I434" s="82"/>
      <c r="J434" s="82"/>
      <c r="K434" s="1172">
        <f>SUM(G434:J434)</f>
        <v>0</v>
      </c>
      <c r="L434" s="26">
        <f>IF(F434="",E434-K434,F434-K434)</f>
        <v>0</v>
      </c>
      <c r="M434" s="49"/>
      <c r="N434" s="50"/>
      <c r="O434" s="32"/>
      <c r="Q434" s="5"/>
    </row>
    <row r="435" spans="1:17" ht="19.5" x14ac:dyDescent="0.3">
      <c r="A435" s="1207"/>
      <c r="B435" s="26"/>
      <c r="C435" s="156"/>
      <c r="D435" s="155" t="s">
        <v>2</v>
      </c>
      <c r="E435" s="157"/>
      <c r="F435" s="1179"/>
      <c r="G435" s="157"/>
      <c r="H435" s="157"/>
      <c r="I435" s="157"/>
      <c r="J435" s="158"/>
      <c r="K435" s="1172">
        <f>SUM(G435:J435)</f>
        <v>0</v>
      </c>
      <c r="L435" s="1172"/>
      <c r="M435" s="49"/>
      <c r="N435" s="50"/>
      <c r="O435" s="32"/>
      <c r="Q435" s="5"/>
    </row>
    <row r="436" spans="1:17" ht="20.25" thickBot="1" x14ac:dyDescent="0.35">
      <c r="A436" s="1234"/>
      <c r="B436" s="160"/>
      <c r="C436" s="161"/>
      <c r="D436" s="161"/>
      <c r="E436" s="161"/>
      <c r="F436" s="220"/>
      <c r="G436" s="161"/>
      <c r="H436" s="161"/>
      <c r="I436" s="161"/>
      <c r="J436" s="162"/>
      <c r="K436" s="56">
        <f>SUM(K287:K435)</f>
        <v>9092093175</v>
      </c>
      <c r="L436" s="57">
        <f>SUM(L287:L435)</f>
        <v>231931520</v>
      </c>
      <c r="M436" s="58"/>
      <c r="N436" s="59"/>
      <c r="O436" s="60"/>
      <c r="Q436" s="5"/>
    </row>
    <row r="437" spans="1:17" ht="3" customHeight="1" x14ac:dyDescent="0.3">
      <c r="A437" s="200"/>
      <c r="B437" s="61"/>
      <c r="C437" s="62"/>
      <c r="D437" s="63"/>
      <c r="E437" s="61"/>
      <c r="F437" s="221"/>
      <c r="G437" s="61"/>
      <c r="H437" s="61"/>
      <c r="I437" s="61"/>
      <c r="J437" s="61"/>
      <c r="K437" s="61"/>
      <c r="L437" s="61"/>
      <c r="M437" s="64"/>
      <c r="N437" s="65"/>
      <c r="O437" s="65"/>
      <c r="Q437" s="5"/>
    </row>
    <row r="444" spans="1:17" ht="3" customHeight="1" thickBot="1" x14ac:dyDescent="0.35">
      <c r="A444" s="200"/>
      <c r="B444" s="61"/>
      <c r="C444" s="62"/>
      <c r="D444" s="63"/>
      <c r="E444" s="61"/>
      <c r="F444" s="221"/>
      <c r="G444" s="61"/>
      <c r="H444" s="61"/>
      <c r="I444" s="61"/>
      <c r="J444" s="61"/>
      <c r="K444" s="61"/>
      <c r="L444" s="61"/>
      <c r="M444" s="64"/>
      <c r="N444" s="65"/>
      <c r="O444" s="65"/>
      <c r="Q444" s="5"/>
    </row>
    <row r="445" spans="1:17" ht="23.25" customHeight="1" thickBot="1" x14ac:dyDescent="0.35">
      <c r="A445" s="1198" t="s">
        <v>561</v>
      </c>
      <c r="B445" s="19" t="s">
        <v>194</v>
      </c>
      <c r="C445" s="45" t="s">
        <v>369</v>
      </c>
      <c r="D445" s="46" t="s">
        <v>393</v>
      </c>
      <c r="E445" s="1172"/>
      <c r="F445" s="22"/>
      <c r="G445" s="1172">
        <v>11375000</v>
      </c>
      <c r="H445" s="19"/>
      <c r="I445" s="19"/>
      <c r="J445" s="19"/>
      <c r="K445" s="19">
        <f>SUM(G445:J445)</f>
        <v>11375000</v>
      </c>
      <c r="L445" s="26"/>
      <c r="M445" s="23"/>
      <c r="N445" s="24"/>
      <c r="O445" s="25"/>
      <c r="P445" s="5" t="s">
        <v>562</v>
      </c>
      <c r="Q445" s="5"/>
    </row>
    <row r="446" spans="1:17" ht="30.75" customHeight="1" thickBot="1" x14ac:dyDescent="0.35">
      <c r="A446" s="1199"/>
      <c r="B446" s="164" t="s">
        <v>563</v>
      </c>
      <c r="C446" s="53" t="s">
        <v>564</v>
      </c>
      <c r="D446" s="54" t="s">
        <v>182</v>
      </c>
      <c r="E446" s="1179"/>
      <c r="F446" s="1179"/>
      <c r="G446" s="1179">
        <v>56190338</v>
      </c>
      <c r="H446" s="1172"/>
      <c r="I446" s="1172"/>
      <c r="J446" s="1172"/>
      <c r="K446" s="19">
        <f>SUM(G446:J446)</f>
        <v>56190338</v>
      </c>
      <c r="L446" s="26"/>
      <c r="M446" s="34"/>
      <c r="N446" s="33"/>
      <c r="O446" s="32"/>
      <c r="P446" s="5" t="s">
        <v>565</v>
      </c>
      <c r="Q446" s="5">
        <v>675000</v>
      </c>
    </row>
    <row r="447" spans="1:17" ht="30.75" customHeight="1" x14ac:dyDescent="0.3">
      <c r="A447" s="1199"/>
      <c r="B447" s="164"/>
      <c r="C447" s="156" t="s">
        <v>566</v>
      </c>
      <c r="D447" s="141"/>
      <c r="E447" s="142"/>
      <c r="F447" s="1179"/>
      <c r="G447" s="142">
        <f>Q447</f>
        <v>675000</v>
      </c>
      <c r="H447" s="730"/>
      <c r="I447" s="730"/>
      <c r="J447" s="731"/>
      <c r="K447" s="19">
        <f>SUM(G447:J447)</f>
        <v>675000</v>
      </c>
      <c r="L447" s="26"/>
      <c r="M447" s="34"/>
      <c r="N447" s="33"/>
      <c r="O447" s="1177"/>
      <c r="P447" s="5" t="s">
        <v>567</v>
      </c>
      <c r="Q447" s="5">
        <f>SUM(Q446)</f>
        <v>675000</v>
      </c>
    </row>
    <row r="448" spans="1:17" ht="20.25" thickBot="1" x14ac:dyDescent="0.35">
      <c r="A448" s="1200"/>
      <c r="B448" s="165"/>
      <c r="C448" s="166"/>
      <c r="D448" s="166"/>
      <c r="E448" s="166"/>
      <c r="F448" s="220"/>
      <c r="G448" s="166"/>
      <c r="H448" s="166"/>
      <c r="I448" s="166"/>
      <c r="J448" s="167"/>
      <c r="K448" s="56">
        <f>SUM(K445:K447)</f>
        <v>68240338</v>
      </c>
      <c r="L448" s="56">
        <f>SUM(L445:L447)</f>
        <v>0</v>
      </c>
      <c r="M448" s="58"/>
      <c r="N448" s="59"/>
      <c r="O448" s="60"/>
      <c r="P448" s="5" t="s">
        <v>568</v>
      </c>
      <c r="Q448" s="5"/>
    </row>
    <row r="449" spans="1:17" ht="39" x14ac:dyDescent="0.3">
      <c r="A449" s="1207" t="s">
        <v>569</v>
      </c>
      <c r="B449" s="19">
        <v>1</v>
      </c>
      <c r="C449" s="80" t="s">
        <v>570</v>
      </c>
      <c r="D449" s="81"/>
      <c r="E449" s="82"/>
      <c r="F449" s="1179"/>
      <c r="G449" s="82">
        <f>2000000+500000+200000</f>
        <v>2700000</v>
      </c>
      <c r="H449" s="82"/>
      <c r="I449" s="82"/>
      <c r="J449" s="82"/>
      <c r="K449" s="1172">
        <f>SUM(G449:J449)</f>
        <v>2700000</v>
      </c>
      <c r="L449" s="26"/>
      <c r="M449" s="34"/>
      <c r="N449" s="33"/>
      <c r="O449" s="25"/>
      <c r="Q449" s="5"/>
    </row>
    <row r="450" spans="1:17" ht="15.75" customHeight="1" x14ac:dyDescent="0.3">
      <c r="A450" s="1207"/>
      <c r="B450" s="26"/>
      <c r="C450" s="80"/>
      <c r="D450" s="81"/>
      <c r="E450" s="82"/>
      <c r="F450" s="1179"/>
      <c r="G450" s="82"/>
      <c r="H450" s="82"/>
      <c r="I450" s="82"/>
      <c r="J450" s="82"/>
      <c r="K450" s="1172">
        <f>SUM(G450:J450)</f>
        <v>0</v>
      </c>
      <c r="L450" s="26">
        <f>IF(F450="",E450-K450,F450-K450)</f>
        <v>0</v>
      </c>
      <c r="M450" s="34"/>
      <c r="N450" s="33"/>
      <c r="O450" s="32"/>
      <c r="Q450" s="5"/>
    </row>
    <row r="451" spans="1:17" ht="15.75" customHeight="1" x14ac:dyDescent="0.3">
      <c r="A451" s="1207"/>
      <c r="B451" s="26"/>
      <c r="C451" s="80"/>
      <c r="D451" s="155"/>
      <c r="E451" s="82"/>
      <c r="F451" s="1179"/>
      <c r="G451" s="82"/>
      <c r="H451" s="82"/>
      <c r="I451" s="82"/>
      <c r="J451" s="82"/>
      <c r="K451" s="1172">
        <f>SUM(G451:J451)</f>
        <v>0</v>
      </c>
      <c r="L451" s="26">
        <f>IF(F451="",E451-K451,F451-K451)</f>
        <v>0</v>
      </c>
      <c r="M451" s="49"/>
      <c r="N451" s="50"/>
      <c r="O451" s="32"/>
      <c r="Q451" s="5"/>
    </row>
    <row r="452" spans="1:17" ht="15.75" customHeight="1" x14ac:dyDescent="0.3">
      <c r="A452" s="1207"/>
      <c r="B452" s="26"/>
      <c r="C452" s="156"/>
      <c r="D452" s="155"/>
      <c r="E452" s="157"/>
      <c r="F452" s="1179"/>
      <c r="G452" s="157"/>
      <c r="H452" s="157"/>
      <c r="I452" s="157"/>
      <c r="J452" s="158"/>
      <c r="K452" s="1172">
        <f>SUM(G452:J452)</f>
        <v>0</v>
      </c>
      <c r="L452" s="1172"/>
      <c r="M452" s="49"/>
      <c r="N452" s="50"/>
      <c r="O452" s="32"/>
      <c r="Q452" s="5"/>
    </row>
    <row r="453" spans="1:17" ht="15.75" customHeight="1" thickBot="1" x14ac:dyDescent="0.35">
      <c r="A453" s="1234"/>
      <c r="B453" s="160"/>
      <c r="C453" s="161"/>
      <c r="D453" s="161"/>
      <c r="E453" s="161"/>
      <c r="F453" s="220"/>
      <c r="G453" s="161"/>
      <c r="H453" s="161"/>
      <c r="I453" s="161"/>
      <c r="J453" s="162"/>
      <c r="K453" s="56">
        <f>SUM(K449:K452)</f>
        <v>2700000</v>
      </c>
      <c r="L453" s="57">
        <f>SUM(L449:L452)</f>
        <v>0</v>
      </c>
      <c r="M453" s="58"/>
      <c r="N453" s="59"/>
      <c r="O453" s="60"/>
      <c r="Q453" s="5"/>
    </row>
    <row r="454" spans="1:17" ht="20.25" customHeight="1" x14ac:dyDescent="0.3">
      <c r="A454" s="1225" t="s">
        <v>571</v>
      </c>
      <c r="B454" s="69" t="s">
        <v>194</v>
      </c>
      <c r="C454" s="67" t="s">
        <v>557</v>
      </c>
      <c r="D454" s="68" t="s">
        <v>265</v>
      </c>
      <c r="E454" s="69">
        <v>49330000</v>
      </c>
      <c r="F454" s="224"/>
      <c r="G454" s="69">
        <v>49330000</v>
      </c>
      <c r="H454" s="69"/>
      <c r="I454" s="69"/>
      <c r="J454" s="69"/>
      <c r="K454" s="69">
        <f>SUM(G454:J454)</f>
        <v>49330000</v>
      </c>
      <c r="L454" s="69">
        <f>IF(F454="",E454-K454,F454-K454)</f>
        <v>0</v>
      </c>
      <c r="M454" s="25"/>
      <c r="N454" s="25"/>
      <c r="O454" s="25"/>
      <c r="Q454" s="5"/>
    </row>
    <row r="455" spans="1:17" ht="20.25" customHeight="1" x14ac:dyDescent="0.3">
      <c r="A455" s="1221"/>
      <c r="B455" s="26"/>
      <c r="C455" s="27" t="s">
        <v>557</v>
      </c>
      <c r="D455" s="28" t="s">
        <v>265</v>
      </c>
      <c r="E455" s="26">
        <v>3300000</v>
      </c>
      <c r="F455" s="29"/>
      <c r="G455" s="26">
        <v>3300000</v>
      </c>
      <c r="H455" s="26"/>
      <c r="I455" s="26"/>
      <c r="J455" s="26"/>
      <c r="K455" s="26">
        <f>SUM(G455:J455)</f>
        <v>3300000</v>
      </c>
      <c r="L455" s="26">
        <f>IF(F455="",E455-K455,F455-K455)</f>
        <v>0</v>
      </c>
      <c r="M455" s="32"/>
      <c r="N455" s="32"/>
      <c r="O455" s="32"/>
      <c r="Q455" s="5"/>
    </row>
    <row r="456" spans="1:17" ht="20.25" customHeight="1" thickBot="1" x14ac:dyDescent="0.35">
      <c r="A456" s="1226"/>
      <c r="B456" s="120"/>
      <c r="C456" s="168"/>
      <c r="D456" s="168"/>
      <c r="E456" s="120"/>
      <c r="F456" s="86"/>
      <c r="G456" s="120"/>
      <c r="H456" s="120"/>
      <c r="I456" s="120"/>
      <c r="J456" s="120"/>
      <c r="K456" s="101">
        <f>SUM(K454:K455)</f>
        <v>52630000</v>
      </c>
      <c r="L456" s="102">
        <f>SUM(L454:L455)</f>
        <v>0</v>
      </c>
      <c r="M456" s="60"/>
      <c r="N456" s="60"/>
      <c r="O456" s="60"/>
      <c r="Q456" s="5"/>
    </row>
    <row r="457" spans="1:17" ht="19.5" x14ac:dyDescent="0.3">
      <c r="A457" s="1207" t="s">
        <v>572</v>
      </c>
      <c r="B457" s="19">
        <v>1</v>
      </c>
      <c r="C457" s="136" t="s">
        <v>557</v>
      </c>
      <c r="D457" s="169" t="s">
        <v>265</v>
      </c>
      <c r="E457" s="82">
        <v>1500000</v>
      </c>
      <c r="F457" s="1179"/>
      <c r="G457" s="82">
        <v>1500000</v>
      </c>
      <c r="H457" s="82"/>
      <c r="I457" s="82"/>
      <c r="J457" s="82"/>
      <c r="K457" s="1172">
        <f>SUM(G457:J457)</f>
        <v>1500000</v>
      </c>
      <c r="L457" s="26">
        <f>IF(F457="",E457-K457,F457-K457)</f>
        <v>0</v>
      </c>
      <c r="M457" s="34"/>
      <c r="N457" s="33"/>
      <c r="O457" s="25"/>
      <c r="Q457" s="5"/>
    </row>
    <row r="458" spans="1:17" ht="19.5" x14ac:dyDescent="0.3">
      <c r="A458" s="1207"/>
      <c r="B458" s="26"/>
      <c r="C458" s="80"/>
      <c r="D458" s="81"/>
      <c r="E458" s="82"/>
      <c r="F458" s="1179"/>
      <c r="G458" s="82"/>
      <c r="H458" s="82"/>
      <c r="I458" s="82"/>
      <c r="J458" s="82"/>
      <c r="K458" s="1172">
        <f>SUM(G458:J458)</f>
        <v>0</v>
      </c>
      <c r="L458" s="1172"/>
      <c r="M458" s="34"/>
      <c r="N458" s="33"/>
      <c r="O458" s="32"/>
      <c r="Q458" s="5"/>
    </row>
    <row r="459" spans="1:17" ht="19.5" x14ac:dyDescent="0.3">
      <c r="A459" s="1207"/>
      <c r="B459" s="26"/>
      <c r="C459" s="80"/>
      <c r="D459" s="155"/>
      <c r="E459" s="82"/>
      <c r="F459" s="1179"/>
      <c r="G459" s="82"/>
      <c r="H459" s="82"/>
      <c r="I459" s="82"/>
      <c r="J459" s="82"/>
      <c r="K459" s="1172">
        <f>SUM(G459:J459)</f>
        <v>0</v>
      </c>
      <c r="L459" s="1172"/>
      <c r="M459" s="49"/>
      <c r="N459" s="50"/>
      <c r="O459" s="32"/>
      <c r="Q459" s="5"/>
    </row>
    <row r="460" spans="1:17" ht="19.5" x14ac:dyDescent="0.3">
      <c r="A460" s="1207"/>
      <c r="B460" s="26"/>
      <c r="C460" s="156"/>
      <c r="D460" s="155"/>
      <c r="E460" s="157"/>
      <c r="F460" s="1179"/>
      <c r="G460" s="157"/>
      <c r="H460" s="157"/>
      <c r="I460" s="157"/>
      <c r="J460" s="158"/>
      <c r="K460" s="1172">
        <f>SUM(G460:J460)</f>
        <v>0</v>
      </c>
      <c r="L460" s="1172"/>
      <c r="M460" s="49"/>
      <c r="N460" s="50"/>
      <c r="O460" s="32"/>
      <c r="Q460" s="5"/>
    </row>
    <row r="461" spans="1:17" ht="20.25" thickBot="1" x14ac:dyDescent="0.35">
      <c r="A461" s="1234"/>
      <c r="B461" s="160"/>
      <c r="C461" s="161"/>
      <c r="D461" s="161"/>
      <c r="E461" s="161"/>
      <c r="F461" s="220"/>
      <c r="G461" s="161"/>
      <c r="H461" s="161"/>
      <c r="I461" s="161"/>
      <c r="J461" s="162"/>
      <c r="K461" s="56">
        <f>SUM(K457:K460)</f>
        <v>1500000</v>
      </c>
      <c r="L461" s="57">
        <f>SUM(L457:L460)</f>
        <v>0</v>
      </c>
      <c r="M461" s="58"/>
      <c r="N461" s="59"/>
      <c r="O461" s="60"/>
      <c r="Q461" s="5"/>
    </row>
    <row r="462" spans="1:17" ht="19.5" x14ac:dyDescent="0.3">
      <c r="A462" s="1225" t="s">
        <v>573</v>
      </c>
      <c r="B462" s="69" t="s">
        <v>194</v>
      </c>
      <c r="C462" s="122" t="s">
        <v>574</v>
      </c>
      <c r="D462" s="170" t="s">
        <v>301</v>
      </c>
      <c r="E462" s="124">
        <v>300000</v>
      </c>
      <c r="F462" s="224"/>
      <c r="G462" s="124">
        <v>300000</v>
      </c>
      <c r="H462" s="124"/>
      <c r="I462" s="124"/>
      <c r="J462" s="124"/>
      <c r="K462" s="69">
        <f>SUM(G462:J462)</f>
        <v>300000</v>
      </c>
      <c r="L462" s="69">
        <f>IF(F462="",E462-K462,F462-K462)</f>
        <v>0</v>
      </c>
      <c r="M462" s="25"/>
      <c r="N462" s="25"/>
      <c r="O462" s="25"/>
      <c r="Q462" s="5"/>
    </row>
    <row r="463" spans="1:17" ht="19.5" x14ac:dyDescent="0.3">
      <c r="A463" s="1221"/>
      <c r="B463" s="26"/>
      <c r="C463" s="109"/>
      <c r="D463" s="110"/>
      <c r="E463" s="111"/>
      <c r="F463" s="29"/>
      <c r="G463" s="111"/>
      <c r="H463" s="111"/>
      <c r="I463" s="111"/>
      <c r="J463" s="111"/>
      <c r="K463" s="26">
        <f>SUM(G463:J463)</f>
        <v>0</v>
      </c>
      <c r="L463" s="26"/>
      <c r="M463" s="32"/>
      <c r="N463" s="32"/>
      <c r="O463" s="32"/>
      <c r="Q463" s="5"/>
    </row>
    <row r="464" spans="1:17" ht="19.5" x14ac:dyDescent="0.3">
      <c r="A464" s="1221"/>
      <c r="B464" s="26"/>
      <c r="C464" s="109"/>
      <c r="D464" s="129"/>
      <c r="E464" s="111"/>
      <c r="F464" s="29"/>
      <c r="G464" s="111"/>
      <c r="H464" s="111"/>
      <c r="I464" s="111"/>
      <c r="J464" s="111"/>
      <c r="K464" s="26">
        <f>SUM(G464:J464)</f>
        <v>0</v>
      </c>
      <c r="L464" s="26"/>
      <c r="M464" s="51"/>
      <c r="N464" s="51"/>
      <c r="O464" s="32"/>
      <c r="Q464" s="5"/>
    </row>
    <row r="465" spans="1:17" ht="19.5" x14ac:dyDescent="0.3">
      <c r="A465" s="1221"/>
      <c r="B465" s="26"/>
      <c r="C465" s="109"/>
      <c r="D465" s="129"/>
      <c r="E465" s="111"/>
      <c r="F465" s="29"/>
      <c r="G465" s="111"/>
      <c r="H465" s="111"/>
      <c r="I465" s="111"/>
      <c r="J465" s="111"/>
      <c r="K465" s="26">
        <f>SUM(G465:J465)</f>
        <v>0</v>
      </c>
      <c r="L465" s="26"/>
      <c r="M465" s="51"/>
      <c r="N465" s="51"/>
      <c r="O465" s="32"/>
      <c r="Q465" s="5"/>
    </row>
    <row r="466" spans="1:17" ht="20.25" thickBot="1" x14ac:dyDescent="0.35">
      <c r="A466" s="1226"/>
      <c r="B466" s="171"/>
      <c r="C466" s="171"/>
      <c r="D466" s="171"/>
      <c r="E466" s="171"/>
      <c r="F466" s="86"/>
      <c r="G466" s="171"/>
      <c r="H466" s="171"/>
      <c r="I466" s="171"/>
      <c r="J466" s="171"/>
      <c r="K466" s="101">
        <f>SUM(K462:K465)</f>
        <v>300000</v>
      </c>
      <c r="L466" s="102">
        <f>SUM(L462:L465)</f>
        <v>0</v>
      </c>
      <c r="M466" s="60"/>
      <c r="N466" s="60"/>
      <c r="O466" s="60"/>
      <c r="Q466" s="5"/>
    </row>
    <row r="467" spans="1:17" ht="21" customHeight="1" x14ac:dyDescent="0.3">
      <c r="A467" s="1207" t="s">
        <v>575</v>
      </c>
      <c r="B467" s="19" t="s">
        <v>194</v>
      </c>
      <c r="C467" s="80" t="s">
        <v>170</v>
      </c>
      <c r="D467" s="81"/>
      <c r="E467" s="82"/>
      <c r="F467" s="1179"/>
      <c r="G467" s="82"/>
      <c r="H467" s="82">
        <v>15000000</v>
      </c>
      <c r="I467" s="82"/>
      <c r="J467" s="82"/>
      <c r="K467" s="1172">
        <f>SUM(G467:J467)</f>
        <v>15000000</v>
      </c>
      <c r="L467" s="26"/>
      <c r="M467" s="34"/>
      <c r="N467" s="33"/>
      <c r="O467" s="25"/>
      <c r="Q467" s="5"/>
    </row>
    <row r="468" spans="1:17" ht="21" customHeight="1" x14ac:dyDescent="0.3">
      <c r="A468" s="1207"/>
      <c r="B468" s="159"/>
      <c r="C468" s="156"/>
      <c r="D468" s="172"/>
      <c r="E468" s="157"/>
      <c r="F468" s="1179"/>
      <c r="G468" s="157"/>
      <c r="H468" s="157"/>
      <c r="I468" s="157"/>
      <c r="J468" s="158"/>
      <c r="K468" s="1172"/>
      <c r="L468" s="26">
        <f>IF(F468="",E468-K468,F468-K468)</f>
        <v>0</v>
      </c>
      <c r="M468" s="34"/>
      <c r="N468" s="33"/>
      <c r="O468" s="32"/>
      <c r="Q468" s="5"/>
    </row>
    <row r="469" spans="1:17" ht="24.75" customHeight="1" thickBot="1" x14ac:dyDescent="0.35">
      <c r="A469" s="1234"/>
      <c r="B469" s="160"/>
      <c r="C469" s="161"/>
      <c r="D469" s="161"/>
      <c r="E469" s="161"/>
      <c r="F469" s="220"/>
      <c r="G469" s="161"/>
      <c r="H469" s="161"/>
      <c r="I469" s="161"/>
      <c r="J469" s="162"/>
      <c r="K469" s="56">
        <f>SUM(K467:K467)</f>
        <v>15000000</v>
      </c>
      <c r="L469" s="57">
        <f>SUM(L467:L467)</f>
        <v>0</v>
      </c>
      <c r="M469" s="58"/>
      <c r="N469" s="59"/>
      <c r="O469" s="60"/>
      <c r="Q469" s="5"/>
    </row>
    <row r="470" spans="1:17" ht="30" customHeight="1" x14ac:dyDescent="0.3">
      <c r="A470" s="1208" t="s">
        <v>576</v>
      </c>
      <c r="B470" s="19" t="s">
        <v>194</v>
      </c>
      <c r="C470" s="68" t="s">
        <v>547</v>
      </c>
      <c r="D470" s="68" t="s">
        <v>286</v>
      </c>
      <c r="E470" s="22"/>
      <c r="F470" s="22"/>
      <c r="G470" s="69">
        <v>5414000</v>
      </c>
      <c r="H470" s="69"/>
      <c r="I470" s="69"/>
      <c r="J470" s="69"/>
      <c r="K470" s="19">
        <f t="shared" ref="K470:K483" si="36">SUM(G470:J470)</f>
        <v>5414000</v>
      </c>
      <c r="L470" s="26"/>
      <c r="M470" s="23"/>
      <c r="N470" s="24"/>
      <c r="O470" s="25"/>
      <c r="Q470" s="5"/>
    </row>
    <row r="471" spans="1:17" ht="30" customHeight="1" x14ac:dyDescent="0.3">
      <c r="A471" s="1207"/>
      <c r="B471" s="26" t="s">
        <v>196</v>
      </c>
      <c r="C471" s="28" t="s">
        <v>547</v>
      </c>
      <c r="D471" s="28" t="s">
        <v>286</v>
      </c>
      <c r="E471" s="1179"/>
      <c r="F471" s="1179"/>
      <c r="G471" s="26">
        <v>4490000</v>
      </c>
      <c r="H471" s="26">
        <v>4020000</v>
      </c>
      <c r="I471" s="26"/>
      <c r="J471" s="26"/>
      <c r="K471" s="26">
        <f t="shared" si="36"/>
        <v>8510000</v>
      </c>
      <c r="L471" s="26"/>
      <c r="M471" s="34"/>
      <c r="N471" s="33"/>
      <c r="O471" s="32"/>
      <c r="Q471" s="5"/>
    </row>
    <row r="472" spans="1:17" ht="21.75" customHeight="1" x14ac:dyDescent="0.3">
      <c r="A472" s="1207"/>
      <c r="B472" s="26" t="s">
        <v>24</v>
      </c>
      <c r="C472" s="28" t="s">
        <v>547</v>
      </c>
      <c r="D472" s="28" t="s">
        <v>286</v>
      </c>
      <c r="E472" s="26"/>
      <c r="F472" s="1179"/>
      <c r="G472" s="26">
        <v>16862000</v>
      </c>
      <c r="H472" s="26"/>
      <c r="I472" s="26"/>
      <c r="J472" s="26"/>
      <c r="K472" s="26">
        <f t="shared" si="36"/>
        <v>16862000</v>
      </c>
      <c r="L472" s="26"/>
      <c r="M472" s="34"/>
      <c r="N472" s="33"/>
      <c r="O472" s="32"/>
      <c r="Q472" s="5"/>
    </row>
    <row r="473" spans="1:17" ht="21.75" customHeight="1" x14ac:dyDescent="0.3">
      <c r="A473" s="1207"/>
      <c r="B473" s="26" t="s">
        <v>26</v>
      </c>
      <c r="C473" s="28" t="s">
        <v>213</v>
      </c>
      <c r="D473" s="28" t="s">
        <v>577</v>
      </c>
      <c r="E473" s="26">
        <v>107802268</v>
      </c>
      <c r="F473" s="1179"/>
      <c r="G473" s="26">
        <v>107802268</v>
      </c>
      <c r="H473" s="26"/>
      <c r="I473" s="26"/>
      <c r="J473" s="26"/>
      <c r="K473" s="1172">
        <f t="shared" si="36"/>
        <v>107802268</v>
      </c>
      <c r="L473" s="26">
        <f>IF(F473="",E473-K473,F473-K473)</f>
        <v>0</v>
      </c>
      <c r="M473" s="34"/>
      <c r="N473" s="33"/>
      <c r="O473" s="32"/>
      <c r="Q473" s="5"/>
    </row>
    <row r="474" spans="1:17" ht="21.75" customHeight="1" x14ac:dyDescent="0.3">
      <c r="A474" s="1207"/>
      <c r="B474" s="26" t="s">
        <v>28</v>
      </c>
      <c r="C474" s="28" t="s">
        <v>547</v>
      </c>
      <c r="D474" s="28" t="s">
        <v>286</v>
      </c>
      <c r="E474" s="26"/>
      <c r="F474" s="1179"/>
      <c r="G474" s="26">
        <v>9267000</v>
      </c>
      <c r="H474" s="26"/>
      <c r="I474" s="26"/>
      <c r="J474" s="26"/>
      <c r="K474" s="1172">
        <f t="shared" si="36"/>
        <v>9267000</v>
      </c>
      <c r="L474" s="26"/>
      <c r="M474" s="34"/>
      <c r="N474" s="33"/>
      <c r="O474" s="32"/>
      <c r="Q474" s="5"/>
    </row>
    <row r="475" spans="1:17" ht="21.75" customHeight="1" x14ac:dyDescent="0.3">
      <c r="A475" s="1207"/>
      <c r="B475" s="26" t="s">
        <v>30</v>
      </c>
      <c r="C475" s="28" t="s">
        <v>340</v>
      </c>
      <c r="D475" s="28" t="s">
        <v>545</v>
      </c>
      <c r="E475" s="26"/>
      <c r="F475" s="1179"/>
      <c r="G475" s="26">
        <v>10795000</v>
      </c>
      <c r="H475" s="26"/>
      <c r="I475" s="26"/>
      <c r="J475" s="26"/>
      <c r="K475" s="1172">
        <f t="shared" si="36"/>
        <v>10795000</v>
      </c>
      <c r="L475" s="26"/>
      <c r="M475" s="34"/>
      <c r="N475" s="33"/>
      <c r="O475" s="32"/>
      <c r="Q475" s="5"/>
    </row>
    <row r="476" spans="1:17" ht="22.5" customHeight="1" x14ac:dyDescent="0.3">
      <c r="A476" s="1207"/>
      <c r="B476" s="26" t="s">
        <v>33</v>
      </c>
      <c r="C476" s="46" t="s">
        <v>50</v>
      </c>
      <c r="D476" s="46" t="s">
        <v>61</v>
      </c>
      <c r="E476" s="26">
        <v>88055000</v>
      </c>
      <c r="F476" s="1179"/>
      <c r="G476" s="1172">
        <v>88055000</v>
      </c>
      <c r="H476" s="1172"/>
      <c r="I476" s="1172"/>
      <c r="J476" s="1172"/>
      <c r="K476" s="1172">
        <f t="shared" si="36"/>
        <v>88055000</v>
      </c>
      <c r="L476" s="1172"/>
      <c r="M476" s="34"/>
      <c r="N476" s="33"/>
      <c r="O476" s="1177"/>
      <c r="Q476" s="5"/>
    </row>
    <row r="477" spans="1:17" ht="22.5" customHeight="1" x14ac:dyDescent="0.3">
      <c r="A477" s="1207"/>
      <c r="B477" s="26" t="s">
        <v>39</v>
      </c>
      <c r="C477" s="46" t="s">
        <v>578</v>
      </c>
      <c r="D477" s="46" t="s">
        <v>301</v>
      </c>
      <c r="E477" s="1172"/>
      <c r="F477" s="1179">
        <v>12509100</v>
      </c>
      <c r="G477" s="1172">
        <v>12509100</v>
      </c>
      <c r="H477" s="1172"/>
      <c r="I477" s="1172"/>
      <c r="J477" s="1172"/>
      <c r="K477" s="1172">
        <f t="shared" si="36"/>
        <v>12509100</v>
      </c>
      <c r="L477" s="1172"/>
      <c r="M477" s="34"/>
      <c r="N477" s="33"/>
      <c r="O477" s="1177"/>
      <c r="Q477" s="5"/>
    </row>
    <row r="478" spans="1:17" ht="22.5" customHeight="1" x14ac:dyDescent="0.3">
      <c r="A478" s="1207"/>
      <c r="B478" s="26" t="s">
        <v>44</v>
      </c>
      <c r="C478" s="28" t="s">
        <v>579</v>
      </c>
      <c r="D478" s="28" t="s">
        <v>286</v>
      </c>
      <c r="E478" s="1172"/>
      <c r="F478" s="1179"/>
      <c r="G478" s="1172">
        <v>3789000</v>
      </c>
      <c r="H478" s="1172"/>
      <c r="I478" s="1172"/>
      <c r="J478" s="1172"/>
      <c r="K478" s="1172">
        <f t="shared" si="36"/>
        <v>3789000</v>
      </c>
      <c r="L478" s="1172"/>
      <c r="M478" s="34"/>
      <c r="N478" s="33"/>
      <c r="O478" s="1177"/>
      <c r="Q478" s="5"/>
    </row>
    <row r="479" spans="1:17" ht="22.5" customHeight="1" x14ac:dyDescent="0.3">
      <c r="A479" s="1207"/>
      <c r="B479" s="26" t="s">
        <v>49</v>
      </c>
      <c r="C479" s="28" t="s">
        <v>213</v>
      </c>
      <c r="D479" s="28" t="s">
        <v>577</v>
      </c>
      <c r="E479" s="1172"/>
      <c r="F479" s="1179"/>
      <c r="G479" s="1172">
        <v>11506924</v>
      </c>
      <c r="H479" s="1172">
        <v>25603300</v>
      </c>
      <c r="I479" s="1172"/>
      <c r="J479" s="1172"/>
      <c r="K479" s="1172">
        <f t="shared" si="36"/>
        <v>37110224</v>
      </c>
      <c r="L479" s="1172"/>
      <c r="M479" s="34"/>
      <c r="N479" s="33"/>
      <c r="O479" s="1177"/>
      <c r="Q479" s="5"/>
    </row>
    <row r="480" spans="1:17" ht="22.5" customHeight="1" x14ac:dyDescent="0.3">
      <c r="A480" s="1207"/>
      <c r="B480" s="26" t="s">
        <v>55</v>
      </c>
      <c r="C480" s="46" t="s">
        <v>580</v>
      </c>
      <c r="D480" s="46" t="s">
        <v>581</v>
      </c>
      <c r="E480" s="1172">
        <v>22830500</v>
      </c>
      <c r="F480" s="1179"/>
      <c r="G480" s="1172">
        <v>22830500</v>
      </c>
      <c r="H480" s="1172"/>
      <c r="I480" s="1172"/>
      <c r="J480" s="1172"/>
      <c r="K480" s="1172">
        <f t="shared" si="36"/>
        <v>22830500</v>
      </c>
      <c r="L480" s="1172"/>
      <c r="M480" s="34" t="s">
        <v>47</v>
      </c>
      <c r="N480" s="33"/>
      <c r="O480" s="1177"/>
      <c r="Q480" s="5"/>
    </row>
    <row r="481" spans="1:17" ht="22.5" customHeight="1" x14ac:dyDescent="0.3">
      <c r="A481" s="1207"/>
      <c r="B481" s="26" t="s">
        <v>59</v>
      </c>
      <c r="C481" s="46" t="s">
        <v>547</v>
      </c>
      <c r="D481" s="46" t="s">
        <v>263</v>
      </c>
      <c r="E481" s="1172"/>
      <c r="F481" s="1179"/>
      <c r="G481" s="1172">
        <v>3282000</v>
      </c>
      <c r="H481" s="1172"/>
      <c r="I481" s="1172"/>
      <c r="J481" s="1172"/>
      <c r="K481" s="1172">
        <f t="shared" si="36"/>
        <v>3282000</v>
      </c>
      <c r="L481" s="1172"/>
      <c r="M481" s="34"/>
      <c r="N481" s="33"/>
      <c r="O481" s="1177"/>
      <c r="Q481" s="5"/>
    </row>
    <row r="482" spans="1:17" ht="22.5" customHeight="1" x14ac:dyDescent="0.3">
      <c r="A482" s="1207"/>
      <c r="B482" s="26" t="s">
        <v>63</v>
      </c>
      <c r="C482" s="46" t="s">
        <v>213</v>
      </c>
      <c r="D482" s="46" t="s">
        <v>577</v>
      </c>
      <c r="E482" s="1172">
        <v>37110224</v>
      </c>
      <c r="F482" s="1179"/>
      <c r="G482" s="1172">
        <v>11506924</v>
      </c>
      <c r="H482" s="1172">
        <v>25603300</v>
      </c>
      <c r="I482" s="1172"/>
      <c r="J482" s="1172"/>
      <c r="K482" s="1172">
        <f t="shared" si="36"/>
        <v>37110224</v>
      </c>
      <c r="L482" s="1172"/>
      <c r="M482" s="34" t="s">
        <v>582</v>
      </c>
      <c r="N482" s="33"/>
      <c r="O482" s="1177"/>
      <c r="Q482" s="5"/>
    </row>
    <row r="483" spans="1:17" ht="22.5" customHeight="1" x14ac:dyDescent="0.3">
      <c r="A483" s="1207"/>
      <c r="B483" s="26" t="s">
        <v>67</v>
      </c>
      <c r="C483" s="28" t="s">
        <v>579</v>
      </c>
      <c r="D483" s="28" t="s">
        <v>286</v>
      </c>
      <c r="E483" s="1172"/>
      <c r="F483" s="1179"/>
      <c r="G483" s="1172">
        <v>4853000</v>
      </c>
      <c r="H483" s="1172"/>
      <c r="I483" s="1172"/>
      <c r="J483" s="1172"/>
      <c r="K483" s="1172">
        <f t="shared" si="36"/>
        <v>4853000</v>
      </c>
      <c r="L483" s="1172"/>
      <c r="M483" s="34"/>
      <c r="N483" s="33"/>
      <c r="O483" s="1177"/>
      <c r="Q483" s="5"/>
    </row>
    <row r="484" spans="1:17" ht="20.25" thickBot="1" x14ac:dyDescent="0.35">
      <c r="A484" s="1234"/>
      <c r="B484" s="120"/>
      <c r="C484" s="161"/>
      <c r="D484" s="161"/>
      <c r="E484" s="161"/>
      <c r="F484" s="220"/>
      <c r="G484" s="161"/>
      <c r="H484" s="161"/>
      <c r="I484" s="161"/>
      <c r="J484" s="162"/>
      <c r="K484" s="56">
        <f>SUM(K470:K483)</f>
        <v>368189316</v>
      </c>
      <c r="L484" s="57">
        <f>SUM(L470:L475)</f>
        <v>0</v>
      </c>
      <c r="M484" s="58"/>
      <c r="N484" s="59"/>
      <c r="O484" s="60"/>
      <c r="Q484" s="5"/>
    </row>
    <row r="485" spans="1:17" ht="15.75" customHeight="1" x14ac:dyDescent="0.3">
      <c r="A485" s="1199" t="s">
        <v>583</v>
      </c>
      <c r="B485" s="26">
        <v>1</v>
      </c>
      <c r="C485" s="163" t="s">
        <v>584</v>
      </c>
      <c r="D485" s="155" t="s">
        <v>182</v>
      </c>
      <c r="E485" s="157"/>
      <c r="F485" s="1179"/>
      <c r="G485" s="157">
        <v>23240749</v>
      </c>
      <c r="H485" s="82"/>
      <c r="I485" s="82"/>
      <c r="J485" s="82"/>
      <c r="K485" s="1172">
        <f>SUM(G485:J485)</f>
        <v>23240749</v>
      </c>
      <c r="L485" s="26"/>
      <c r="M485" s="34"/>
      <c r="N485" s="33"/>
      <c r="O485" s="25"/>
      <c r="Q485" s="5"/>
    </row>
    <row r="486" spans="1:17" ht="15.75" customHeight="1" x14ac:dyDescent="0.3">
      <c r="A486" s="1199"/>
      <c r="B486" s="26"/>
      <c r="C486" s="80"/>
      <c r="D486" s="81"/>
      <c r="E486" s="82"/>
      <c r="F486" s="1179"/>
      <c r="G486" s="82"/>
      <c r="H486" s="82"/>
      <c r="I486" s="82"/>
      <c r="J486" s="82"/>
      <c r="K486" s="1172">
        <f>SUM(G486:J486)</f>
        <v>0</v>
      </c>
      <c r="L486" s="26">
        <f>IF(F486="",E486-K486,F486-K486)</f>
        <v>0</v>
      </c>
      <c r="M486" s="34"/>
      <c r="N486" s="33"/>
      <c r="O486" s="32"/>
      <c r="Q486" s="5"/>
    </row>
    <row r="487" spans="1:17" ht="16.5" customHeight="1" x14ac:dyDescent="0.3">
      <c r="A487" s="1199"/>
      <c r="B487" s="26"/>
      <c r="C487" s="80"/>
      <c r="D487" s="155"/>
      <c r="E487" s="82"/>
      <c r="F487" s="1179"/>
      <c r="G487" s="82"/>
      <c r="H487" s="82"/>
      <c r="I487" s="82"/>
      <c r="J487" s="82"/>
      <c r="K487" s="1172">
        <f>SUM(G487:J487)</f>
        <v>0</v>
      </c>
      <c r="L487" s="26"/>
      <c r="M487" s="49"/>
      <c r="N487" s="50"/>
      <c r="O487" s="32"/>
      <c r="Q487" s="5"/>
    </row>
    <row r="488" spans="1:17" ht="21.75" customHeight="1" thickBot="1" x14ac:dyDescent="0.35">
      <c r="A488" s="1200"/>
      <c r="B488" s="160"/>
      <c r="C488" s="161"/>
      <c r="D488" s="161"/>
      <c r="E488" s="161"/>
      <c r="F488" s="220"/>
      <c r="G488" s="161"/>
      <c r="H488" s="161"/>
      <c r="I488" s="161"/>
      <c r="J488" s="162"/>
      <c r="K488" s="56">
        <f>SUM(K485:K487)</f>
        <v>23240749</v>
      </c>
      <c r="L488" s="57">
        <f>SUM(L485:L487)</f>
        <v>0</v>
      </c>
      <c r="M488" s="58"/>
      <c r="N488" s="59"/>
      <c r="O488" s="60"/>
      <c r="Q488" s="5"/>
    </row>
    <row r="489" spans="1:17" ht="19.5" x14ac:dyDescent="0.3">
      <c r="A489" s="1199" t="s">
        <v>585</v>
      </c>
      <c r="B489" s="19" t="s">
        <v>194</v>
      </c>
      <c r="C489" s="80" t="s">
        <v>161</v>
      </c>
      <c r="D489" s="81" t="s">
        <v>483</v>
      </c>
      <c r="E489" s="82">
        <v>450000</v>
      </c>
      <c r="F489" s="1179"/>
      <c r="G489" s="82">
        <v>450000</v>
      </c>
      <c r="H489" s="82"/>
      <c r="I489" s="82"/>
      <c r="J489" s="82"/>
      <c r="K489" s="1172">
        <f>SUM(G489:J489)</f>
        <v>450000</v>
      </c>
      <c r="L489" s="26">
        <f>IF(F489="",E489-K489,F489-K489)</f>
        <v>0</v>
      </c>
      <c r="M489" s="34"/>
      <c r="N489" s="33"/>
      <c r="O489" s="25"/>
      <c r="Q489" s="5"/>
    </row>
    <row r="490" spans="1:17" ht="19.5" x14ac:dyDescent="0.3">
      <c r="A490" s="1199"/>
      <c r="B490" s="1173"/>
      <c r="C490" s="80" t="s">
        <v>586</v>
      </c>
      <c r="D490" s="81" t="s">
        <v>587</v>
      </c>
      <c r="E490" s="82">
        <v>500000</v>
      </c>
      <c r="F490" s="1179"/>
      <c r="G490" s="82">
        <v>500000</v>
      </c>
      <c r="H490" s="82"/>
      <c r="I490" s="82"/>
      <c r="J490" s="82"/>
      <c r="K490" s="1172"/>
      <c r="L490" s="1172"/>
      <c r="M490" s="34"/>
      <c r="N490" s="33"/>
      <c r="O490" s="1178"/>
      <c r="Q490" s="5"/>
    </row>
    <row r="491" spans="1:17" ht="19.5" x14ac:dyDescent="0.3">
      <c r="A491" s="1199"/>
      <c r="B491" s="26">
        <v>2</v>
      </c>
      <c r="C491" s="80" t="s">
        <v>99</v>
      </c>
      <c r="D491" s="81" t="s">
        <v>100</v>
      </c>
      <c r="E491" s="82">
        <v>23690000</v>
      </c>
      <c r="F491" s="1179"/>
      <c r="G491" s="82">
        <v>23690000</v>
      </c>
      <c r="H491" s="82"/>
      <c r="I491" s="82"/>
      <c r="J491" s="82"/>
      <c r="K491" s="1172">
        <f>SUM(G491:J491)</f>
        <v>23690000</v>
      </c>
      <c r="L491" s="1172"/>
      <c r="M491" s="34"/>
      <c r="N491" s="33"/>
      <c r="O491" s="32"/>
      <c r="Q491" s="5"/>
    </row>
    <row r="492" spans="1:17" ht="19.5" x14ac:dyDescent="0.3">
      <c r="A492" s="1199"/>
      <c r="B492" s="26"/>
      <c r="C492" s="80"/>
      <c r="D492" s="155"/>
      <c r="E492" s="82"/>
      <c r="F492" s="1179"/>
      <c r="G492" s="82"/>
      <c r="H492" s="82"/>
      <c r="I492" s="82"/>
      <c r="J492" s="82"/>
      <c r="K492" s="1172">
        <f>SUM(G492:J492)</f>
        <v>0</v>
      </c>
      <c r="L492" s="1172"/>
      <c r="M492" s="49"/>
      <c r="N492" s="50"/>
      <c r="O492" s="32"/>
      <c r="Q492" s="5"/>
    </row>
    <row r="493" spans="1:17" ht="19.5" x14ac:dyDescent="0.3">
      <c r="A493" s="1199"/>
      <c r="B493" s="26"/>
      <c r="C493" s="156"/>
      <c r="D493" s="155"/>
      <c r="E493" s="157"/>
      <c r="F493" s="1179"/>
      <c r="G493" s="157"/>
      <c r="H493" s="157"/>
      <c r="I493" s="157"/>
      <c r="J493" s="158"/>
      <c r="K493" s="1172">
        <f>SUM(G493:J493)</f>
        <v>0</v>
      </c>
      <c r="L493" s="1172"/>
      <c r="M493" s="49"/>
      <c r="N493" s="50"/>
      <c r="O493" s="32"/>
      <c r="Q493" s="5"/>
    </row>
    <row r="494" spans="1:17" ht="20.25" thickBot="1" x14ac:dyDescent="0.35">
      <c r="A494" s="1200"/>
      <c r="B494" s="160"/>
      <c r="C494" s="161"/>
      <c r="D494" s="161"/>
      <c r="E494" s="161"/>
      <c r="F494" s="220"/>
      <c r="G494" s="161"/>
      <c r="H494" s="161"/>
      <c r="I494" s="161"/>
      <c r="J494" s="162"/>
      <c r="K494" s="56">
        <f>SUM(K489:K493)</f>
        <v>24140000</v>
      </c>
      <c r="L494" s="57">
        <f>SUM(L489:L493)</f>
        <v>0</v>
      </c>
      <c r="M494" s="58"/>
      <c r="N494" s="59"/>
      <c r="O494" s="60"/>
      <c r="Q494" s="5"/>
    </row>
    <row r="495" spans="1:17" ht="3.75" customHeight="1" thickBot="1" x14ac:dyDescent="0.35">
      <c r="A495" s="200"/>
      <c r="B495" s="61"/>
      <c r="C495" s="62"/>
      <c r="D495" s="63"/>
      <c r="E495" s="61"/>
      <c r="F495" s="221"/>
      <c r="G495" s="61"/>
      <c r="H495" s="61"/>
      <c r="I495" s="61"/>
      <c r="J495" s="61"/>
      <c r="K495" s="61"/>
      <c r="L495" s="61"/>
      <c r="M495" s="64"/>
      <c r="N495" s="65"/>
      <c r="O495" s="65"/>
      <c r="Q495" s="5"/>
    </row>
    <row r="496" spans="1:17" ht="24" customHeight="1" x14ac:dyDescent="0.3">
      <c r="A496" s="1203" t="s">
        <v>588</v>
      </c>
      <c r="B496" s="19" t="s">
        <v>194</v>
      </c>
      <c r="C496" s="20" t="s">
        <v>369</v>
      </c>
      <c r="D496" s="21" t="s">
        <v>453</v>
      </c>
      <c r="E496" s="19"/>
      <c r="F496" s="225"/>
      <c r="G496" s="19">
        <v>11308000</v>
      </c>
      <c r="H496" s="19">
        <v>631000</v>
      </c>
      <c r="I496" s="19"/>
      <c r="J496" s="19"/>
      <c r="K496" s="19">
        <f t="shared" ref="K496:K502" si="37">SUM(G496:J496)</f>
        <v>11939000</v>
      </c>
      <c r="L496" s="26"/>
      <c r="M496" s="107"/>
      <c r="N496" s="24"/>
      <c r="O496" s="25"/>
      <c r="Q496" s="5"/>
    </row>
    <row r="497" spans="1:17" ht="24" customHeight="1" x14ac:dyDescent="0.3">
      <c r="A497" s="1204"/>
      <c r="B497" s="26" t="s">
        <v>196</v>
      </c>
      <c r="C497" s="27" t="s">
        <v>589</v>
      </c>
      <c r="D497" s="28" t="s">
        <v>400</v>
      </c>
      <c r="E497" s="26">
        <v>2000000</v>
      </c>
      <c r="F497" s="226"/>
      <c r="G497" s="26">
        <v>2000000</v>
      </c>
      <c r="H497" s="26"/>
      <c r="I497" s="26"/>
      <c r="J497" s="26"/>
      <c r="K497" s="26">
        <f t="shared" si="37"/>
        <v>2000000</v>
      </c>
      <c r="L497" s="26">
        <f t="shared" ref="L497:L502" si="38">IF(F497="",E497-K497,F497-K497)</f>
        <v>0</v>
      </c>
      <c r="M497" s="108"/>
      <c r="N497" s="33"/>
      <c r="O497" s="32"/>
      <c r="Q497" s="5"/>
    </row>
    <row r="498" spans="1:17" ht="29.25" customHeight="1" x14ac:dyDescent="0.3">
      <c r="A498" s="1204"/>
      <c r="B498" s="26" t="s">
        <v>20</v>
      </c>
      <c r="C498" s="27" t="s">
        <v>590</v>
      </c>
      <c r="D498" s="28" t="s">
        <v>403</v>
      </c>
      <c r="E498" s="26">
        <v>9500000</v>
      </c>
      <c r="F498" s="226"/>
      <c r="G498" s="26">
        <v>9500000</v>
      </c>
      <c r="H498" s="26"/>
      <c r="I498" s="26"/>
      <c r="J498" s="26"/>
      <c r="K498" s="26">
        <f t="shared" si="37"/>
        <v>9500000</v>
      </c>
      <c r="L498" s="26">
        <f t="shared" si="38"/>
        <v>0</v>
      </c>
      <c r="M498" s="108"/>
      <c r="N498" s="33"/>
      <c r="O498" s="32"/>
      <c r="Q498" s="5"/>
    </row>
    <row r="499" spans="1:17" ht="24" customHeight="1" x14ac:dyDescent="0.3">
      <c r="A499" s="1204"/>
      <c r="B499" s="26" t="s">
        <v>24</v>
      </c>
      <c r="C499" s="27"/>
      <c r="D499" s="28"/>
      <c r="E499" s="26"/>
      <c r="F499" s="226"/>
      <c r="G499" s="26"/>
      <c r="H499" s="26"/>
      <c r="I499" s="26"/>
      <c r="J499" s="26"/>
      <c r="K499" s="26">
        <f t="shared" si="37"/>
        <v>0</v>
      </c>
      <c r="L499" s="26">
        <f t="shared" si="38"/>
        <v>0</v>
      </c>
      <c r="M499" s="108"/>
      <c r="N499" s="33"/>
      <c r="O499" s="32"/>
      <c r="Q499" s="5"/>
    </row>
    <row r="500" spans="1:17" ht="24" customHeight="1" x14ac:dyDescent="0.3">
      <c r="A500" s="1204"/>
      <c r="B500" s="26" t="s">
        <v>26</v>
      </c>
      <c r="C500" s="27"/>
      <c r="D500" s="28"/>
      <c r="E500" s="26"/>
      <c r="F500" s="226"/>
      <c r="G500" s="26"/>
      <c r="H500" s="26"/>
      <c r="I500" s="26"/>
      <c r="J500" s="26"/>
      <c r="K500" s="26">
        <f t="shared" si="37"/>
        <v>0</v>
      </c>
      <c r="L500" s="26">
        <f t="shared" si="38"/>
        <v>0</v>
      </c>
      <c r="M500" s="108"/>
      <c r="N500" s="33"/>
      <c r="O500" s="32"/>
      <c r="Q500" s="5"/>
    </row>
    <row r="501" spans="1:17" ht="24" customHeight="1" x14ac:dyDescent="0.3">
      <c r="A501" s="1204"/>
      <c r="B501" s="26" t="s">
        <v>28</v>
      </c>
      <c r="C501" s="27"/>
      <c r="D501" s="28"/>
      <c r="E501" s="26"/>
      <c r="F501" s="226"/>
      <c r="G501" s="26"/>
      <c r="H501" s="26"/>
      <c r="I501" s="26"/>
      <c r="J501" s="26"/>
      <c r="K501" s="26">
        <f t="shared" si="37"/>
        <v>0</v>
      </c>
      <c r="L501" s="26">
        <f t="shared" si="38"/>
        <v>0</v>
      </c>
      <c r="M501" s="108"/>
      <c r="N501" s="33"/>
      <c r="O501" s="32"/>
      <c r="Q501" s="5"/>
    </row>
    <row r="502" spans="1:17" ht="24" customHeight="1" x14ac:dyDescent="0.3">
      <c r="A502" s="1204"/>
      <c r="B502" s="26" t="s">
        <v>30</v>
      </c>
      <c r="C502" s="47"/>
      <c r="D502" s="48"/>
      <c r="E502" s="29"/>
      <c r="F502" s="226"/>
      <c r="G502" s="29"/>
      <c r="H502" s="29"/>
      <c r="I502" s="29"/>
      <c r="J502" s="29"/>
      <c r="K502" s="26">
        <f t="shared" si="37"/>
        <v>0</v>
      </c>
      <c r="L502" s="26">
        <f t="shared" si="38"/>
        <v>0</v>
      </c>
      <c r="M502" s="173"/>
      <c r="N502" s="50"/>
      <c r="O502" s="32"/>
      <c r="Q502" s="5"/>
    </row>
    <row r="503" spans="1:17" ht="24" customHeight="1" thickBot="1" x14ac:dyDescent="0.35">
      <c r="A503" s="1206"/>
      <c r="B503" s="118"/>
      <c r="C503" s="118"/>
      <c r="D503" s="118" t="s">
        <v>2</v>
      </c>
      <c r="E503" s="118"/>
      <c r="F503" s="229"/>
      <c r="G503" s="118"/>
      <c r="H503" s="118"/>
      <c r="I503" s="118"/>
      <c r="J503" s="118"/>
      <c r="K503" s="56">
        <f>SUM(K496:K502)</f>
        <v>23439000</v>
      </c>
      <c r="L503" s="57">
        <f>SUM(L496:L502)</f>
        <v>0</v>
      </c>
      <c r="M503" s="106"/>
      <c r="N503" s="59"/>
      <c r="O503" s="60"/>
      <c r="Q503" s="5"/>
    </row>
    <row r="504" spans="1:17" ht="15.75" customHeight="1" x14ac:dyDescent="0.3">
      <c r="A504" s="201"/>
      <c r="B504" s="174"/>
      <c r="C504" s="174"/>
      <c r="D504" s="174"/>
      <c r="E504" s="174"/>
      <c r="F504" s="231"/>
      <c r="G504" s="174"/>
      <c r="H504" s="174"/>
      <c r="I504" s="174"/>
      <c r="J504" s="174"/>
      <c r="K504" s="175"/>
      <c r="L504" s="176"/>
      <c r="M504" s="145"/>
      <c r="N504" s="145"/>
      <c r="O504" s="145"/>
      <c r="Q504" s="5"/>
    </row>
    <row r="505" spans="1:17" ht="15.75" customHeight="1" x14ac:dyDescent="0.3">
      <c r="A505" s="201"/>
      <c r="B505" s="174"/>
      <c r="C505" s="174"/>
      <c r="D505" s="174"/>
      <c r="E505" s="174"/>
      <c r="F505" s="231"/>
      <c r="G505" s="174"/>
      <c r="H505" s="174"/>
      <c r="I505" s="174"/>
      <c r="J505" s="174"/>
      <c r="K505" s="175"/>
      <c r="L505" s="176"/>
      <c r="M505" s="145"/>
      <c r="N505" s="145"/>
      <c r="O505" s="145"/>
      <c r="Q505" s="5"/>
    </row>
    <row r="506" spans="1:17" ht="15.75" customHeight="1" x14ac:dyDescent="0.3">
      <c r="A506" s="201"/>
      <c r="B506" s="174"/>
      <c r="C506" s="174"/>
      <c r="D506" s="174"/>
      <c r="E506" s="174"/>
      <c r="F506" s="231"/>
      <c r="G506" s="174"/>
      <c r="H506" s="174"/>
      <c r="I506" s="174"/>
      <c r="J506" s="174"/>
      <c r="K506" s="175"/>
      <c r="L506" s="176"/>
      <c r="M506" s="145"/>
      <c r="N506" s="145"/>
      <c r="O506" s="145"/>
      <c r="Q506" s="5"/>
    </row>
    <row r="507" spans="1:17" ht="15.75" customHeight="1" x14ac:dyDescent="0.3">
      <c r="A507" s="201"/>
      <c r="B507" s="174"/>
      <c r="C507" s="174"/>
      <c r="D507" s="174"/>
      <c r="E507" s="174"/>
      <c r="F507" s="231"/>
      <c r="G507" s="174"/>
      <c r="H507" s="174"/>
      <c r="I507" s="174"/>
      <c r="J507" s="174"/>
      <c r="K507" s="175"/>
      <c r="L507" s="176"/>
      <c r="M507" s="145"/>
      <c r="N507" s="145"/>
      <c r="O507" s="145"/>
      <c r="Q507" s="5"/>
    </row>
    <row r="508" spans="1:17" x14ac:dyDescent="0.3">
      <c r="A508" s="201"/>
      <c r="B508" s="174"/>
      <c r="C508" s="174"/>
      <c r="D508" s="174"/>
      <c r="E508" s="174"/>
      <c r="F508" s="231"/>
      <c r="G508" s="174"/>
      <c r="H508" s="174"/>
      <c r="I508" s="174"/>
      <c r="J508" s="174"/>
      <c r="K508" s="175"/>
      <c r="L508" s="176"/>
      <c r="M508" s="145"/>
      <c r="N508" s="145"/>
      <c r="O508" s="145"/>
      <c r="Q508" s="5"/>
    </row>
    <row r="509" spans="1:17" ht="15.75" customHeight="1" x14ac:dyDescent="0.3">
      <c r="A509" s="201"/>
      <c r="B509" s="174"/>
      <c r="C509" s="174"/>
      <c r="D509" s="174"/>
      <c r="E509" s="174"/>
      <c r="F509" s="231"/>
      <c r="G509" s="174"/>
      <c r="H509" s="174"/>
      <c r="I509" s="174"/>
      <c r="J509" s="174"/>
      <c r="K509" s="1018"/>
      <c r="L509" s="1019"/>
      <c r="M509" s="145"/>
      <c r="N509" s="145"/>
      <c r="O509" s="145"/>
      <c r="Q509" s="5"/>
    </row>
    <row r="510" spans="1:17" x14ac:dyDescent="0.3">
      <c r="K510" s="1020">
        <f>K503+K494+K488+K484+K469+K466+K461+K456+K453+K448+K436+K419+K396+K383+K364+K355+K343+K323+K313+K290+K284+K278+K246+K237+K227+K213+K199+K174+K148+K140+K101+K61</f>
        <v>24457817791</v>
      </c>
      <c r="L510" s="1020">
        <f>L503+L494+L488+L484+L469+L466+L461+L456+L453+L448+L436+L419+L396+L383+L364+L355+L343+L323+L313+L290+L284+L278+L246+L237+L227+L213+L199+L174+L148+L140+L101+L61</f>
        <v>747283016</v>
      </c>
      <c r="Q510" s="5"/>
    </row>
  </sheetData>
  <autoFilter ref="A6:O313">
    <filterColumn colId="0">
      <filters>
        <filter val="NAM THUẬN_x000a_T19 _x000a_( tòa nhà Đức )"/>
      </filters>
    </filterColumn>
  </autoFilter>
  <mergeCells count="54">
    <mergeCell ref="A175:A198"/>
    <mergeCell ref="N5:O5"/>
    <mergeCell ref="A102:A140"/>
    <mergeCell ref="A141:A148"/>
    <mergeCell ref="A149:A174"/>
    <mergeCell ref="D104:D105"/>
    <mergeCell ref="F104:F105"/>
    <mergeCell ref="G104:G105"/>
    <mergeCell ref="H104:H105"/>
    <mergeCell ref="I104:I105"/>
    <mergeCell ref="K104:K105"/>
    <mergeCell ref="L104:L105"/>
    <mergeCell ref="A7:A61"/>
    <mergeCell ref="A62:A101"/>
    <mergeCell ref="F115:F116"/>
    <mergeCell ref="G115:G116"/>
    <mergeCell ref="A496:A503"/>
    <mergeCell ref="A470:A484"/>
    <mergeCell ref="A384:A396"/>
    <mergeCell ref="A467:A469"/>
    <mergeCell ref="A489:A494"/>
    <mergeCell ref="A485:A488"/>
    <mergeCell ref="A449:A453"/>
    <mergeCell ref="A457:A461"/>
    <mergeCell ref="A432:A436"/>
    <mergeCell ref="A462:A466"/>
    <mergeCell ref="A214:A227"/>
    <mergeCell ref="A365:A383"/>
    <mergeCell ref="A411:A419"/>
    <mergeCell ref="A454:A456"/>
    <mergeCell ref="A356:A364"/>
    <mergeCell ref="A445:A448"/>
    <mergeCell ref="A228:A237"/>
    <mergeCell ref="A2:L3"/>
    <mergeCell ref="L200:L201"/>
    <mergeCell ref="A345:A355"/>
    <mergeCell ref="I200:I201"/>
    <mergeCell ref="H200:H201"/>
    <mergeCell ref="G200:G201"/>
    <mergeCell ref="K200:K201"/>
    <mergeCell ref="A238:A246"/>
    <mergeCell ref="A315:A323"/>
    <mergeCell ref="A325:A343"/>
    <mergeCell ref="A247:A278"/>
    <mergeCell ref="F200:F201"/>
    <mergeCell ref="A291:A313"/>
    <mergeCell ref="A285:A290"/>
    <mergeCell ref="A200:A213"/>
    <mergeCell ref="A279:A284"/>
    <mergeCell ref="H115:H116"/>
    <mergeCell ref="I115:I116"/>
    <mergeCell ref="J115:J116"/>
    <mergeCell ref="K115:K116"/>
    <mergeCell ref="L115:L116"/>
  </mergeCells>
  <pageMargins left="0.70866141732283472" right="0.70866141732283472" top="0.74803149606299213" bottom="0.74803149606299213" header="0.31496062992125984" footer="0.31496062992125984"/>
  <pageSetup scale="35" orientation="landscape" r:id="rId1"/>
  <rowBreaks count="6" manualBreakCount="6">
    <brk id="101" max="16383" man="1"/>
    <brk id="174" max="16383" man="1"/>
    <brk id="246" max="16383" man="1"/>
    <brk id="290" max="16383" man="1"/>
    <brk id="364" max="16383" man="1"/>
    <brk id="396" max="16383" man="1"/>
  </rowBreaks>
  <colBreaks count="1" manualBreakCount="1">
    <brk id="12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W423"/>
  <sheetViews>
    <sheetView workbookViewId="0">
      <pane xSplit="5" ySplit="5" topLeftCell="F363" activePane="bottomRight" state="frozen"/>
      <selection pane="topRight" activeCell="G1" sqref="G1"/>
      <selection pane="bottomLeft" activeCell="A6" sqref="A6"/>
      <selection pane="bottomRight" activeCell="F391" sqref="F391"/>
    </sheetView>
  </sheetViews>
  <sheetFormatPr defaultColWidth="9.28515625" defaultRowHeight="11.25" x14ac:dyDescent="0.2"/>
  <cols>
    <col min="1" max="1" width="11.7109375" style="845" customWidth="1"/>
    <col min="2" max="2" width="15.7109375" style="750" customWidth="1"/>
    <col min="3" max="3" width="10.85546875" style="750" customWidth="1"/>
    <col min="4" max="4" width="12.140625" style="830" customWidth="1"/>
    <col min="5" max="5" width="11.85546875" style="751" customWidth="1"/>
    <col min="6" max="7" width="11.7109375" style="751" customWidth="1"/>
    <col min="8" max="8" width="11.140625" style="854" customWidth="1"/>
    <col min="9" max="9" width="6.85546875" style="751" hidden="1" customWidth="1"/>
    <col min="10" max="10" width="14.140625" style="750" customWidth="1"/>
    <col min="11" max="11" width="11.28515625" style="751" customWidth="1"/>
    <col min="12" max="13" width="11.85546875" style="750" customWidth="1"/>
    <col min="14" max="14" width="9.28515625" style="750" customWidth="1"/>
    <col min="15" max="15" width="12.7109375" style="759" hidden="1" customWidth="1"/>
    <col min="16" max="16" width="14.7109375" style="751" hidden="1" customWidth="1"/>
    <col min="17" max="17" width="10.5703125" style="750" hidden="1" customWidth="1"/>
    <col min="18" max="18" width="14.7109375" style="750" hidden="1" customWidth="1"/>
    <col min="19" max="19" width="24.7109375" style="751" hidden="1" customWidth="1"/>
    <col min="20" max="20" width="16.7109375" style="751" hidden="1" customWidth="1"/>
    <col min="21" max="22" width="15.85546875" style="751" bestFit="1" customWidth="1"/>
    <col min="23" max="23" width="20.140625" style="750" customWidth="1"/>
    <col min="24" max="16384" width="9.28515625" style="750"/>
  </cols>
  <sheetData>
    <row r="1" spans="1:23" ht="21" customHeight="1" x14ac:dyDescent="0.2">
      <c r="A1" s="1316" t="s">
        <v>689</v>
      </c>
      <c r="B1" s="1316"/>
      <c r="C1" s="1316"/>
      <c r="D1" s="1316"/>
      <c r="E1" s="1316"/>
      <c r="F1" s="1316"/>
      <c r="G1" s="1316"/>
      <c r="H1" s="1316"/>
      <c r="I1" s="1316"/>
      <c r="J1" s="1316"/>
      <c r="K1" s="1316"/>
      <c r="L1" s="1316"/>
      <c r="M1" s="1316"/>
      <c r="N1" s="1316"/>
      <c r="O1" s="1316"/>
      <c r="P1" s="1317"/>
      <c r="Q1" s="1316"/>
    </row>
    <row r="2" spans="1:23" ht="15" customHeight="1" x14ac:dyDescent="0.2">
      <c r="A2" s="1316"/>
      <c r="B2" s="1316"/>
      <c r="C2" s="1316"/>
      <c r="D2" s="1316"/>
      <c r="E2" s="1316"/>
      <c r="F2" s="1316"/>
      <c r="G2" s="1316"/>
      <c r="H2" s="1316"/>
      <c r="I2" s="1316"/>
      <c r="J2" s="1316"/>
      <c r="K2" s="1316"/>
      <c r="L2" s="1316"/>
      <c r="M2" s="1316"/>
      <c r="N2" s="1316"/>
      <c r="O2" s="1316"/>
      <c r="P2" s="1317"/>
      <c r="Q2" s="1316"/>
    </row>
    <row r="3" spans="1:23" ht="15" hidden="1" customHeight="1" x14ac:dyDescent="0.2">
      <c r="A3" s="1316"/>
      <c r="B3" s="1316"/>
      <c r="C3" s="1316"/>
      <c r="D3" s="1316"/>
      <c r="E3" s="1316"/>
      <c r="F3" s="1316"/>
      <c r="G3" s="1316"/>
      <c r="H3" s="1316"/>
      <c r="I3" s="1316"/>
      <c r="J3" s="1316"/>
      <c r="K3" s="1316"/>
      <c r="L3" s="1316"/>
      <c r="M3" s="1316"/>
      <c r="N3" s="1316"/>
      <c r="O3" s="1316"/>
      <c r="P3" s="1317"/>
      <c r="Q3" s="1316"/>
    </row>
    <row r="4" spans="1:23" ht="27.75" hidden="1" customHeight="1" x14ac:dyDescent="0.2">
      <c r="A4" s="752"/>
      <c r="B4" s="753"/>
      <c r="C4" s="753"/>
      <c r="D4" s="753"/>
      <c r="E4" s="753"/>
      <c r="F4" s="754"/>
      <c r="G4" s="755"/>
      <c r="H4" s="756"/>
      <c r="I4" s="757"/>
      <c r="J4" s="758"/>
      <c r="K4" s="757"/>
      <c r="L4" s="752"/>
      <c r="M4" s="752"/>
      <c r="P4" s="760"/>
    </row>
    <row r="5" spans="1:23" ht="45.75" customHeight="1" x14ac:dyDescent="0.2">
      <c r="A5" s="761" t="s">
        <v>4</v>
      </c>
      <c r="B5" s="761" t="s">
        <v>6</v>
      </c>
      <c r="C5" s="762" t="s">
        <v>7</v>
      </c>
      <c r="D5" s="763" t="s">
        <v>8</v>
      </c>
      <c r="E5" s="764" t="s">
        <v>933</v>
      </c>
      <c r="F5" s="765" t="s">
        <v>10</v>
      </c>
      <c r="G5" s="766" t="s">
        <v>11</v>
      </c>
      <c r="H5" s="765" t="s">
        <v>12</v>
      </c>
      <c r="I5" s="766" t="s">
        <v>13</v>
      </c>
      <c r="J5" s="767" t="s">
        <v>934</v>
      </c>
      <c r="K5" s="768" t="s">
        <v>935</v>
      </c>
      <c r="L5" s="769" t="s">
        <v>936</v>
      </c>
      <c r="M5" s="767" t="s">
        <v>937</v>
      </c>
      <c r="N5" s="769" t="s">
        <v>17</v>
      </c>
      <c r="O5" s="770" t="s">
        <v>18</v>
      </c>
      <c r="P5" s="764" t="s">
        <v>938</v>
      </c>
      <c r="Q5" s="761" t="s">
        <v>605</v>
      </c>
      <c r="R5" s="767" t="s">
        <v>939</v>
      </c>
      <c r="S5" s="771" t="s">
        <v>940</v>
      </c>
      <c r="T5" s="771" t="s">
        <v>940</v>
      </c>
    </row>
    <row r="6" spans="1:23" ht="12" customHeight="1" x14ac:dyDescent="0.2">
      <c r="A6" s="1318" t="s">
        <v>941</v>
      </c>
      <c r="B6" s="772" t="s">
        <v>691</v>
      </c>
      <c r="C6" s="773" t="s">
        <v>188</v>
      </c>
      <c r="D6" s="774">
        <v>2240100</v>
      </c>
      <c r="E6" s="775"/>
      <c r="F6" s="776">
        <v>2240100</v>
      </c>
      <c r="G6" s="775"/>
      <c r="H6" s="777"/>
      <c r="I6" s="775"/>
      <c r="J6" s="778">
        <f>SUM(F6:I6)</f>
        <v>2240100</v>
      </c>
      <c r="K6" s="778"/>
      <c r="L6" s="779">
        <f>IF(E6="",D6-J6-K6,E6-J6-K6)</f>
        <v>0</v>
      </c>
      <c r="M6" s="779">
        <f>K6+L6</f>
        <v>0</v>
      </c>
      <c r="N6" s="773"/>
      <c r="O6" s="780"/>
      <c r="P6" s="781"/>
      <c r="Q6" s="782"/>
      <c r="R6" s="772"/>
      <c r="S6" s="751" t="s">
        <v>942</v>
      </c>
    </row>
    <row r="7" spans="1:23" ht="12" customHeight="1" x14ac:dyDescent="0.2">
      <c r="A7" s="1319"/>
      <c r="B7" s="783" t="s">
        <v>692</v>
      </c>
      <c r="C7" s="784" t="s">
        <v>416</v>
      </c>
      <c r="D7" s="785">
        <v>1100000</v>
      </c>
      <c r="E7" s="786"/>
      <c r="F7" s="778">
        <v>1100000</v>
      </c>
      <c r="G7" s="786"/>
      <c r="H7" s="787"/>
      <c r="I7" s="786"/>
      <c r="J7" s="778">
        <f>SUM(F7:I7)</f>
        <v>1100000</v>
      </c>
      <c r="K7" s="778"/>
      <c r="L7" s="779">
        <f>IF(E7="",D7-J7-K7,E7-J7-K7)</f>
        <v>0</v>
      </c>
      <c r="M7" s="779">
        <f>K7+L7</f>
        <v>0</v>
      </c>
      <c r="N7" s="784"/>
      <c r="O7" s="788"/>
      <c r="P7" s="789"/>
      <c r="Q7" s="790"/>
      <c r="R7" s="783" t="s">
        <v>943</v>
      </c>
      <c r="S7" s="751" t="s">
        <v>944</v>
      </c>
      <c r="T7" s="751">
        <v>1666000</v>
      </c>
    </row>
    <row r="8" spans="1:23" ht="12" customHeight="1" x14ac:dyDescent="0.2">
      <c r="A8" s="1319"/>
      <c r="B8" s="783" t="s">
        <v>257</v>
      </c>
      <c r="C8" s="784" t="s">
        <v>693</v>
      </c>
      <c r="D8" s="791">
        <f>J8</f>
        <v>10597500</v>
      </c>
      <c r="E8" s="786"/>
      <c r="F8" s="778">
        <v>10597500</v>
      </c>
      <c r="G8" s="786"/>
      <c r="H8" s="787"/>
      <c r="I8" s="786"/>
      <c r="J8" s="778">
        <f t="shared" ref="J8:J14" si="0">SUM(F8:I8)</f>
        <v>10597500</v>
      </c>
      <c r="K8" s="778"/>
      <c r="L8" s="779">
        <f t="shared" ref="L8:L14" si="1">IF(E8="",D8-J8-K8,E8-J8-K8)</f>
        <v>0</v>
      </c>
      <c r="M8" s="779">
        <f t="shared" ref="M8:M14" si="2">K8+L8</f>
        <v>0</v>
      </c>
      <c r="N8" s="784"/>
      <c r="O8" s="788"/>
      <c r="P8" s="789"/>
      <c r="Q8" s="790"/>
      <c r="R8" s="783"/>
      <c r="W8" s="792"/>
    </row>
    <row r="9" spans="1:23" ht="12" customHeight="1" x14ac:dyDescent="0.2">
      <c r="A9" s="1319"/>
      <c r="B9" s="783" t="s">
        <v>694</v>
      </c>
      <c r="C9" s="784" t="s">
        <v>695</v>
      </c>
      <c r="D9" s="785">
        <v>9075000</v>
      </c>
      <c r="E9" s="786"/>
      <c r="F9" s="778">
        <v>9075000</v>
      </c>
      <c r="G9" s="786"/>
      <c r="H9" s="787"/>
      <c r="I9" s="786"/>
      <c r="J9" s="778">
        <f t="shared" si="0"/>
        <v>9075000</v>
      </c>
      <c r="K9" s="778"/>
      <c r="L9" s="779">
        <f t="shared" si="1"/>
        <v>0</v>
      </c>
      <c r="M9" s="779">
        <f t="shared" si="2"/>
        <v>0</v>
      </c>
      <c r="N9" s="784"/>
      <c r="O9" s="788"/>
      <c r="P9" s="789"/>
      <c r="Q9" s="790"/>
      <c r="R9" s="783" t="s">
        <v>943</v>
      </c>
      <c r="W9" s="793"/>
    </row>
    <row r="10" spans="1:23" ht="12" customHeight="1" x14ac:dyDescent="0.2">
      <c r="A10" s="1319"/>
      <c r="B10" s="783" t="s">
        <v>945</v>
      </c>
      <c r="C10" s="784" t="s">
        <v>711</v>
      </c>
      <c r="D10" s="785">
        <v>1760000</v>
      </c>
      <c r="E10" s="786"/>
      <c r="F10" s="778">
        <v>1760000</v>
      </c>
      <c r="G10" s="786"/>
      <c r="H10" s="787"/>
      <c r="I10" s="786"/>
      <c r="J10" s="778">
        <f t="shared" si="0"/>
        <v>1760000</v>
      </c>
      <c r="K10" s="778"/>
      <c r="L10" s="779">
        <f>IF(E10="",D10-J10-K10,E10-J10-K10)</f>
        <v>0</v>
      </c>
      <c r="M10" s="779">
        <f>K10+L10</f>
        <v>0</v>
      </c>
      <c r="N10" s="784"/>
      <c r="O10" s="788"/>
      <c r="P10" s="789"/>
      <c r="Q10" s="790"/>
      <c r="R10" s="783"/>
      <c r="W10" s="793"/>
    </row>
    <row r="11" spans="1:23" ht="12" customHeight="1" x14ac:dyDescent="0.2">
      <c r="A11" s="1319"/>
      <c r="B11" s="783" t="s">
        <v>946</v>
      </c>
      <c r="C11" s="784" t="s">
        <v>265</v>
      </c>
      <c r="D11" s="785">
        <v>1700000</v>
      </c>
      <c r="E11" s="786"/>
      <c r="F11" s="778">
        <v>1700000</v>
      </c>
      <c r="G11" s="786"/>
      <c r="H11" s="787"/>
      <c r="I11" s="786"/>
      <c r="J11" s="778">
        <f>SUM(F11:I11)</f>
        <v>1700000</v>
      </c>
      <c r="K11" s="778"/>
      <c r="L11" s="779">
        <f>IF(E11="",D11-J11-K11,E11-J11-K11)</f>
        <v>0</v>
      </c>
      <c r="M11" s="779">
        <f>K11+L11</f>
        <v>0</v>
      </c>
      <c r="N11" s="784"/>
      <c r="O11" s="788"/>
      <c r="P11" s="789"/>
      <c r="Q11" s="790"/>
      <c r="R11" s="783"/>
      <c r="W11" s="793"/>
    </row>
    <row r="12" spans="1:23" ht="12" customHeight="1" x14ac:dyDescent="0.2">
      <c r="A12" s="1319"/>
      <c r="B12" s="783" t="s">
        <v>215</v>
      </c>
      <c r="C12" s="784" t="s">
        <v>190</v>
      </c>
      <c r="D12" s="785">
        <v>12486000</v>
      </c>
      <c r="E12" s="786"/>
      <c r="F12" s="785">
        <v>12486000</v>
      </c>
      <c r="G12" s="786"/>
      <c r="H12" s="787"/>
      <c r="I12" s="786"/>
      <c r="J12" s="778"/>
      <c r="K12" s="778"/>
      <c r="L12" s="779"/>
      <c r="M12" s="779"/>
      <c r="N12" s="784"/>
      <c r="O12" s="788"/>
      <c r="P12" s="789"/>
      <c r="Q12" s="790"/>
      <c r="R12" s="783"/>
      <c r="W12" s="793"/>
    </row>
    <row r="13" spans="1:23" ht="12" customHeight="1" x14ac:dyDescent="0.2">
      <c r="A13" s="1319"/>
      <c r="B13" s="783" t="s">
        <v>947</v>
      </c>
      <c r="C13" s="784"/>
      <c r="D13" s="785"/>
      <c r="E13" s="786"/>
      <c r="F13" s="778">
        <f>T13</f>
        <v>1666000</v>
      </c>
      <c r="G13" s="786"/>
      <c r="H13" s="787"/>
      <c r="I13" s="786"/>
      <c r="J13" s="778">
        <f>SUM(F13:I13)</f>
        <v>1666000</v>
      </c>
      <c r="K13" s="778"/>
      <c r="L13" s="779">
        <f t="shared" si="1"/>
        <v>-1666000</v>
      </c>
      <c r="M13" s="779">
        <f t="shared" si="2"/>
        <v>-1666000</v>
      </c>
      <c r="N13" s="784"/>
      <c r="O13" s="788"/>
      <c r="P13" s="789"/>
      <c r="Q13" s="790"/>
      <c r="R13" s="783"/>
      <c r="S13" s="751" t="s">
        <v>948</v>
      </c>
      <c r="T13" s="751">
        <f>SUM(T7:T9)</f>
        <v>1666000</v>
      </c>
      <c r="W13" s="793"/>
    </row>
    <row r="14" spans="1:23" ht="12" customHeight="1" x14ac:dyDescent="0.2">
      <c r="A14" s="1319"/>
      <c r="B14" s="783"/>
      <c r="C14" s="784"/>
      <c r="D14" s="785"/>
      <c r="E14" s="786"/>
      <c r="F14" s="778"/>
      <c r="G14" s="786"/>
      <c r="H14" s="787"/>
      <c r="I14" s="786"/>
      <c r="J14" s="778">
        <f t="shared" si="0"/>
        <v>0</v>
      </c>
      <c r="K14" s="778"/>
      <c r="L14" s="779">
        <f t="shared" si="1"/>
        <v>0</v>
      </c>
      <c r="M14" s="779">
        <f t="shared" si="2"/>
        <v>0</v>
      </c>
      <c r="N14" s="784"/>
      <c r="O14" s="788"/>
      <c r="P14" s="789"/>
      <c r="Q14" s="790"/>
      <c r="R14" s="783"/>
      <c r="W14" s="793"/>
    </row>
    <row r="15" spans="1:23" s="807" customFormat="1" ht="12" customHeight="1" x14ac:dyDescent="0.2">
      <c r="A15" s="794" t="s">
        <v>949</v>
      </c>
      <c r="B15" s="795" t="s">
        <v>950</v>
      </c>
      <c r="C15" s="796"/>
      <c r="D15" s="797"/>
      <c r="E15" s="798"/>
      <c r="F15" s="799"/>
      <c r="G15" s="798"/>
      <c r="H15" s="800"/>
      <c r="I15" s="798"/>
      <c r="J15" s="801">
        <f>SUM(J6:J14)</f>
        <v>28138600</v>
      </c>
      <c r="K15" s="801">
        <f>SUM(K6:K14)</f>
        <v>0</v>
      </c>
      <c r="L15" s="801">
        <f>SUM(L6:L14)</f>
        <v>-1666000</v>
      </c>
      <c r="M15" s="801">
        <f>SUM(M6:M14)</f>
        <v>-1666000</v>
      </c>
      <c r="N15" s="796"/>
      <c r="O15" s="802"/>
      <c r="P15" s="803"/>
      <c r="Q15" s="804"/>
      <c r="R15" s="805"/>
      <c r="S15" s="806"/>
      <c r="T15" s="806"/>
      <c r="U15" s="806"/>
      <c r="V15" s="806"/>
    </row>
    <row r="16" spans="1:23" ht="12" customHeight="1" x14ac:dyDescent="0.2">
      <c r="A16" s="1318" t="s">
        <v>951</v>
      </c>
      <c r="B16" s="790" t="s">
        <v>692</v>
      </c>
      <c r="C16" s="784" t="s">
        <v>416</v>
      </c>
      <c r="D16" s="774">
        <v>1100000</v>
      </c>
      <c r="E16" s="775"/>
      <c r="F16" s="776">
        <v>1100000</v>
      </c>
      <c r="G16" s="775"/>
      <c r="H16" s="777"/>
      <c r="I16" s="775"/>
      <c r="J16" s="778">
        <f>SUM(F16:I16)</f>
        <v>1100000</v>
      </c>
      <c r="K16" s="778"/>
      <c r="L16" s="779">
        <f t="shared" ref="L16:L21" si="3">IF(E16="",D16-J16-K16,E16-J16-K16)</f>
        <v>0</v>
      </c>
      <c r="M16" s="779">
        <f t="shared" ref="M16:M21" si="4">K16+L16</f>
        <v>0</v>
      </c>
      <c r="N16" s="773" t="s">
        <v>698</v>
      </c>
      <c r="O16" s="780">
        <v>43971</v>
      </c>
      <c r="P16" s="781"/>
      <c r="Q16" s="782"/>
      <c r="R16" s="783" t="s">
        <v>943</v>
      </c>
      <c r="S16" s="751" t="s">
        <v>952</v>
      </c>
    </row>
    <row r="17" spans="1:22" ht="12" customHeight="1" x14ac:dyDescent="0.2">
      <c r="A17" s="1319"/>
      <c r="B17" s="790" t="s">
        <v>31</v>
      </c>
      <c r="C17" s="784" t="s">
        <v>700</v>
      </c>
      <c r="D17" s="785">
        <v>14425600</v>
      </c>
      <c r="E17" s="786"/>
      <c r="F17" s="778">
        <v>14425600</v>
      </c>
      <c r="G17" s="786"/>
      <c r="H17" s="787"/>
      <c r="I17" s="786"/>
      <c r="J17" s="778">
        <f t="shared" ref="J17:J26" si="5">SUM(F17:I17)</f>
        <v>14425600</v>
      </c>
      <c r="K17" s="778"/>
      <c r="L17" s="779">
        <f t="shared" si="3"/>
        <v>0</v>
      </c>
      <c r="M17" s="779">
        <f t="shared" si="4"/>
        <v>0</v>
      </c>
      <c r="N17" s="784"/>
      <c r="O17" s="788"/>
      <c r="P17" s="789"/>
      <c r="Q17" s="790"/>
      <c r="R17" s="783" t="s">
        <v>943</v>
      </c>
      <c r="S17" s="751" t="s">
        <v>953</v>
      </c>
      <c r="T17" s="751">
        <v>240000</v>
      </c>
    </row>
    <row r="18" spans="1:22" ht="12" customHeight="1" x14ac:dyDescent="0.2">
      <c r="A18" s="1319"/>
      <c r="B18" s="790" t="s">
        <v>31</v>
      </c>
      <c r="C18" s="784" t="s">
        <v>700</v>
      </c>
      <c r="D18" s="785">
        <v>3158000</v>
      </c>
      <c r="E18" s="786"/>
      <c r="F18" s="778">
        <v>3158000</v>
      </c>
      <c r="G18" s="786"/>
      <c r="H18" s="787"/>
      <c r="I18" s="786"/>
      <c r="J18" s="778">
        <f t="shared" si="5"/>
        <v>3158000</v>
      </c>
      <c r="K18" s="778"/>
      <c r="L18" s="779">
        <f t="shared" si="3"/>
        <v>0</v>
      </c>
      <c r="M18" s="779">
        <f t="shared" si="4"/>
        <v>0</v>
      </c>
      <c r="N18" s="784"/>
      <c r="O18" s="788"/>
      <c r="P18" s="789"/>
      <c r="Q18" s="790"/>
      <c r="R18" s="783" t="s">
        <v>943</v>
      </c>
      <c r="S18" s="751" t="s">
        <v>954</v>
      </c>
      <c r="T18" s="751">
        <v>876000</v>
      </c>
    </row>
    <row r="19" spans="1:22" ht="12" customHeight="1" x14ac:dyDescent="0.2">
      <c r="A19" s="1319"/>
      <c r="B19" s="790" t="s">
        <v>883</v>
      </c>
      <c r="C19" s="784" t="s">
        <v>704</v>
      </c>
      <c r="D19" s="785">
        <v>7700000</v>
      </c>
      <c r="E19" s="786"/>
      <c r="F19" s="778">
        <v>7700000</v>
      </c>
      <c r="G19" s="786"/>
      <c r="H19" s="787"/>
      <c r="I19" s="786"/>
      <c r="J19" s="778">
        <f t="shared" si="5"/>
        <v>7700000</v>
      </c>
      <c r="K19" s="778"/>
      <c r="L19" s="779">
        <f t="shared" si="3"/>
        <v>0</v>
      </c>
      <c r="M19" s="779">
        <f t="shared" si="4"/>
        <v>0</v>
      </c>
      <c r="N19" s="784"/>
      <c r="O19" s="788"/>
      <c r="P19" s="789"/>
      <c r="Q19" s="790"/>
      <c r="R19" s="783"/>
      <c r="S19" s="751" t="s">
        <v>955</v>
      </c>
      <c r="T19" s="751">
        <v>1370000</v>
      </c>
    </row>
    <row r="20" spans="1:22" ht="12" customHeight="1" x14ac:dyDescent="0.2">
      <c r="A20" s="1319"/>
      <c r="B20" s="790" t="s">
        <v>706</v>
      </c>
      <c r="C20" s="784" t="s">
        <v>104</v>
      </c>
      <c r="D20" s="785">
        <v>10000000</v>
      </c>
      <c r="E20" s="786"/>
      <c r="F20" s="778">
        <v>10000000</v>
      </c>
      <c r="G20" s="786"/>
      <c r="H20" s="787"/>
      <c r="I20" s="786"/>
      <c r="J20" s="778">
        <f t="shared" si="5"/>
        <v>10000000</v>
      </c>
      <c r="K20" s="778"/>
      <c r="L20" s="779">
        <f t="shared" si="3"/>
        <v>0</v>
      </c>
      <c r="M20" s="779">
        <f t="shared" si="4"/>
        <v>0</v>
      </c>
      <c r="N20" s="784"/>
      <c r="O20" s="788"/>
      <c r="P20" s="789"/>
      <c r="Q20" s="790"/>
      <c r="R20" s="783"/>
    </row>
    <row r="21" spans="1:22" ht="12" customHeight="1" x14ac:dyDescent="0.2">
      <c r="A21" s="1319"/>
      <c r="B21" s="790" t="s">
        <v>707</v>
      </c>
      <c r="C21" s="784" t="s">
        <v>708</v>
      </c>
      <c r="D21" s="785">
        <v>2550000</v>
      </c>
      <c r="E21" s="786"/>
      <c r="F21" s="778">
        <v>2550000</v>
      </c>
      <c r="G21" s="786"/>
      <c r="H21" s="787"/>
      <c r="I21" s="786"/>
      <c r="J21" s="778">
        <f t="shared" si="5"/>
        <v>2550000</v>
      </c>
      <c r="K21" s="778"/>
      <c r="L21" s="779">
        <f t="shared" si="3"/>
        <v>0</v>
      </c>
      <c r="M21" s="779">
        <f t="shared" si="4"/>
        <v>0</v>
      </c>
      <c r="N21" s="784"/>
      <c r="O21" s="788"/>
      <c r="P21" s="789"/>
      <c r="Q21" s="790"/>
      <c r="R21" s="783"/>
    </row>
    <row r="22" spans="1:22" ht="12" customHeight="1" x14ac:dyDescent="0.2">
      <c r="A22" s="1319"/>
      <c r="B22" s="790" t="s">
        <v>709</v>
      </c>
      <c r="C22" s="784" t="s">
        <v>168</v>
      </c>
      <c r="D22" s="785">
        <v>10700000</v>
      </c>
      <c r="E22" s="786"/>
      <c r="F22" s="778">
        <v>10700000</v>
      </c>
      <c r="G22" s="786"/>
      <c r="H22" s="787"/>
      <c r="I22" s="786"/>
      <c r="J22" s="778">
        <f>SUM(F22:I22)</f>
        <v>10700000</v>
      </c>
      <c r="K22" s="778"/>
      <c r="L22" s="779">
        <f>IF(E22="",D22-J22-K22,E22-J22-K22)</f>
        <v>0</v>
      </c>
      <c r="M22" s="779">
        <f>K22+L22</f>
        <v>0</v>
      </c>
      <c r="N22" s="784"/>
      <c r="O22" s="788"/>
      <c r="P22" s="789"/>
      <c r="Q22" s="790"/>
      <c r="R22" s="783"/>
    </row>
    <row r="23" spans="1:22" ht="12" customHeight="1" x14ac:dyDescent="0.2">
      <c r="A23" s="1319"/>
      <c r="B23" s="790" t="s">
        <v>710</v>
      </c>
      <c r="C23" s="784" t="s">
        <v>711</v>
      </c>
      <c r="D23" s="785">
        <v>3800000</v>
      </c>
      <c r="E23" s="786"/>
      <c r="F23" s="778">
        <v>3800000</v>
      </c>
      <c r="G23" s="786"/>
      <c r="H23" s="787"/>
      <c r="I23" s="786"/>
      <c r="J23" s="778">
        <f>SUM(F23:I23)</f>
        <v>3800000</v>
      </c>
      <c r="K23" s="778"/>
      <c r="L23" s="779">
        <f>IF(E23="",D23-J23-K23,E23-J23-K23)</f>
        <v>0</v>
      </c>
      <c r="M23" s="779">
        <f>K23+L23</f>
        <v>0</v>
      </c>
      <c r="N23" s="784"/>
      <c r="O23" s="788"/>
      <c r="P23" s="789"/>
      <c r="Q23" s="790"/>
      <c r="R23" s="783"/>
    </row>
    <row r="24" spans="1:22" ht="12" customHeight="1" x14ac:dyDescent="0.2">
      <c r="A24" s="1319"/>
      <c r="B24" s="790" t="s">
        <v>712</v>
      </c>
      <c r="C24" s="784" t="s">
        <v>956</v>
      </c>
      <c r="D24" s="785">
        <v>11436000</v>
      </c>
      <c r="E24" s="786"/>
      <c r="F24" s="808">
        <f>19004000-7568000</f>
        <v>11436000</v>
      </c>
      <c r="G24" s="786"/>
      <c r="H24" s="787"/>
      <c r="I24" s="786"/>
      <c r="J24" s="778">
        <f>SUM(F24:I24)</f>
        <v>11436000</v>
      </c>
      <c r="K24" s="778"/>
      <c r="L24" s="779">
        <f>IF(E24="",D24-J24-K24,E24-J24-K24)</f>
        <v>0</v>
      </c>
      <c r="M24" s="779">
        <f>K24+L24</f>
        <v>0</v>
      </c>
      <c r="N24" s="784"/>
      <c r="O24" s="788"/>
      <c r="P24" s="789"/>
      <c r="Q24" s="790"/>
      <c r="R24" s="783" t="s">
        <v>957</v>
      </c>
    </row>
    <row r="25" spans="1:22" ht="12" customHeight="1" x14ac:dyDescent="0.2">
      <c r="A25" s="1319"/>
      <c r="B25" s="790" t="s">
        <v>947</v>
      </c>
      <c r="C25" s="784"/>
      <c r="D25" s="785"/>
      <c r="E25" s="786"/>
      <c r="F25" s="778">
        <f>T25</f>
        <v>2486000</v>
      </c>
      <c r="G25" s="786"/>
      <c r="H25" s="787"/>
      <c r="I25" s="786"/>
      <c r="J25" s="778">
        <f>SUM(F25:I25)</f>
        <v>2486000</v>
      </c>
      <c r="K25" s="778"/>
      <c r="L25" s="779">
        <f>IF(E25="",D25-J25-K25,E25-J25-K25)</f>
        <v>-2486000</v>
      </c>
      <c r="M25" s="779">
        <f>K25+L25</f>
        <v>-2486000</v>
      </c>
      <c r="N25" s="784"/>
      <c r="O25" s="788"/>
      <c r="P25" s="789"/>
      <c r="Q25" s="790"/>
      <c r="R25" s="783"/>
      <c r="S25" s="751" t="s">
        <v>948</v>
      </c>
      <c r="T25" s="751">
        <f>SUM(T17:T24)</f>
        <v>2486000</v>
      </c>
    </row>
    <row r="26" spans="1:22" ht="15.95" hidden="1" customHeight="1" x14ac:dyDescent="0.2">
      <c r="A26" s="1189"/>
      <c r="B26" s="790"/>
      <c r="C26" s="784"/>
      <c r="D26" s="785"/>
      <c r="E26" s="786"/>
      <c r="F26" s="778"/>
      <c r="G26" s="786"/>
      <c r="H26" s="787"/>
      <c r="I26" s="786"/>
      <c r="J26" s="778">
        <f t="shared" si="5"/>
        <v>0</v>
      </c>
      <c r="K26" s="778"/>
      <c r="L26" s="779">
        <f>IF(E26="",D26-J26-K26,E26-J26-K26)</f>
        <v>0</v>
      </c>
      <c r="M26" s="779">
        <f>IF(E26="",D26-J26+K26,E26-J26+K26)</f>
        <v>0</v>
      </c>
      <c r="N26" s="784"/>
      <c r="O26" s="788"/>
      <c r="P26" s="789"/>
      <c r="Q26" s="790"/>
      <c r="R26" s="783"/>
    </row>
    <row r="27" spans="1:22" s="807" customFormat="1" ht="15.75" customHeight="1" x14ac:dyDescent="0.2">
      <c r="A27" s="794" t="s">
        <v>949</v>
      </c>
      <c r="B27" s="809" t="s">
        <v>958</v>
      </c>
      <c r="C27" s="796"/>
      <c r="D27" s="797"/>
      <c r="E27" s="798"/>
      <c r="F27" s="799"/>
      <c r="G27" s="798"/>
      <c r="H27" s="800"/>
      <c r="I27" s="798"/>
      <c r="J27" s="801">
        <f>SUM(J16:J26)</f>
        <v>67355600</v>
      </c>
      <c r="K27" s="801">
        <f>SUM(K16:K26)</f>
        <v>0</v>
      </c>
      <c r="L27" s="801">
        <f>SUM(L16:L26)</f>
        <v>-2486000</v>
      </c>
      <c r="M27" s="801">
        <f>SUM(M16:M26)</f>
        <v>-2486000</v>
      </c>
      <c r="N27" s="796"/>
      <c r="O27" s="802"/>
      <c r="P27" s="803"/>
      <c r="Q27" s="804"/>
      <c r="R27" s="805"/>
      <c r="S27" s="806"/>
      <c r="T27" s="806"/>
      <c r="U27" s="806"/>
      <c r="V27" s="806"/>
    </row>
    <row r="28" spans="1:22" x14ac:dyDescent="0.2">
      <c r="A28" s="1321" t="s">
        <v>959</v>
      </c>
      <c r="B28" s="772" t="s">
        <v>715</v>
      </c>
      <c r="C28" s="773" t="s">
        <v>716</v>
      </c>
      <c r="D28" s="774">
        <v>34848000</v>
      </c>
      <c r="E28" s="775">
        <v>37950000</v>
      </c>
      <c r="F28" s="776">
        <v>17424000</v>
      </c>
      <c r="G28" s="775">
        <v>20526000</v>
      </c>
      <c r="H28" s="777"/>
      <c r="I28" s="775"/>
      <c r="J28" s="776">
        <f>SUM(F28:I28)</f>
        <v>37950000</v>
      </c>
      <c r="K28" s="776"/>
      <c r="L28" s="779">
        <f>IF(E28="",D28-J28-K28,E28-J28-K28)</f>
        <v>0</v>
      </c>
      <c r="M28" s="779">
        <f>K28+L28</f>
        <v>0</v>
      </c>
      <c r="N28" s="773"/>
      <c r="O28" s="780"/>
      <c r="P28" s="781"/>
      <c r="Q28" s="782"/>
      <c r="R28" s="783" t="s">
        <v>943</v>
      </c>
      <c r="S28" s="751" t="s">
        <v>952</v>
      </c>
    </row>
    <row r="29" spans="1:22" x14ac:dyDescent="0.2">
      <c r="A29" s="1320"/>
      <c r="B29" s="783" t="s">
        <v>31</v>
      </c>
      <c r="C29" s="784" t="s">
        <v>168</v>
      </c>
      <c r="D29" s="785">
        <v>64710000</v>
      </c>
      <c r="E29" s="792">
        <v>68836000</v>
      </c>
      <c r="F29" s="778">
        <v>19413000</v>
      </c>
      <c r="G29" s="792">
        <v>27534400</v>
      </c>
      <c r="H29" s="787">
        <v>21888600</v>
      </c>
      <c r="I29" s="786"/>
      <c r="J29" s="778">
        <f>SUM(F29:I29)</f>
        <v>68836000</v>
      </c>
      <c r="K29" s="778"/>
      <c r="L29" s="779">
        <f>IF(E29="",D29-J29-K29,E29-J29-K29)</f>
        <v>0</v>
      </c>
      <c r="M29" s="779">
        <f>K29+L29</f>
        <v>0</v>
      </c>
      <c r="N29" s="784"/>
      <c r="O29" s="788"/>
      <c r="P29" s="789"/>
      <c r="Q29" s="790"/>
      <c r="R29" s="783"/>
      <c r="S29" s="751" t="s">
        <v>960</v>
      </c>
      <c r="T29" s="751">
        <v>720000</v>
      </c>
    </row>
    <row r="30" spans="1:22" x14ac:dyDescent="0.2">
      <c r="A30" s="1320"/>
      <c r="B30" s="783" t="s">
        <v>720</v>
      </c>
      <c r="C30" s="784" t="s">
        <v>721</v>
      </c>
      <c r="D30" s="785">
        <v>10785940</v>
      </c>
      <c r="E30" s="786"/>
      <c r="F30" s="778">
        <v>4347970</v>
      </c>
      <c r="G30" s="786">
        <v>6437970</v>
      </c>
      <c r="H30" s="787"/>
      <c r="I30" s="786"/>
      <c r="J30" s="778">
        <f>SUM(F30:I30)</f>
        <v>10785940</v>
      </c>
      <c r="K30" s="778"/>
      <c r="L30" s="779">
        <f t="shared" ref="L30:L67" si="6">IF(E30="",D30-J30-K30,E30-J30-K30)</f>
        <v>0</v>
      </c>
      <c r="M30" s="779">
        <f t="shared" ref="M30:M67" si="7">K30+L30</f>
        <v>0</v>
      </c>
      <c r="N30" s="784"/>
      <c r="O30" s="788"/>
      <c r="P30" s="789"/>
      <c r="Q30" s="790"/>
      <c r="R30" s="783" t="s">
        <v>943</v>
      </c>
      <c r="S30" s="751" t="s">
        <v>953</v>
      </c>
      <c r="T30" s="751">
        <v>5076000</v>
      </c>
    </row>
    <row r="31" spans="1:22" x14ac:dyDescent="0.2">
      <c r="A31" s="1320"/>
      <c r="B31" s="783" t="s">
        <v>723</v>
      </c>
      <c r="C31" s="784" t="s">
        <v>352</v>
      </c>
      <c r="D31" s="785">
        <v>20033200</v>
      </c>
      <c r="E31" s="786">
        <v>19487226</v>
      </c>
      <c r="F31" s="778">
        <v>10016600</v>
      </c>
      <c r="G31" s="786">
        <v>9470626</v>
      </c>
      <c r="H31" s="787"/>
      <c r="I31" s="786"/>
      <c r="J31" s="778">
        <f>SUM(F31:I31)</f>
        <v>19487226</v>
      </c>
      <c r="K31" s="778"/>
      <c r="L31" s="779">
        <f t="shared" si="6"/>
        <v>0</v>
      </c>
      <c r="M31" s="779">
        <f t="shared" si="7"/>
        <v>0</v>
      </c>
      <c r="N31" s="784"/>
      <c r="O31" s="788"/>
      <c r="P31" s="789"/>
      <c r="Q31" s="790"/>
      <c r="R31" s="783" t="s">
        <v>943</v>
      </c>
      <c r="S31" s="751" t="s">
        <v>954</v>
      </c>
      <c r="T31" s="751">
        <v>2427000</v>
      </c>
    </row>
    <row r="32" spans="1:22" x14ac:dyDescent="0.2">
      <c r="A32" s="1320"/>
      <c r="B32" s="783" t="s">
        <v>515</v>
      </c>
      <c r="C32" s="784" t="s">
        <v>229</v>
      </c>
      <c r="D32" s="785">
        <v>68622400</v>
      </c>
      <c r="E32" s="786">
        <v>72890400</v>
      </c>
      <c r="F32" s="778">
        <v>34300000</v>
      </c>
      <c r="G32" s="786">
        <v>38590400</v>
      </c>
      <c r="H32" s="787"/>
      <c r="I32" s="786"/>
      <c r="J32" s="778">
        <f>SUM(F32:I32)</f>
        <v>72890400</v>
      </c>
      <c r="K32" s="778"/>
      <c r="L32" s="779">
        <f t="shared" si="6"/>
        <v>0</v>
      </c>
      <c r="M32" s="779">
        <f t="shared" si="7"/>
        <v>0</v>
      </c>
      <c r="N32" s="784"/>
      <c r="O32" s="788"/>
      <c r="P32" s="789">
        <v>72890400</v>
      </c>
      <c r="Q32" s="790"/>
      <c r="R32" s="783" t="s">
        <v>943</v>
      </c>
      <c r="S32" s="751" t="s">
        <v>955</v>
      </c>
      <c r="T32" s="751">
        <v>4258000</v>
      </c>
    </row>
    <row r="33" spans="1:20" x14ac:dyDescent="0.2">
      <c r="A33" s="1320"/>
      <c r="B33" s="783" t="s">
        <v>726</v>
      </c>
      <c r="C33" s="784" t="s">
        <v>727</v>
      </c>
      <c r="D33" s="785">
        <v>4000000</v>
      </c>
      <c r="E33" s="786"/>
      <c r="F33" s="778">
        <v>4000000</v>
      </c>
      <c r="G33" s="786"/>
      <c r="H33" s="787"/>
      <c r="I33" s="786"/>
      <c r="J33" s="778">
        <f t="shared" ref="J33:J54" si="8">SUM(F33:I33)</f>
        <v>4000000</v>
      </c>
      <c r="K33" s="778"/>
      <c r="L33" s="779">
        <f t="shared" si="6"/>
        <v>0</v>
      </c>
      <c r="M33" s="779">
        <f t="shared" si="7"/>
        <v>0</v>
      </c>
      <c r="N33" s="784"/>
      <c r="O33" s="788"/>
      <c r="P33" s="789"/>
      <c r="Q33" s="790"/>
      <c r="R33" s="783"/>
      <c r="S33" s="751" t="s">
        <v>961</v>
      </c>
      <c r="T33" s="751">
        <v>3440000</v>
      </c>
    </row>
    <row r="34" spans="1:20" x14ac:dyDescent="0.2">
      <c r="A34" s="1320"/>
      <c r="B34" s="783" t="s">
        <v>692</v>
      </c>
      <c r="C34" s="784" t="s">
        <v>416</v>
      </c>
      <c r="D34" s="785">
        <v>1477872</v>
      </c>
      <c r="E34" s="786"/>
      <c r="F34" s="778">
        <v>1477872</v>
      </c>
      <c r="G34" s="786"/>
      <c r="H34" s="787"/>
      <c r="I34" s="786"/>
      <c r="J34" s="778">
        <f t="shared" si="8"/>
        <v>1477872</v>
      </c>
      <c r="K34" s="778"/>
      <c r="L34" s="779">
        <f t="shared" si="6"/>
        <v>0</v>
      </c>
      <c r="M34" s="779">
        <f t="shared" si="7"/>
        <v>0</v>
      </c>
      <c r="N34" s="784"/>
      <c r="O34" s="788"/>
      <c r="P34" s="789"/>
      <c r="Q34" s="790"/>
      <c r="R34" s="783" t="s">
        <v>943</v>
      </c>
      <c r="S34" s="751" t="s">
        <v>944</v>
      </c>
      <c r="T34" s="751">
        <v>1768000</v>
      </c>
    </row>
    <row r="35" spans="1:20" x14ac:dyDescent="0.2">
      <c r="A35" s="1320"/>
      <c r="B35" s="783" t="s">
        <v>99</v>
      </c>
      <c r="C35" s="784" t="s">
        <v>100</v>
      </c>
      <c r="D35" s="785">
        <v>228460000</v>
      </c>
      <c r="E35" s="786">
        <v>222905000</v>
      </c>
      <c r="F35" s="778">
        <v>68538000</v>
      </c>
      <c r="G35" s="792">
        <v>91384000</v>
      </c>
      <c r="H35" s="787">
        <v>51838000</v>
      </c>
      <c r="I35" s="786"/>
      <c r="J35" s="778">
        <f t="shared" si="8"/>
        <v>211760000</v>
      </c>
      <c r="K35" s="778">
        <f>11145000</f>
        <v>11145000</v>
      </c>
      <c r="L35" s="779">
        <f t="shared" si="6"/>
        <v>0</v>
      </c>
      <c r="M35" s="779">
        <f t="shared" si="7"/>
        <v>11145000</v>
      </c>
      <c r="N35" s="784"/>
      <c r="O35" s="788"/>
      <c r="P35" s="789" t="s">
        <v>962</v>
      </c>
      <c r="Q35" s="790"/>
      <c r="R35" s="783" t="s">
        <v>943</v>
      </c>
      <c r="S35" s="751" t="s">
        <v>963</v>
      </c>
      <c r="T35" s="751">
        <v>605000</v>
      </c>
    </row>
    <row r="36" spans="1:20" ht="22.5" x14ac:dyDescent="0.2">
      <c r="A36" s="1320"/>
      <c r="B36" s="783" t="s">
        <v>92</v>
      </c>
      <c r="C36" s="860" t="s">
        <v>204</v>
      </c>
      <c r="D36" s="785">
        <v>83430750</v>
      </c>
      <c r="E36" s="786">
        <v>85412200</v>
      </c>
      <c r="F36" s="778">
        <v>27532147</v>
      </c>
      <c r="G36" s="792">
        <v>36709530</v>
      </c>
      <c r="H36" s="787">
        <v>21170523</v>
      </c>
      <c r="I36" s="786"/>
      <c r="J36" s="778">
        <f t="shared" si="8"/>
        <v>85412200</v>
      </c>
      <c r="K36" s="778"/>
      <c r="L36" s="779">
        <f t="shared" si="6"/>
        <v>0</v>
      </c>
      <c r="M36" s="779">
        <f t="shared" si="7"/>
        <v>0</v>
      </c>
      <c r="N36" s="784"/>
      <c r="O36" s="788"/>
      <c r="P36" s="789" t="s">
        <v>962</v>
      </c>
      <c r="Q36" s="790"/>
      <c r="R36" s="783" t="s">
        <v>943</v>
      </c>
      <c r="S36" s="751" t="s">
        <v>964</v>
      </c>
      <c r="T36" s="751">
        <v>400000</v>
      </c>
    </row>
    <row r="37" spans="1:20" x14ac:dyDescent="0.2">
      <c r="A37" s="1320"/>
      <c r="B37" s="783" t="s">
        <v>50</v>
      </c>
      <c r="C37" s="784" t="s">
        <v>730</v>
      </c>
      <c r="D37" s="785">
        <v>82080000</v>
      </c>
      <c r="E37" s="786"/>
      <c r="F37" s="778">
        <v>32832000</v>
      </c>
      <c r="G37" s="792">
        <v>49248000</v>
      </c>
      <c r="H37" s="787"/>
      <c r="I37" s="786"/>
      <c r="J37" s="778">
        <f t="shared" si="8"/>
        <v>82080000</v>
      </c>
      <c r="K37" s="778"/>
      <c r="L37" s="779">
        <f t="shared" si="6"/>
        <v>0</v>
      </c>
      <c r="M37" s="779">
        <f t="shared" si="7"/>
        <v>0</v>
      </c>
      <c r="N37" s="784"/>
      <c r="O37" s="788"/>
      <c r="P37" s="789"/>
      <c r="Q37" s="790"/>
      <c r="R37" s="783" t="s">
        <v>943</v>
      </c>
      <c r="S37" s="751" t="s">
        <v>965</v>
      </c>
      <c r="T37" s="751">
        <v>610000</v>
      </c>
    </row>
    <row r="38" spans="1:20" x14ac:dyDescent="0.2">
      <c r="A38" s="1320"/>
      <c r="B38" s="783" t="s">
        <v>132</v>
      </c>
      <c r="C38" s="784" t="s">
        <v>731</v>
      </c>
      <c r="D38" s="785">
        <v>42487500</v>
      </c>
      <c r="E38" s="786"/>
      <c r="F38" s="778">
        <v>21243750</v>
      </c>
      <c r="G38" s="792">
        <v>21243750</v>
      </c>
      <c r="H38" s="787"/>
      <c r="I38" s="786"/>
      <c r="J38" s="778">
        <f t="shared" si="8"/>
        <v>42487500</v>
      </c>
      <c r="K38" s="778"/>
      <c r="L38" s="779">
        <f t="shared" si="6"/>
        <v>0</v>
      </c>
      <c r="M38" s="779">
        <f t="shared" si="7"/>
        <v>0</v>
      </c>
      <c r="N38" s="784"/>
      <c r="O38" s="788"/>
      <c r="P38" s="789"/>
      <c r="Q38" s="790"/>
      <c r="R38" s="783" t="s">
        <v>943</v>
      </c>
    </row>
    <row r="39" spans="1:20" x14ac:dyDescent="0.2">
      <c r="A39" s="1320"/>
      <c r="B39" s="783" t="s">
        <v>966</v>
      </c>
      <c r="C39" s="810" t="s">
        <v>967</v>
      </c>
      <c r="D39" s="785"/>
      <c r="E39" s="786">
        <v>56446460</v>
      </c>
      <c r="F39" s="778">
        <v>9690240</v>
      </c>
      <c r="G39" s="792">
        <v>46500000</v>
      </c>
      <c r="H39" s="787"/>
      <c r="I39" s="786"/>
      <c r="J39" s="778">
        <f t="shared" si="8"/>
        <v>56190240</v>
      </c>
      <c r="K39" s="778"/>
      <c r="L39" s="779">
        <f t="shared" si="6"/>
        <v>256220</v>
      </c>
      <c r="M39" s="779">
        <f t="shared" si="7"/>
        <v>256220</v>
      </c>
      <c r="N39" s="784"/>
      <c r="O39" s="788"/>
      <c r="P39" s="789"/>
      <c r="Q39" s="790"/>
      <c r="R39" s="783" t="s">
        <v>968</v>
      </c>
    </row>
    <row r="40" spans="1:20" x14ac:dyDescent="0.2">
      <c r="A40" s="1320"/>
      <c r="B40" s="783" t="s">
        <v>732</v>
      </c>
      <c r="C40" s="784" t="s">
        <v>727</v>
      </c>
      <c r="D40" s="791">
        <f>J40</f>
        <v>5000000</v>
      </c>
      <c r="E40" s="786"/>
      <c r="F40" s="778">
        <v>5000000</v>
      </c>
      <c r="G40" s="786"/>
      <c r="H40" s="787"/>
      <c r="I40" s="786"/>
      <c r="J40" s="778">
        <f t="shared" si="8"/>
        <v>5000000</v>
      </c>
      <c r="K40" s="778"/>
      <c r="L40" s="779">
        <f t="shared" si="6"/>
        <v>0</v>
      </c>
      <c r="M40" s="779">
        <f t="shared" si="7"/>
        <v>0</v>
      </c>
      <c r="N40" s="784"/>
      <c r="O40" s="788"/>
      <c r="P40" s="789"/>
      <c r="Q40" s="790"/>
      <c r="R40" s="783"/>
    </row>
    <row r="41" spans="1:20" x14ac:dyDescent="0.2">
      <c r="A41" s="1320"/>
      <c r="B41" s="783" t="s">
        <v>733</v>
      </c>
      <c r="C41" s="784" t="s">
        <v>734</v>
      </c>
      <c r="D41" s="791">
        <f>J41</f>
        <v>5000000</v>
      </c>
      <c r="E41" s="786"/>
      <c r="F41" s="778">
        <v>5000000</v>
      </c>
      <c r="G41" s="786"/>
      <c r="H41" s="787"/>
      <c r="I41" s="786"/>
      <c r="J41" s="778">
        <f t="shared" si="8"/>
        <v>5000000</v>
      </c>
      <c r="K41" s="778"/>
      <c r="L41" s="779">
        <f t="shared" si="6"/>
        <v>0</v>
      </c>
      <c r="M41" s="779">
        <f t="shared" si="7"/>
        <v>0</v>
      </c>
      <c r="N41" s="784"/>
      <c r="O41" s="788"/>
      <c r="P41" s="789"/>
      <c r="Q41" s="790"/>
      <c r="R41" s="783"/>
    </row>
    <row r="42" spans="1:20" x14ac:dyDescent="0.2">
      <c r="A42" s="1320"/>
      <c r="B42" s="783" t="s">
        <v>735</v>
      </c>
      <c r="C42" s="784" t="s">
        <v>736</v>
      </c>
      <c r="D42" s="785">
        <v>35150000</v>
      </c>
      <c r="E42" s="786"/>
      <c r="F42" s="778">
        <v>24605000</v>
      </c>
      <c r="G42" s="792">
        <v>10545000</v>
      </c>
      <c r="H42" s="787"/>
      <c r="I42" s="786"/>
      <c r="J42" s="778">
        <f t="shared" si="8"/>
        <v>35150000</v>
      </c>
      <c r="K42" s="778"/>
      <c r="L42" s="779">
        <f t="shared" si="6"/>
        <v>0</v>
      </c>
      <c r="M42" s="779">
        <f t="shared" si="7"/>
        <v>0</v>
      </c>
      <c r="N42" s="784"/>
      <c r="O42" s="788"/>
      <c r="P42" s="789"/>
      <c r="Q42" s="790"/>
      <c r="R42" s="783" t="s">
        <v>943</v>
      </c>
    </row>
    <row r="43" spans="1:20" x14ac:dyDescent="0.2">
      <c r="A43" s="1320"/>
      <c r="B43" s="783" t="s">
        <v>170</v>
      </c>
      <c r="C43" s="784" t="s">
        <v>738</v>
      </c>
      <c r="D43" s="791">
        <f>J43</f>
        <v>9645000</v>
      </c>
      <c r="E43" s="786"/>
      <c r="F43" s="778">
        <v>9645000</v>
      </c>
      <c r="G43" s="786"/>
      <c r="H43" s="787"/>
      <c r="I43" s="786"/>
      <c r="J43" s="778">
        <f t="shared" si="8"/>
        <v>9645000</v>
      </c>
      <c r="K43" s="778"/>
      <c r="L43" s="779">
        <f t="shared" si="6"/>
        <v>0</v>
      </c>
      <c r="M43" s="779">
        <f t="shared" si="7"/>
        <v>0</v>
      </c>
      <c r="N43" s="784"/>
      <c r="O43" s="788"/>
      <c r="P43" s="789"/>
      <c r="Q43" s="790"/>
      <c r="R43" s="783"/>
    </row>
    <row r="44" spans="1:20" x14ac:dyDescent="0.2">
      <c r="A44" s="1320"/>
      <c r="B44" s="783" t="s">
        <v>292</v>
      </c>
      <c r="C44" s="784" t="s">
        <v>104</v>
      </c>
      <c r="D44" s="785">
        <v>16800000</v>
      </c>
      <c r="E44" s="786">
        <v>16800000</v>
      </c>
      <c r="F44" s="778">
        <v>11760000</v>
      </c>
      <c r="G44" s="786">
        <v>5040000</v>
      </c>
      <c r="H44" s="787"/>
      <c r="I44" s="786"/>
      <c r="J44" s="778">
        <f t="shared" si="8"/>
        <v>16800000</v>
      </c>
      <c r="K44" s="778"/>
      <c r="L44" s="779">
        <f t="shared" si="6"/>
        <v>0</v>
      </c>
      <c r="M44" s="779">
        <f t="shared" si="7"/>
        <v>0</v>
      </c>
      <c r="N44" s="784"/>
      <c r="O44" s="788"/>
      <c r="P44" s="789"/>
      <c r="Q44" s="790"/>
      <c r="R44" s="783"/>
    </row>
    <row r="45" spans="1:20" x14ac:dyDescent="0.2">
      <c r="A45" s="1320"/>
      <c r="B45" s="783" t="s">
        <v>514</v>
      </c>
      <c r="C45" s="784" t="s">
        <v>114</v>
      </c>
      <c r="D45" s="785">
        <v>1650000</v>
      </c>
      <c r="E45" s="786"/>
      <c r="F45" s="778">
        <v>1650000</v>
      </c>
      <c r="G45" s="786"/>
      <c r="H45" s="787"/>
      <c r="I45" s="786"/>
      <c r="J45" s="778">
        <f t="shared" si="8"/>
        <v>1650000</v>
      </c>
      <c r="K45" s="778"/>
      <c r="L45" s="779">
        <f t="shared" si="6"/>
        <v>0</v>
      </c>
      <c r="M45" s="779">
        <f t="shared" si="7"/>
        <v>0</v>
      </c>
      <c r="N45" s="784"/>
      <c r="O45" s="788"/>
      <c r="P45" s="789"/>
      <c r="Q45" s="790"/>
      <c r="R45" s="783" t="s">
        <v>957</v>
      </c>
    </row>
    <row r="46" spans="1:20" x14ac:dyDescent="0.2">
      <c r="A46" s="1320"/>
      <c r="B46" s="783" t="s">
        <v>340</v>
      </c>
      <c r="C46" s="784" t="s">
        <v>341</v>
      </c>
      <c r="D46" s="785">
        <v>11340000</v>
      </c>
      <c r="E46" s="786"/>
      <c r="F46" s="778">
        <v>4000000</v>
      </c>
      <c r="G46" s="786">
        <v>7340000</v>
      </c>
      <c r="H46" s="787"/>
      <c r="I46" s="786"/>
      <c r="J46" s="778">
        <f t="shared" si="8"/>
        <v>11340000</v>
      </c>
      <c r="K46" s="778"/>
      <c r="L46" s="779">
        <f t="shared" si="6"/>
        <v>0</v>
      </c>
      <c r="M46" s="779">
        <f t="shared" si="7"/>
        <v>0</v>
      </c>
      <c r="N46" s="784"/>
      <c r="O46" s="788"/>
      <c r="P46" s="789"/>
      <c r="Q46" s="790"/>
      <c r="R46" s="783"/>
    </row>
    <row r="47" spans="1:20" ht="15" customHeight="1" x14ac:dyDescent="0.2">
      <c r="A47" s="1320"/>
      <c r="B47" s="783" t="s">
        <v>739</v>
      </c>
      <c r="C47" s="784" t="s">
        <v>727</v>
      </c>
      <c r="D47" s="791">
        <f>J47</f>
        <v>2000000</v>
      </c>
      <c r="E47" s="786"/>
      <c r="F47" s="808">
        <v>2000000</v>
      </c>
      <c r="G47" s="786"/>
      <c r="H47" s="787"/>
      <c r="I47" s="786"/>
      <c r="J47" s="778">
        <f t="shared" si="8"/>
        <v>2000000</v>
      </c>
      <c r="K47" s="778"/>
      <c r="L47" s="779">
        <f t="shared" si="6"/>
        <v>0</v>
      </c>
      <c r="M47" s="779">
        <f t="shared" si="7"/>
        <v>0</v>
      </c>
      <c r="N47" s="784"/>
      <c r="O47" s="788"/>
      <c r="P47" s="789"/>
      <c r="Q47" s="790"/>
      <c r="R47" s="783"/>
    </row>
    <row r="48" spans="1:20" x14ac:dyDescent="0.2">
      <c r="A48" s="1320"/>
      <c r="B48" s="783" t="s">
        <v>740</v>
      </c>
      <c r="C48" s="784" t="s">
        <v>397</v>
      </c>
      <c r="D48" s="785">
        <f>40174200+3423750</f>
        <v>43597950</v>
      </c>
      <c r="E48" s="786"/>
      <c r="F48" s="778">
        <v>40174200</v>
      </c>
      <c r="G48" s="786">
        <v>3423750</v>
      </c>
      <c r="H48" s="787"/>
      <c r="I48" s="786"/>
      <c r="J48" s="778">
        <f t="shared" si="8"/>
        <v>43597950</v>
      </c>
      <c r="K48" s="778"/>
      <c r="L48" s="779">
        <f t="shared" si="6"/>
        <v>0</v>
      </c>
      <c r="M48" s="779">
        <f t="shared" si="7"/>
        <v>0</v>
      </c>
      <c r="N48" s="784"/>
      <c r="O48" s="788"/>
      <c r="P48" s="789"/>
      <c r="Q48" s="790"/>
      <c r="R48" s="783"/>
    </row>
    <row r="49" spans="1:18" ht="15" customHeight="1" x14ac:dyDescent="0.2">
      <c r="A49" s="1320" t="s">
        <v>959</v>
      </c>
      <c r="B49" s="783" t="s">
        <v>715</v>
      </c>
      <c r="C49" s="784" t="s">
        <v>229</v>
      </c>
      <c r="D49" s="785">
        <v>30254400</v>
      </c>
      <c r="E49" s="786">
        <v>31509500</v>
      </c>
      <c r="F49" s="778">
        <v>15127200</v>
      </c>
      <c r="G49" s="792">
        <v>16382300</v>
      </c>
      <c r="H49" s="787"/>
      <c r="I49" s="786"/>
      <c r="J49" s="778">
        <f t="shared" si="8"/>
        <v>31509500</v>
      </c>
      <c r="K49" s="778"/>
      <c r="L49" s="779">
        <f t="shared" si="6"/>
        <v>0</v>
      </c>
      <c r="M49" s="779">
        <f t="shared" si="7"/>
        <v>0</v>
      </c>
      <c r="N49" s="784" t="s">
        <v>969</v>
      </c>
      <c r="O49" s="788">
        <v>43977</v>
      </c>
      <c r="P49" s="789">
        <v>31509500</v>
      </c>
      <c r="Q49" s="790"/>
      <c r="R49" s="783" t="s">
        <v>943</v>
      </c>
    </row>
    <row r="50" spans="1:18" ht="22.5" x14ac:dyDescent="0.2">
      <c r="A50" s="1320"/>
      <c r="B50" s="783" t="s">
        <v>50</v>
      </c>
      <c r="C50" s="860" t="s">
        <v>65</v>
      </c>
      <c r="D50" s="785">
        <v>6930000</v>
      </c>
      <c r="E50" s="786">
        <v>6930000</v>
      </c>
      <c r="F50" s="778">
        <v>3150000</v>
      </c>
      <c r="G50" s="786">
        <v>3780000</v>
      </c>
      <c r="H50" s="787"/>
      <c r="I50" s="786"/>
      <c r="J50" s="778">
        <f t="shared" si="8"/>
        <v>6930000</v>
      </c>
      <c r="K50" s="778"/>
      <c r="L50" s="779">
        <f t="shared" si="6"/>
        <v>0</v>
      </c>
      <c r="M50" s="779">
        <f t="shared" si="7"/>
        <v>0</v>
      </c>
      <c r="N50" s="784"/>
      <c r="O50" s="788"/>
      <c r="P50" s="789"/>
      <c r="Q50" s="790"/>
      <c r="R50" s="783" t="s">
        <v>957</v>
      </c>
    </row>
    <row r="51" spans="1:18" x14ac:dyDescent="0.2">
      <c r="A51" s="1320"/>
      <c r="B51" s="783" t="s">
        <v>363</v>
      </c>
      <c r="C51" s="784" t="s">
        <v>339</v>
      </c>
      <c r="D51" s="785">
        <v>8859200</v>
      </c>
      <c r="E51" s="786"/>
      <c r="F51" s="778">
        <v>8859200</v>
      </c>
      <c r="G51" s="786"/>
      <c r="H51" s="787"/>
      <c r="I51" s="786"/>
      <c r="J51" s="778">
        <f t="shared" si="8"/>
        <v>8859200</v>
      </c>
      <c r="K51" s="778"/>
      <c r="L51" s="779">
        <f t="shared" si="6"/>
        <v>0</v>
      </c>
      <c r="M51" s="779">
        <f t="shared" si="7"/>
        <v>0</v>
      </c>
      <c r="N51" s="784"/>
      <c r="O51" s="788"/>
      <c r="P51" s="789"/>
      <c r="Q51" s="790"/>
      <c r="R51" s="783" t="s">
        <v>943</v>
      </c>
    </row>
    <row r="52" spans="1:18" x14ac:dyDescent="0.2">
      <c r="A52" s="1320"/>
      <c r="B52" s="783" t="s">
        <v>970</v>
      </c>
      <c r="C52" s="784" t="s">
        <v>742</v>
      </c>
      <c r="D52" s="785">
        <v>5880000</v>
      </c>
      <c r="E52" s="786"/>
      <c r="F52" s="778">
        <v>2940000</v>
      </c>
      <c r="G52" s="786">
        <v>2940000</v>
      </c>
      <c r="H52" s="787"/>
      <c r="I52" s="786"/>
      <c r="J52" s="778">
        <f t="shared" si="8"/>
        <v>5880000</v>
      </c>
      <c r="K52" s="778"/>
      <c r="L52" s="779">
        <f t="shared" si="6"/>
        <v>0</v>
      </c>
      <c r="M52" s="779">
        <f t="shared" si="7"/>
        <v>0</v>
      </c>
      <c r="N52" s="784"/>
      <c r="O52" s="788"/>
      <c r="P52" s="789"/>
      <c r="Q52" s="790"/>
      <c r="R52" s="783" t="s">
        <v>943</v>
      </c>
    </row>
    <row r="53" spans="1:18" x14ac:dyDescent="0.2">
      <c r="A53" s="1320"/>
      <c r="B53" s="783" t="s">
        <v>743</v>
      </c>
      <c r="C53" s="784" t="s">
        <v>744</v>
      </c>
      <c r="D53" s="785">
        <v>3800000</v>
      </c>
      <c r="E53" s="786"/>
      <c r="F53" s="778">
        <v>3800000</v>
      </c>
      <c r="G53" s="786"/>
      <c r="H53" s="787"/>
      <c r="I53" s="786"/>
      <c r="J53" s="778">
        <f t="shared" si="8"/>
        <v>3800000</v>
      </c>
      <c r="K53" s="778"/>
      <c r="L53" s="779">
        <f t="shared" si="6"/>
        <v>0</v>
      </c>
      <c r="M53" s="779">
        <f t="shared" si="7"/>
        <v>0</v>
      </c>
      <c r="N53" s="784"/>
      <c r="O53" s="788"/>
      <c r="P53" s="789"/>
      <c r="Q53" s="790"/>
      <c r="R53" s="783"/>
    </row>
    <row r="54" spans="1:18" x14ac:dyDescent="0.2">
      <c r="A54" s="1320"/>
      <c r="B54" s="783" t="s">
        <v>158</v>
      </c>
      <c r="C54" s="784" t="s">
        <v>971</v>
      </c>
      <c r="D54" s="785">
        <v>3850000</v>
      </c>
      <c r="E54" s="786"/>
      <c r="F54" s="778">
        <v>3850000</v>
      </c>
      <c r="G54" s="786"/>
      <c r="H54" s="787"/>
      <c r="I54" s="786"/>
      <c r="J54" s="778">
        <f t="shared" si="8"/>
        <v>3850000</v>
      </c>
      <c r="K54" s="778"/>
      <c r="L54" s="779">
        <f t="shared" si="6"/>
        <v>0</v>
      </c>
      <c r="M54" s="779">
        <f t="shared" si="7"/>
        <v>0</v>
      </c>
      <c r="N54" s="784"/>
      <c r="O54" s="788"/>
      <c r="P54" s="789"/>
      <c r="Q54" s="790"/>
      <c r="R54" s="783"/>
    </row>
    <row r="55" spans="1:18" x14ac:dyDescent="0.2">
      <c r="A55" s="1320"/>
      <c r="B55" s="783" t="s">
        <v>745</v>
      </c>
      <c r="C55" s="784" t="s">
        <v>746</v>
      </c>
      <c r="D55" s="785">
        <v>27885000</v>
      </c>
      <c r="E55" s="786"/>
      <c r="F55" s="778">
        <v>27885000</v>
      </c>
      <c r="G55" s="786"/>
      <c r="H55" s="787"/>
      <c r="I55" s="786"/>
      <c r="J55" s="778">
        <f t="shared" ref="J55:J67" si="9">SUM(F55:I55)</f>
        <v>27885000</v>
      </c>
      <c r="K55" s="778"/>
      <c r="L55" s="779">
        <f t="shared" si="6"/>
        <v>0</v>
      </c>
      <c r="M55" s="779">
        <f t="shared" si="7"/>
        <v>0</v>
      </c>
      <c r="N55" s="784"/>
      <c r="O55" s="788"/>
      <c r="P55" s="789"/>
      <c r="Q55" s="790"/>
      <c r="R55" s="783" t="s">
        <v>943</v>
      </c>
    </row>
    <row r="56" spans="1:18" x14ac:dyDescent="0.2">
      <c r="A56" s="1320"/>
      <c r="B56" s="783" t="s">
        <v>747</v>
      </c>
      <c r="C56" s="784" t="s">
        <v>146</v>
      </c>
      <c r="D56" s="785">
        <v>1330000</v>
      </c>
      <c r="E56" s="786"/>
      <c r="F56" s="778">
        <v>1330000</v>
      </c>
      <c r="G56" s="786"/>
      <c r="H56" s="787"/>
      <c r="I56" s="786"/>
      <c r="J56" s="778">
        <f t="shared" si="9"/>
        <v>1330000</v>
      </c>
      <c r="K56" s="778"/>
      <c r="L56" s="779">
        <f t="shared" si="6"/>
        <v>0</v>
      </c>
      <c r="M56" s="779">
        <f t="shared" si="7"/>
        <v>0</v>
      </c>
      <c r="N56" s="784"/>
      <c r="O56" s="788"/>
      <c r="P56" s="789"/>
      <c r="Q56" s="790"/>
      <c r="R56" s="783" t="s">
        <v>968</v>
      </c>
    </row>
    <row r="57" spans="1:18" x14ac:dyDescent="0.2">
      <c r="A57" s="1320"/>
      <c r="B57" s="783" t="s">
        <v>748</v>
      </c>
      <c r="C57" s="784" t="s">
        <v>57</v>
      </c>
      <c r="D57" s="785">
        <v>2760000</v>
      </c>
      <c r="E57" s="786"/>
      <c r="F57" s="778">
        <v>2760000</v>
      </c>
      <c r="G57" s="786"/>
      <c r="H57" s="787"/>
      <c r="I57" s="786"/>
      <c r="J57" s="778">
        <f t="shared" si="9"/>
        <v>2760000</v>
      </c>
      <c r="K57" s="778"/>
      <c r="L57" s="779">
        <f t="shared" si="6"/>
        <v>0</v>
      </c>
      <c r="M57" s="779">
        <f t="shared" si="7"/>
        <v>0</v>
      </c>
      <c r="N57" s="784"/>
      <c r="O57" s="788"/>
      <c r="P57" s="789"/>
      <c r="Q57" s="790"/>
      <c r="R57" s="783" t="s">
        <v>968</v>
      </c>
    </row>
    <row r="58" spans="1:18" ht="22.5" customHeight="1" x14ac:dyDescent="0.2">
      <c r="A58" s="1320"/>
      <c r="B58" s="783" t="s">
        <v>215</v>
      </c>
      <c r="C58" s="860" t="s">
        <v>750</v>
      </c>
      <c r="D58" s="785">
        <v>29551609</v>
      </c>
      <c r="E58" s="786">
        <v>29551609</v>
      </c>
      <c r="F58" s="808">
        <v>29551609</v>
      </c>
      <c r="G58" s="786"/>
      <c r="H58" s="787"/>
      <c r="I58" s="786"/>
      <c r="J58" s="778">
        <f t="shared" si="9"/>
        <v>29551609</v>
      </c>
      <c r="K58" s="778"/>
      <c r="L58" s="779">
        <f t="shared" si="6"/>
        <v>0</v>
      </c>
      <c r="M58" s="779">
        <f t="shared" si="7"/>
        <v>0</v>
      </c>
      <c r="N58" s="784" t="s">
        <v>972</v>
      </c>
      <c r="O58" s="788">
        <v>43975</v>
      </c>
      <c r="P58" s="789">
        <v>29551609</v>
      </c>
      <c r="Q58" s="790"/>
      <c r="R58" s="783" t="s">
        <v>943</v>
      </c>
    </row>
    <row r="59" spans="1:18" x14ac:dyDescent="0.2">
      <c r="A59" s="1320"/>
      <c r="B59" s="783" t="s">
        <v>973</v>
      </c>
      <c r="C59" s="784" t="s">
        <v>974</v>
      </c>
      <c r="D59" s="785">
        <f>1000000+796000</f>
        <v>1796000</v>
      </c>
      <c r="E59" s="786"/>
      <c r="F59" s="808">
        <v>1000000</v>
      </c>
      <c r="G59" s="786">
        <v>796000</v>
      </c>
      <c r="H59" s="787"/>
      <c r="I59" s="786"/>
      <c r="J59" s="778">
        <f t="shared" si="9"/>
        <v>1796000</v>
      </c>
      <c r="K59" s="778"/>
      <c r="L59" s="779">
        <f t="shared" ref="L59:L65" si="10">IF(E59="",D59-J59-K59,E59-J59-K59)</f>
        <v>0</v>
      </c>
      <c r="M59" s="779">
        <f t="shared" ref="M59:M65" si="11">K59+L59</f>
        <v>0</v>
      </c>
      <c r="N59" s="784"/>
      <c r="O59" s="788"/>
      <c r="P59" s="789"/>
      <c r="Q59" s="790"/>
      <c r="R59" s="783"/>
    </row>
    <row r="60" spans="1:18" x14ac:dyDescent="0.2">
      <c r="A60" s="1320"/>
      <c r="B60" s="783" t="s">
        <v>970</v>
      </c>
      <c r="C60" s="784" t="s">
        <v>975</v>
      </c>
      <c r="D60" s="785">
        <v>2419000</v>
      </c>
      <c r="E60" s="786"/>
      <c r="F60" s="808">
        <v>2419000</v>
      </c>
      <c r="G60" s="786"/>
      <c r="H60" s="787"/>
      <c r="I60" s="786"/>
      <c r="J60" s="778">
        <f t="shared" si="9"/>
        <v>2419000</v>
      </c>
      <c r="K60" s="778"/>
      <c r="L60" s="779">
        <f t="shared" si="10"/>
        <v>0</v>
      </c>
      <c r="M60" s="779">
        <f t="shared" si="11"/>
        <v>0</v>
      </c>
      <c r="N60" s="784"/>
      <c r="O60" s="788"/>
      <c r="P60" s="789"/>
      <c r="Q60" s="790"/>
      <c r="R60" s="783"/>
    </row>
    <row r="61" spans="1:18" x14ac:dyDescent="0.2">
      <c r="A61" s="1320"/>
      <c r="B61" s="783" t="s">
        <v>118</v>
      </c>
      <c r="C61" s="784" t="s">
        <v>315</v>
      </c>
      <c r="D61" s="785">
        <v>2000000</v>
      </c>
      <c r="E61" s="786"/>
      <c r="F61" s="808">
        <v>2000000</v>
      </c>
      <c r="G61" s="786"/>
      <c r="H61" s="787"/>
      <c r="I61" s="786"/>
      <c r="J61" s="778">
        <f t="shared" si="9"/>
        <v>2000000</v>
      </c>
      <c r="K61" s="778"/>
      <c r="L61" s="779">
        <f t="shared" si="10"/>
        <v>0</v>
      </c>
      <c r="M61" s="779">
        <f t="shared" si="11"/>
        <v>0</v>
      </c>
      <c r="N61" s="784"/>
      <c r="O61" s="788"/>
      <c r="P61" s="789"/>
      <c r="Q61" s="790"/>
      <c r="R61" s="783"/>
    </row>
    <row r="62" spans="1:18" ht="22.5" x14ac:dyDescent="0.2">
      <c r="A62" s="1320"/>
      <c r="B62" s="783" t="s">
        <v>92</v>
      </c>
      <c r="C62" s="860" t="s">
        <v>976</v>
      </c>
      <c r="D62" s="785"/>
      <c r="E62" s="786">
        <v>5015000</v>
      </c>
      <c r="F62" s="808">
        <v>5015000</v>
      </c>
      <c r="G62" s="786"/>
      <c r="H62" s="787"/>
      <c r="I62" s="786"/>
      <c r="J62" s="778">
        <f t="shared" si="9"/>
        <v>5015000</v>
      </c>
      <c r="K62" s="778"/>
      <c r="L62" s="779">
        <f t="shared" si="10"/>
        <v>0</v>
      </c>
      <c r="M62" s="779">
        <f t="shared" si="11"/>
        <v>0</v>
      </c>
      <c r="N62" s="784"/>
      <c r="O62" s="788"/>
      <c r="P62" s="789" t="s">
        <v>977</v>
      </c>
      <c r="Q62" s="790"/>
      <c r="R62" s="783"/>
    </row>
    <row r="63" spans="1:18" ht="15.75" customHeight="1" x14ac:dyDescent="0.2">
      <c r="A63" s="1320"/>
      <c r="B63" s="783" t="s">
        <v>978</v>
      </c>
      <c r="C63" s="784"/>
      <c r="D63" s="785">
        <v>1000000</v>
      </c>
      <c r="E63" s="786"/>
      <c r="F63" s="808">
        <v>1000000</v>
      </c>
      <c r="G63" s="786"/>
      <c r="H63" s="787"/>
      <c r="I63" s="786"/>
      <c r="J63" s="778">
        <f t="shared" si="9"/>
        <v>1000000</v>
      </c>
      <c r="K63" s="778"/>
      <c r="L63" s="779">
        <f t="shared" si="10"/>
        <v>0</v>
      </c>
      <c r="M63" s="779">
        <f t="shared" si="11"/>
        <v>0</v>
      </c>
      <c r="N63" s="784"/>
      <c r="O63" s="788"/>
      <c r="P63" s="789"/>
      <c r="Q63" s="790"/>
      <c r="R63" s="783"/>
    </row>
    <row r="64" spans="1:18" ht="15.75" customHeight="1" x14ac:dyDescent="0.2">
      <c r="A64" s="1320"/>
      <c r="B64" s="783" t="s">
        <v>394</v>
      </c>
      <c r="C64" s="784" t="s">
        <v>190</v>
      </c>
      <c r="D64" s="785">
        <v>61400000</v>
      </c>
      <c r="E64" s="786"/>
      <c r="F64" s="808">
        <v>61400000</v>
      </c>
      <c r="G64" s="786"/>
      <c r="H64" s="787"/>
      <c r="I64" s="786"/>
      <c r="J64" s="778">
        <f>SUM(F64:I64)</f>
        <v>61400000</v>
      </c>
      <c r="K64" s="778"/>
      <c r="L64" s="779">
        <f t="shared" si="10"/>
        <v>0</v>
      </c>
      <c r="M64" s="779">
        <f t="shared" si="11"/>
        <v>0</v>
      </c>
      <c r="N64" s="784"/>
      <c r="O64" s="788"/>
      <c r="P64" s="789"/>
      <c r="Q64" s="790"/>
      <c r="R64" s="783"/>
    </row>
    <row r="65" spans="1:22" ht="15.75" customHeight="1" x14ac:dyDescent="0.2">
      <c r="A65" s="1320"/>
      <c r="B65" s="783" t="s">
        <v>979</v>
      </c>
      <c r="C65" s="784" t="s">
        <v>980</v>
      </c>
      <c r="D65" s="785">
        <v>250000</v>
      </c>
      <c r="E65" s="786"/>
      <c r="F65" s="808">
        <v>250000</v>
      </c>
      <c r="G65" s="786"/>
      <c r="H65" s="787"/>
      <c r="I65" s="786"/>
      <c r="J65" s="778">
        <f>SUM(F65:I65)</f>
        <v>250000</v>
      </c>
      <c r="K65" s="778"/>
      <c r="L65" s="779">
        <f t="shared" si="10"/>
        <v>0</v>
      </c>
      <c r="M65" s="779">
        <f t="shared" si="11"/>
        <v>0</v>
      </c>
      <c r="N65" s="784"/>
      <c r="O65" s="788"/>
      <c r="P65" s="789"/>
      <c r="Q65" s="790"/>
      <c r="R65" s="783"/>
    </row>
    <row r="66" spans="1:22" x14ac:dyDescent="0.2">
      <c r="A66" s="1320"/>
      <c r="B66" s="783" t="s">
        <v>947</v>
      </c>
      <c r="C66" s="784"/>
      <c r="D66" s="785"/>
      <c r="E66" s="786"/>
      <c r="F66" s="778">
        <f>T66</f>
        <v>19304000</v>
      </c>
      <c r="G66" s="786"/>
      <c r="H66" s="787"/>
      <c r="I66" s="786"/>
      <c r="J66" s="778">
        <f t="shared" si="9"/>
        <v>19304000</v>
      </c>
      <c r="K66" s="778"/>
      <c r="L66" s="779">
        <f t="shared" si="6"/>
        <v>-19304000</v>
      </c>
      <c r="M66" s="779">
        <f t="shared" si="7"/>
        <v>-19304000</v>
      </c>
      <c r="N66" s="784"/>
      <c r="O66" s="788"/>
      <c r="P66" s="789"/>
      <c r="Q66" s="790"/>
      <c r="R66" s="783"/>
      <c r="S66" s="751" t="s">
        <v>948</v>
      </c>
      <c r="T66" s="751">
        <f>SUM(T29:T58)</f>
        <v>19304000</v>
      </c>
    </row>
    <row r="67" spans="1:22" hidden="1" x14ac:dyDescent="0.2">
      <c r="A67" s="859"/>
      <c r="B67" s="783"/>
      <c r="C67" s="784"/>
      <c r="D67" s="785"/>
      <c r="E67" s="786"/>
      <c r="F67" s="778"/>
      <c r="G67" s="786"/>
      <c r="H67" s="787"/>
      <c r="I67" s="786"/>
      <c r="J67" s="778">
        <f t="shared" si="9"/>
        <v>0</v>
      </c>
      <c r="K67" s="778"/>
      <c r="L67" s="779">
        <f t="shared" si="6"/>
        <v>0</v>
      </c>
      <c r="M67" s="779">
        <f t="shared" si="7"/>
        <v>0</v>
      </c>
      <c r="N67" s="784"/>
      <c r="O67" s="788"/>
      <c r="P67" s="789"/>
      <c r="Q67" s="790"/>
      <c r="R67" s="783"/>
    </row>
    <row r="68" spans="1:22" s="807" customFormat="1" x14ac:dyDescent="0.2">
      <c r="A68" s="811" t="s">
        <v>949</v>
      </c>
      <c r="B68" s="795" t="s">
        <v>984</v>
      </c>
      <c r="C68" s="796"/>
      <c r="D68" s="797"/>
      <c r="E68" s="798"/>
      <c r="F68" s="799"/>
      <c r="G68" s="798"/>
      <c r="H68" s="800"/>
      <c r="I68" s="798"/>
      <c r="J68" s="812">
        <f>SUM(J28:J67)</f>
        <v>1039079637</v>
      </c>
      <c r="K68" s="812">
        <f>SUM(K28:K67)</f>
        <v>11145000</v>
      </c>
      <c r="L68" s="812">
        <f>SUM(L28:L67)</f>
        <v>-19047780</v>
      </c>
      <c r="M68" s="812">
        <f>SUM(M28:M67)</f>
        <v>-7902780</v>
      </c>
      <c r="N68" s="796"/>
      <c r="O68" s="802"/>
      <c r="P68" s="803"/>
      <c r="Q68" s="804"/>
      <c r="R68" s="805"/>
      <c r="S68" s="806"/>
      <c r="T68" s="806"/>
      <c r="U68" s="806"/>
      <c r="V68" s="806"/>
    </row>
    <row r="69" spans="1:22" x14ac:dyDescent="0.2">
      <c r="A69" s="1321" t="s">
        <v>985</v>
      </c>
      <c r="B69" s="772" t="s">
        <v>752</v>
      </c>
      <c r="C69" s="773" t="s">
        <v>526</v>
      </c>
      <c r="D69" s="791">
        <v>5089300</v>
      </c>
      <c r="E69" s="775"/>
      <c r="F69" s="776">
        <v>5000000</v>
      </c>
      <c r="G69" s="813">
        <v>89300</v>
      </c>
      <c r="H69" s="777"/>
      <c r="I69" s="775"/>
      <c r="J69" s="776">
        <f>SUM(F69:I69)</f>
        <v>5089300</v>
      </c>
      <c r="K69" s="776"/>
      <c r="L69" s="779">
        <f t="shared" ref="L69:L85" si="12">IF(E69="",D69-J69-K69,E69-J69-K69)</f>
        <v>0</v>
      </c>
      <c r="M69" s="779">
        <f t="shared" ref="M69:M85" si="13">K69+L69</f>
        <v>0</v>
      </c>
      <c r="N69" s="773" t="s">
        <v>717</v>
      </c>
      <c r="O69" s="780">
        <v>43965</v>
      </c>
      <c r="P69" s="781"/>
      <c r="Q69" s="782"/>
      <c r="R69" s="772"/>
      <c r="S69" s="751" t="s">
        <v>952</v>
      </c>
    </row>
    <row r="70" spans="1:22" x14ac:dyDescent="0.2">
      <c r="A70" s="1320"/>
      <c r="B70" s="783" t="s">
        <v>50</v>
      </c>
      <c r="C70" s="784" t="s">
        <v>323</v>
      </c>
      <c r="D70" s="785">
        <v>19428000</v>
      </c>
      <c r="E70" s="786"/>
      <c r="F70" s="778">
        <v>9714000</v>
      </c>
      <c r="G70" s="792">
        <v>9714000</v>
      </c>
      <c r="H70" s="787"/>
      <c r="I70" s="786"/>
      <c r="J70" s="778">
        <f t="shared" ref="J70:J82" si="14">SUM(F70:I70)</f>
        <v>19428000</v>
      </c>
      <c r="K70" s="778"/>
      <c r="L70" s="779">
        <f t="shared" si="12"/>
        <v>0</v>
      </c>
      <c r="M70" s="779">
        <f t="shared" si="13"/>
        <v>0</v>
      </c>
      <c r="N70" s="784"/>
      <c r="O70" s="788"/>
      <c r="P70" s="789"/>
      <c r="Q70" s="790"/>
      <c r="R70" s="783" t="s">
        <v>943</v>
      </c>
      <c r="S70" s="751" t="s">
        <v>960</v>
      </c>
      <c r="T70" s="751">
        <v>640000</v>
      </c>
    </row>
    <row r="71" spans="1:22" x14ac:dyDescent="0.2">
      <c r="A71" s="1320"/>
      <c r="B71" s="783" t="s">
        <v>50</v>
      </c>
      <c r="C71" s="784" t="s">
        <v>754</v>
      </c>
      <c r="D71" s="785">
        <v>3500000</v>
      </c>
      <c r="E71" s="786"/>
      <c r="F71" s="778">
        <v>1750000</v>
      </c>
      <c r="G71" s="792">
        <v>1750000</v>
      </c>
      <c r="H71" s="787"/>
      <c r="I71" s="786"/>
      <c r="J71" s="778">
        <f t="shared" si="14"/>
        <v>3500000</v>
      </c>
      <c r="K71" s="778"/>
      <c r="L71" s="779">
        <f t="shared" si="12"/>
        <v>0</v>
      </c>
      <c r="M71" s="779">
        <f t="shared" si="13"/>
        <v>0</v>
      </c>
      <c r="N71" s="784"/>
      <c r="O71" s="788"/>
      <c r="P71" s="789"/>
      <c r="Q71" s="790"/>
      <c r="R71" s="783" t="s">
        <v>943</v>
      </c>
      <c r="S71" s="751" t="s">
        <v>953</v>
      </c>
      <c r="T71" s="751">
        <v>1371000</v>
      </c>
    </row>
    <row r="72" spans="1:22" x14ac:dyDescent="0.2">
      <c r="A72" s="1320"/>
      <c r="B72" s="783" t="s">
        <v>755</v>
      </c>
      <c r="C72" s="784" t="s">
        <v>756</v>
      </c>
      <c r="D72" s="785">
        <v>2150000</v>
      </c>
      <c r="E72" s="786"/>
      <c r="F72" s="778">
        <v>2150000</v>
      </c>
      <c r="G72" s="792"/>
      <c r="H72" s="787"/>
      <c r="I72" s="786"/>
      <c r="J72" s="778">
        <f t="shared" si="14"/>
        <v>2150000</v>
      </c>
      <c r="K72" s="778"/>
      <c r="L72" s="779">
        <f t="shared" si="12"/>
        <v>0</v>
      </c>
      <c r="M72" s="779">
        <f t="shared" si="13"/>
        <v>0</v>
      </c>
      <c r="N72" s="784"/>
      <c r="O72" s="788"/>
      <c r="P72" s="789"/>
      <c r="Q72" s="790"/>
      <c r="R72" s="783" t="s">
        <v>943</v>
      </c>
      <c r="S72" s="751" t="s">
        <v>954</v>
      </c>
      <c r="T72" s="751">
        <v>3996000</v>
      </c>
    </row>
    <row r="73" spans="1:22" x14ac:dyDescent="0.2">
      <c r="A73" s="1320"/>
      <c r="B73" s="783" t="s">
        <v>99</v>
      </c>
      <c r="C73" s="784" t="s">
        <v>100</v>
      </c>
      <c r="D73" s="785">
        <v>112180000</v>
      </c>
      <c r="E73" s="786">
        <v>124592000</v>
      </c>
      <c r="F73" s="778">
        <v>33645000</v>
      </c>
      <c r="G73" s="792">
        <v>44872000</v>
      </c>
      <c r="H73" s="787">
        <v>39846000</v>
      </c>
      <c r="I73" s="786"/>
      <c r="J73" s="778">
        <f t="shared" si="14"/>
        <v>118363000</v>
      </c>
      <c r="K73" s="778">
        <v>6229000</v>
      </c>
      <c r="L73" s="779">
        <f t="shared" si="12"/>
        <v>0</v>
      </c>
      <c r="M73" s="779">
        <f t="shared" si="13"/>
        <v>6229000</v>
      </c>
      <c r="N73" s="784" t="s">
        <v>725</v>
      </c>
      <c r="O73" s="788"/>
      <c r="P73" s="789"/>
      <c r="Q73" s="790"/>
      <c r="R73" s="783" t="s">
        <v>943</v>
      </c>
      <c r="S73" s="751" t="s">
        <v>955</v>
      </c>
      <c r="T73" s="751">
        <v>1700000</v>
      </c>
    </row>
    <row r="74" spans="1:22" x14ac:dyDescent="0.2">
      <c r="A74" s="1320"/>
      <c r="B74" s="783" t="s">
        <v>107</v>
      </c>
      <c r="C74" s="784" t="s">
        <v>156</v>
      </c>
      <c r="D74" s="785">
        <v>21640000</v>
      </c>
      <c r="E74" s="786"/>
      <c r="F74" s="778">
        <v>6000000</v>
      </c>
      <c r="G74" s="792">
        <v>12000000</v>
      </c>
      <c r="H74" s="787"/>
      <c r="I74" s="786"/>
      <c r="J74" s="778">
        <f t="shared" si="14"/>
        <v>18000000</v>
      </c>
      <c r="K74" s="778"/>
      <c r="L74" s="779">
        <f t="shared" si="12"/>
        <v>3640000</v>
      </c>
      <c r="M74" s="779">
        <f t="shared" si="13"/>
        <v>3640000</v>
      </c>
      <c r="N74" s="784"/>
      <c r="O74" s="788"/>
      <c r="P74" s="789"/>
      <c r="Q74" s="790"/>
      <c r="R74" s="783"/>
      <c r="S74" s="751" t="s">
        <v>961</v>
      </c>
      <c r="T74" s="751">
        <v>1280000</v>
      </c>
    </row>
    <row r="75" spans="1:22" x14ac:dyDescent="0.2">
      <c r="A75" s="1320"/>
      <c r="B75" s="783" t="s">
        <v>515</v>
      </c>
      <c r="C75" s="784" t="s">
        <v>229</v>
      </c>
      <c r="D75" s="785">
        <v>51584330</v>
      </c>
      <c r="E75" s="786">
        <v>39461400</v>
      </c>
      <c r="F75" s="778">
        <v>25750000</v>
      </c>
      <c r="G75" s="792">
        <v>13711400</v>
      </c>
      <c r="H75" s="787"/>
      <c r="I75" s="786"/>
      <c r="J75" s="778">
        <f t="shared" si="14"/>
        <v>39461400</v>
      </c>
      <c r="K75" s="778"/>
      <c r="L75" s="779">
        <f t="shared" si="12"/>
        <v>0</v>
      </c>
      <c r="M75" s="779">
        <f t="shared" si="13"/>
        <v>0</v>
      </c>
      <c r="N75" s="784" t="s">
        <v>729</v>
      </c>
      <c r="O75" s="788">
        <v>43964</v>
      </c>
      <c r="P75" s="789">
        <v>39461400</v>
      </c>
      <c r="Q75" s="790"/>
      <c r="R75" s="783" t="s">
        <v>943</v>
      </c>
      <c r="S75" s="751" t="s">
        <v>944</v>
      </c>
      <c r="T75" s="751">
        <v>320000</v>
      </c>
    </row>
    <row r="76" spans="1:22" x14ac:dyDescent="0.2">
      <c r="A76" s="1320"/>
      <c r="B76" s="783" t="s">
        <v>132</v>
      </c>
      <c r="C76" s="784" t="s">
        <v>731</v>
      </c>
      <c r="D76" s="785">
        <v>15273880</v>
      </c>
      <c r="E76" s="786"/>
      <c r="F76" s="778">
        <v>7636940</v>
      </c>
      <c r="G76" s="792">
        <v>7636940</v>
      </c>
      <c r="H76" s="787"/>
      <c r="I76" s="786"/>
      <c r="J76" s="778">
        <f t="shared" si="14"/>
        <v>15273880</v>
      </c>
      <c r="K76" s="778"/>
      <c r="L76" s="779">
        <f t="shared" si="12"/>
        <v>0</v>
      </c>
      <c r="M76" s="779">
        <f t="shared" si="13"/>
        <v>0</v>
      </c>
      <c r="N76" s="784"/>
      <c r="O76" s="788"/>
      <c r="P76" s="789"/>
      <c r="Q76" s="790"/>
      <c r="R76" s="783" t="s">
        <v>943</v>
      </c>
      <c r="S76" s="751" t="s">
        <v>944</v>
      </c>
      <c r="T76" s="751">
        <v>490000</v>
      </c>
    </row>
    <row r="77" spans="1:22" x14ac:dyDescent="0.2">
      <c r="A77" s="1320"/>
      <c r="B77" s="783" t="s">
        <v>292</v>
      </c>
      <c r="C77" s="784" t="s">
        <v>104</v>
      </c>
      <c r="D77" s="785">
        <v>5250000</v>
      </c>
      <c r="E77" s="786"/>
      <c r="F77" s="778">
        <v>5250000</v>
      </c>
      <c r="G77" s="786"/>
      <c r="H77" s="787"/>
      <c r="I77" s="786"/>
      <c r="J77" s="778">
        <f t="shared" si="14"/>
        <v>5250000</v>
      </c>
      <c r="K77" s="778"/>
      <c r="L77" s="779">
        <f t="shared" si="12"/>
        <v>0</v>
      </c>
      <c r="M77" s="779">
        <f t="shared" si="13"/>
        <v>0</v>
      </c>
      <c r="N77" s="784"/>
      <c r="O77" s="788"/>
      <c r="P77" s="789"/>
      <c r="Q77" s="790"/>
      <c r="R77" s="783"/>
      <c r="S77" s="751" t="s">
        <v>963</v>
      </c>
      <c r="T77" s="751">
        <v>320000</v>
      </c>
    </row>
    <row r="78" spans="1:22" x14ac:dyDescent="0.2">
      <c r="A78" s="1320"/>
      <c r="B78" s="783" t="s">
        <v>514</v>
      </c>
      <c r="C78" s="784" t="s">
        <v>114</v>
      </c>
      <c r="D78" s="785">
        <v>1650000</v>
      </c>
      <c r="E78" s="786"/>
      <c r="F78" s="778">
        <v>1650000</v>
      </c>
      <c r="G78" s="786"/>
      <c r="H78" s="787"/>
      <c r="I78" s="786"/>
      <c r="J78" s="778">
        <f t="shared" si="14"/>
        <v>1650000</v>
      </c>
      <c r="K78" s="778"/>
      <c r="L78" s="779">
        <f t="shared" si="12"/>
        <v>0</v>
      </c>
      <c r="M78" s="779">
        <f t="shared" si="13"/>
        <v>0</v>
      </c>
      <c r="N78" s="784"/>
      <c r="O78" s="788"/>
      <c r="P78" s="789"/>
      <c r="Q78" s="790"/>
      <c r="R78" s="783" t="s">
        <v>957</v>
      </c>
      <c r="S78" s="751" t="s">
        <v>964</v>
      </c>
      <c r="T78" s="751">
        <v>320000</v>
      </c>
    </row>
    <row r="79" spans="1:22" x14ac:dyDescent="0.2">
      <c r="A79" s="1320"/>
      <c r="B79" s="783" t="s">
        <v>346</v>
      </c>
      <c r="C79" s="784" t="s">
        <v>757</v>
      </c>
      <c r="D79" s="785">
        <v>25363286</v>
      </c>
      <c r="E79" s="786"/>
      <c r="F79" s="778">
        <v>12681643</v>
      </c>
      <c r="G79" s="786"/>
      <c r="H79" s="787"/>
      <c r="I79" s="786"/>
      <c r="J79" s="778">
        <f t="shared" si="14"/>
        <v>12681643</v>
      </c>
      <c r="K79" s="778"/>
      <c r="L79" s="779">
        <f t="shared" si="12"/>
        <v>12681643</v>
      </c>
      <c r="M79" s="779">
        <f t="shared" si="13"/>
        <v>12681643</v>
      </c>
      <c r="N79" s="784"/>
      <c r="O79" s="788"/>
      <c r="P79" s="789"/>
      <c r="Q79" s="790"/>
      <c r="R79" s="783"/>
    </row>
    <row r="80" spans="1:22" x14ac:dyDescent="0.2">
      <c r="A80" s="1320"/>
      <c r="B80" s="783" t="s">
        <v>740</v>
      </c>
      <c r="C80" s="784" t="s">
        <v>397</v>
      </c>
      <c r="D80" s="785">
        <v>3423750</v>
      </c>
      <c r="E80" s="786"/>
      <c r="F80" s="808">
        <v>3423750</v>
      </c>
      <c r="G80" s="786"/>
      <c r="H80" s="787"/>
      <c r="I80" s="786"/>
      <c r="J80" s="778">
        <f t="shared" si="14"/>
        <v>3423750</v>
      </c>
      <c r="K80" s="778"/>
      <c r="L80" s="779">
        <f t="shared" si="12"/>
        <v>0</v>
      </c>
      <c r="M80" s="779">
        <f t="shared" si="13"/>
        <v>0</v>
      </c>
      <c r="N80" s="784"/>
      <c r="O80" s="788"/>
      <c r="P80" s="789"/>
      <c r="Q80" s="790"/>
      <c r="R80" s="783"/>
    </row>
    <row r="81" spans="1:22" x14ac:dyDescent="0.2">
      <c r="A81" s="1320"/>
      <c r="B81" s="783" t="s">
        <v>363</v>
      </c>
      <c r="C81" s="784" t="s">
        <v>339</v>
      </c>
      <c r="D81" s="785">
        <v>2350000</v>
      </c>
      <c r="E81" s="786"/>
      <c r="F81" s="808">
        <v>2350000</v>
      </c>
      <c r="G81" s="786"/>
      <c r="H81" s="787"/>
      <c r="I81" s="786"/>
      <c r="J81" s="778">
        <f t="shared" si="14"/>
        <v>2350000</v>
      </c>
      <c r="K81" s="778"/>
      <c r="L81" s="779">
        <f t="shared" si="12"/>
        <v>0</v>
      </c>
      <c r="M81" s="779">
        <f t="shared" si="13"/>
        <v>0</v>
      </c>
      <c r="N81" s="784"/>
      <c r="O81" s="788"/>
      <c r="P81" s="789"/>
      <c r="Q81" s="790"/>
      <c r="R81" s="783" t="s">
        <v>943</v>
      </c>
    </row>
    <row r="82" spans="1:22" x14ac:dyDescent="0.2">
      <c r="A82" s="1320"/>
      <c r="B82" s="783" t="s">
        <v>164</v>
      </c>
      <c r="C82" s="784" t="s">
        <v>173</v>
      </c>
      <c r="D82" s="785">
        <v>22641000</v>
      </c>
      <c r="E82" s="786"/>
      <c r="F82" s="808">
        <v>22641000</v>
      </c>
      <c r="G82" s="786"/>
      <c r="H82" s="787"/>
      <c r="I82" s="786"/>
      <c r="J82" s="778">
        <f t="shared" si="14"/>
        <v>22641000</v>
      </c>
      <c r="K82" s="778"/>
      <c r="L82" s="779">
        <f t="shared" si="12"/>
        <v>0</v>
      </c>
      <c r="M82" s="779">
        <f t="shared" si="13"/>
        <v>0</v>
      </c>
      <c r="N82" s="784"/>
      <c r="O82" s="788"/>
      <c r="P82" s="789"/>
      <c r="Q82" s="790"/>
      <c r="R82" s="783"/>
    </row>
    <row r="83" spans="1:22" x14ac:dyDescent="0.2">
      <c r="A83" s="1320"/>
      <c r="B83" s="783" t="s">
        <v>118</v>
      </c>
      <c r="C83" s="784" t="s">
        <v>301</v>
      </c>
      <c r="D83" s="785">
        <v>28517050</v>
      </c>
      <c r="E83" s="786"/>
      <c r="F83" s="808">
        <v>28517050</v>
      </c>
      <c r="G83" s="786"/>
      <c r="H83" s="787"/>
      <c r="I83" s="786"/>
      <c r="J83" s="778">
        <f t="shared" ref="J83:J91" si="15">SUM(F83:I83)</f>
        <v>28517050</v>
      </c>
      <c r="K83" s="778"/>
      <c r="L83" s="779">
        <f t="shared" si="12"/>
        <v>0</v>
      </c>
      <c r="M83" s="779">
        <f t="shared" si="13"/>
        <v>0</v>
      </c>
      <c r="N83" s="784"/>
      <c r="O83" s="788"/>
      <c r="P83" s="789"/>
      <c r="Q83" s="790"/>
      <c r="R83" s="783"/>
    </row>
    <row r="84" spans="1:22" ht="22.5" x14ac:dyDescent="0.2">
      <c r="A84" s="1320"/>
      <c r="B84" s="783" t="s">
        <v>532</v>
      </c>
      <c r="C84" s="860" t="s">
        <v>204</v>
      </c>
      <c r="D84" s="785">
        <v>26858900</v>
      </c>
      <c r="E84" s="786"/>
      <c r="F84" s="808">
        <v>26858900</v>
      </c>
      <c r="G84" s="786"/>
      <c r="H84" s="787"/>
      <c r="I84" s="786"/>
      <c r="J84" s="778">
        <f t="shared" si="15"/>
        <v>26858900</v>
      </c>
      <c r="K84" s="778"/>
      <c r="L84" s="779">
        <f t="shared" si="12"/>
        <v>0</v>
      </c>
      <c r="M84" s="779">
        <f t="shared" si="13"/>
        <v>0</v>
      </c>
      <c r="N84" s="784"/>
      <c r="O84" s="788"/>
      <c r="P84" s="789"/>
      <c r="Q84" s="790"/>
      <c r="R84" s="783" t="s">
        <v>943</v>
      </c>
    </row>
    <row r="85" spans="1:22" x14ac:dyDescent="0.2">
      <c r="A85" s="1320"/>
      <c r="B85" s="783" t="s">
        <v>31</v>
      </c>
      <c r="C85" s="784" t="s">
        <v>168</v>
      </c>
      <c r="D85" s="785">
        <v>24932000</v>
      </c>
      <c r="E85" s="786"/>
      <c r="F85" s="808">
        <v>24932000</v>
      </c>
      <c r="G85" s="786"/>
      <c r="H85" s="787"/>
      <c r="I85" s="786"/>
      <c r="J85" s="778">
        <f t="shared" si="15"/>
        <v>24932000</v>
      </c>
      <c r="K85" s="778"/>
      <c r="L85" s="779">
        <f t="shared" si="12"/>
        <v>0</v>
      </c>
      <c r="M85" s="779">
        <f t="shared" si="13"/>
        <v>0</v>
      </c>
      <c r="N85" s="784"/>
      <c r="O85" s="788"/>
      <c r="P85" s="789"/>
      <c r="Q85" s="790"/>
      <c r="R85" s="783"/>
    </row>
    <row r="86" spans="1:22" x14ac:dyDescent="0.2">
      <c r="A86" s="1320"/>
      <c r="B86" s="783" t="s">
        <v>987</v>
      </c>
      <c r="C86" s="784" t="s">
        <v>173</v>
      </c>
      <c r="D86" s="785">
        <v>11236000</v>
      </c>
      <c r="E86" s="786"/>
      <c r="F86" s="808">
        <v>11236000</v>
      </c>
      <c r="G86" s="786"/>
      <c r="H86" s="787"/>
      <c r="I86" s="786"/>
      <c r="J86" s="778">
        <f>SUM(F86:I86)</f>
        <v>11236000</v>
      </c>
      <c r="K86" s="778"/>
      <c r="L86" s="779">
        <f t="shared" ref="L86:L91" si="16">IF(E86="",D86-J86-K86,E86-J86-K86)</f>
        <v>0</v>
      </c>
      <c r="M86" s="779">
        <f t="shared" ref="M86:M91" si="17">K86+L86</f>
        <v>0</v>
      </c>
      <c r="N86" s="784"/>
      <c r="O86" s="788"/>
      <c r="P86" s="789"/>
      <c r="Q86" s="790"/>
      <c r="R86" s="783"/>
    </row>
    <row r="87" spans="1:22" x14ac:dyDescent="0.2">
      <c r="A87" s="1320"/>
      <c r="B87" s="783" t="s">
        <v>988</v>
      </c>
      <c r="C87" s="784" t="s">
        <v>989</v>
      </c>
      <c r="D87" s="785">
        <v>526000</v>
      </c>
      <c r="E87" s="786"/>
      <c r="F87" s="808">
        <v>526000</v>
      </c>
      <c r="G87" s="786"/>
      <c r="H87" s="787"/>
      <c r="I87" s="786"/>
      <c r="J87" s="778">
        <f>SUM(F87:I87)</f>
        <v>526000</v>
      </c>
      <c r="K87" s="778"/>
      <c r="L87" s="779">
        <f t="shared" si="16"/>
        <v>0</v>
      </c>
      <c r="M87" s="779">
        <f t="shared" si="17"/>
        <v>0</v>
      </c>
      <c r="N87" s="784"/>
      <c r="O87" s="788"/>
      <c r="P87" s="789"/>
      <c r="Q87" s="790"/>
      <c r="R87" s="783"/>
    </row>
    <row r="88" spans="1:22" x14ac:dyDescent="0.2">
      <c r="A88" s="1320"/>
      <c r="B88" s="783" t="s">
        <v>394</v>
      </c>
      <c r="C88" s="784" t="s">
        <v>190</v>
      </c>
      <c r="D88" s="785">
        <v>10640000</v>
      </c>
      <c r="E88" s="786"/>
      <c r="F88" s="808">
        <v>10640000</v>
      </c>
      <c r="G88" s="786"/>
      <c r="H88" s="787"/>
      <c r="I88" s="786"/>
      <c r="J88" s="778">
        <f>SUM(F88:I88)</f>
        <v>10640000</v>
      </c>
      <c r="K88" s="778"/>
      <c r="L88" s="779">
        <f t="shared" si="16"/>
        <v>0</v>
      </c>
      <c r="M88" s="779">
        <f t="shared" si="17"/>
        <v>0</v>
      </c>
      <c r="N88" s="784"/>
      <c r="O88" s="788"/>
      <c r="P88" s="789"/>
      <c r="Q88" s="790"/>
      <c r="R88" s="783"/>
    </row>
    <row r="89" spans="1:22" x14ac:dyDescent="0.2">
      <c r="A89" s="1320"/>
      <c r="B89" s="783" t="s">
        <v>990</v>
      </c>
      <c r="C89" s="784"/>
      <c r="D89" s="785">
        <v>1510063</v>
      </c>
      <c r="E89" s="786"/>
      <c r="F89" s="808">
        <v>1510063</v>
      </c>
      <c r="G89" s="786"/>
      <c r="H89" s="787"/>
      <c r="I89" s="786"/>
      <c r="J89" s="778">
        <f>SUM(F89:I89)</f>
        <v>1510063</v>
      </c>
      <c r="K89" s="778"/>
      <c r="L89" s="779">
        <f t="shared" si="16"/>
        <v>0</v>
      </c>
      <c r="M89" s="779">
        <f t="shared" si="17"/>
        <v>0</v>
      </c>
      <c r="N89" s="784"/>
      <c r="O89" s="788"/>
      <c r="P89" s="789"/>
      <c r="Q89" s="790"/>
      <c r="R89" s="783"/>
    </row>
    <row r="90" spans="1:22" x14ac:dyDescent="0.2">
      <c r="A90" s="1320"/>
      <c r="B90" s="783" t="s">
        <v>947</v>
      </c>
      <c r="C90" s="784"/>
      <c r="D90" s="785"/>
      <c r="E90" s="786"/>
      <c r="F90" s="778">
        <f>T90</f>
        <v>10437000</v>
      </c>
      <c r="G90" s="786"/>
      <c r="H90" s="787"/>
      <c r="I90" s="786"/>
      <c r="J90" s="778">
        <f>SUM(F90:I90)</f>
        <v>10437000</v>
      </c>
      <c r="K90" s="778"/>
      <c r="L90" s="779">
        <f t="shared" si="16"/>
        <v>-10437000</v>
      </c>
      <c r="M90" s="779">
        <f t="shared" si="17"/>
        <v>-10437000</v>
      </c>
      <c r="N90" s="784"/>
      <c r="O90" s="788"/>
      <c r="P90" s="789"/>
      <c r="Q90" s="790"/>
      <c r="R90" s="783"/>
      <c r="S90" s="751" t="s">
        <v>948</v>
      </c>
      <c r="T90" s="751">
        <f>SUM(T70:T84)</f>
        <v>10437000</v>
      </c>
    </row>
    <row r="91" spans="1:22" hidden="1" x14ac:dyDescent="0.2">
      <c r="A91" s="814"/>
      <c r="B91" s="783"/>
      <c r="C91" s="784"/>
      <c r="D91" s="785"/>
      <c r="E91" s="786"/>
      <c r="F91" s="778"/>
      <c r="G91" s="786"/>
      <c r="H91" s="787"/>
      <c r="I91" s="786"/>
      <c r="J91" s="778">
        <f t="shared" si="15"/>
        <v>0</v>
      </c>
      <c r="K91" s="778"/>
      <c r="L91" s="779">
        <f t="shared" si="16"/>
        <v>0</v>
      </c>
      <c r="M91" s="779">
        <f t="shared" si="17"/>
        <v>0</v>
      </c>
      <c r="N91" s="784"/>
      <c r="O91" s="788"/>
      <c r="P91" s="789"/>
      <c r="Q91" s="790"/>
      <c r="R91" s="783"/>
    </row>
    <row r="92" spans="1:22" s="807" customFormat="1" x14ac:dyDescent="0.2">
      <c r="A92" s="811" t="s">
        <v>949</v>
      </c>
      <c r="B92" s="795" t="s">
        <v>991</v>
      </c>
      <c r="C92" s="796"/>
      <c r="D92" s="797"/>
      <c r="E92" s="798"/>
      <c r="F92" s="799"/>
      <c r="G92" s="798"/>
      <c r="H92" s="800"/>
      <c r="I92" s="798"/>
      <c r="J92" s="801">
        <f>SUM(J69:J91)</f>
        <v>383918986</v>
      </c>
      <c r="K92" s="801">
        <f>SUM(K69:K91)</f>
        <v>6229000</v>
      </c>
      <c r="L92" s="801">
        <f>SUM(L69:L91)</f>
        <v>5884643</v>
      </c>
      <c r="M92" s="801">
        <f>SUM(M69:M91)</f>
        <v>12113643</v>
      </c>
      <c r="N92" s="796"/>
      <c r="O92" s="802"/>
      <c r="P92" s="803"/>
      <c r="Q92" s="804"/>
      <c r="R92" s="805"/>
      <c r="S92" s="806"/>
      <c r="T92" s="806"/>
      <c r="U92" s="806"/>
      <c r="V92" s="806"/>
    </row>
    <row r="93" spans="1:22" s="823" customFormat="1" x14ac:dyDescent="0.2">
      <c r="A93" s="1322" t="s">
        <v>758</v>
      </c>
      <c r="B93" s="815" t="s">
        <v>759</v>
      </c>
      <c r="C93" s="816" t="s">
        <v>695</v>
      </c>
      <c r="D93" s="791"/>
      <c r="E93" s="792">
        <v>116113574</v>
      </c>
      <c r="F93" s="817">
        <v>44758247</v>
      </c>
      <c r="G93" s="813">
        <v>119335327</v>
      </c>
      <c r="H93" s="818"/>
      <c r="I93" s="792"/>
      <c r="J93" s="808">
        <f t="shared" ref="J93:J98" si="18">SUM(F93:I93)</f>
        <v>164093574</v>
      </c>
      <c r="K93" s="808"/>
      <c r="L93" s="779">
        <f t="shared" ref="L93:L98" si="19">IF(E93="",D93-J93-K93,E93-J93-K93)</f>
        <v>-47980000</v>
      </c>
      <c r="M93" s="779">
        <f>K93+L93</f>
        <v>-47980000</v>
      </c>
      <c r="N93" s="810" t="s">
        <v>760</v>
      </c>
      <c r="O93" s="819">
        <v>43913</v>
      </c>
      <c r="P93" s="820"/>
      <c r="Q93" s="821"/>
      <c r="R93" s="783" t="s">
        <v>943</v>
      </c>
      <c r="S93" s="822"/>
      <c r="T93" s="822"/>
      <c r="U93" s="822"/>
      <c r="V93" s="822"/>
    </row>
    <row r="94" spans="1:22" x14ac:dyDescent="0.2">
      <c r="A94" s="1323"/>
      <c r="B94" s="783" t="s">
        <v>761</v>
      </c>
      <c r="C94" s="784" t="s">
        <v>695</v>
      </c>
      <c r="D94" s="785">
        <v>334041823</v>
      </c>
      <c r="E94" s="786"/>
      <c r="F94" s="778">
        <v>91102316</v>
      </c>
      <c r="G94" s="792">
        <v>242939507</v>
      </c>
      <c r="H94" s="787"/>
      <c r="I94" s="786"/>
      <c r="J94" s="778">
        <f t="shared" si="18"/>
        <v>334041823</v>
      </c>
      <c r="K94" s="778"/>
      <c r="L94" s="779">
        <f t="shared" si="19"/>
        <v>0</v>
      </c>
      <c r="M94" s="779">
        <f>K94+L94</f>
        <v>0</v>
      </c>
      <c r="N94" s="810" t="s">
        <v>760</v>
      </c>
      <c r="O94" s="819">
        <v>43913</v>
      </c>
      <c r="P94" s="789">
        <v>334041824</v>
      </c>
      <c r="Q94" s="790"/>
      <c r="R94" s="783" t="s">
        <v>943</v>
      </c>
    </row>
    <row r="95" spans="1:22" ht="22.5" x14ac:dyDescent="0.2">
      <c r="A95" s="1323"/>
      <c r="B95" s="783" t="s">
        <v>992</v>
      </c>
      <c r="C95" s="860" t="s">
        <v>993</v>
      </c>
      <c r="D95" s="785">
        <v>7550000</v>
      </c>
      <c r="E95" s="786"/>
      <c r="F95" s="778">
        <v>7550000</v>
      </c>
      <c r="G95" s="792"/>
      <c r="H95" s="787"/>
      <c r="I95" s="786"/>
      <c r="J95" s="778">
        <f t="shared" si="18"/>
        <v>7550000</v>
      </c>
      <c r="K95" s="778"/>
      <c r="L95" s="779">
        <f t="shared" si="19"/>
        <v>0</v>
      </c>
      <c r="M95" s="779">
        <f>K95+L95</f>
        <v>0</v>
      </c>
      <c r="N95" s="810"/>
      <c r="O95" s="819"/>
      <c r="P95" s="789"/>
      <c r="Q95" s="790"/>
      <c r="R95" s="783"/>
    </row>
    <row r="96" spans="1:22" ht="15" customHeight="1" x14ac:dyDescent="0.2">
      <c r="A96" s="1323" t="s">
        <v>758</v>
      </c>
      <c r="B96" s="783" t="s">
        <v>994</v>
      </c>
      <c r="C96" s="784" t="s">
        <v>995</v>
      </c>
      <c r="D96" s="785">
        <f>400000+500000</f>
        <v>900000</v>
      </c>
      <c r="E96" s="786"/>
      <c r="F96" s="778">
        <f>400000+500000</f>
        <v>900000</v>
      </c>
      <c r="G96" s="792"/>
      <c r="H96" s="787"/>
      <c r="I96" s="786"/>
      <c r="J96" s="778">
        <f t="shared" si="18"/>
        <v>900000</v>
      </c>
      <c r="K96" s="778"/>
      <c r="L96" s="779">
        <f t="shared" si="19"/>
        <v>0</v>
      </c>
      <c r="M96" s="779">
        <f>K96+L96</f>
        <v>0</v>
      </c>
      <c r="N96" s="810"/>
      <c r="O96" s="819"/>
      <c r="P96" s="789"/>
      <c r="Q96" s="790"/>
      <c r="R96" s="783"/>
    </row>
    <row r="97" spans="1:22" x14ac:dyDescent="0.2">
      <c r="A97" s="1323"/>
      <c r="B97" s="783" t="s">
        <v>996</v>
      </c>
      <c r="C97" s="784" t="s">
        <v>980</v>
      </c>
      <c r="D97" s="785">
        <v>2000000</v>
      </c>
      <c r="E97" s="786"/>
      <c r="F97" s="778">
        <v>2000000</v>
      </c>
      <c r="G97" s="792"/>
      <c r="H97" s="787"/>
      <c r="I97" s="786"/>
      <c r="J97" s="778">
        <f t="shared" si="18"/>
        <v>2000000</v>
      </c>
      <c r="K97" s="778"/>
      <c r="L97" s="779">
        <f t="shared" si="19"/>
        <v>0</v>
      </c>
      <c r="M97" s="779">
        <f>K97+L97</f>
        <v>0</v>
      </c>
      <c r="N97" s="810"/>
      <c r="O97" s="819"/>
      <c r="P97" s="789"/>
      <c r="Q97" s="790"/>
      <c r="R97" s="783"/>
    </row>
    <row r="98" spans="1:22" x14ac:dyDescent="0.2">
      <c r="A98" s="1323"/>
      <c r="B98" s="783" t="s">
        <v>947</v>
      </c>
      <c r="C98" s="784"/>
      <c r="D98" s="785"/>
      <c r="E98" s="786"/>
      <c r="F98" s="778">
        <f>T98</f>
        <v>0</v>
      </c>
      <c r="G98" s="786"/>
      <c r="H98" s="787"/>
      <c r="I98" s="786"/>
      <c r="J98" s="778">
        <f t="shared" si="18"/>
        <v>0</v>
      </c>
      <c r="K98" s="778"/>
      <c r="L98" s="779">
        <f t="shared" si="19"/>
        <v>0</v>
      </c>
      <c r="M98" s="779">
        <f>IF(E98="",D98-J98+K98,E98-J98+K98)</f>
        <v>0</v>
      </c>
      <c r="N98" s="784"/>
      <c r="O98" s="788"/>
      <c r="P98" s="789"/>
      <c r="Q98" s="790"/>
      <c r="R98" s="783"/>
      <c r="S98" s="751" t="s">
        <v>948</v>
      </c>
      <c r="T98" s="751">
        <f>SUM(T93:T94)</f>
        <v>0</v>
      </c>
    </row>
    <row r="99" spans="1:22" s="807" customFormat="1" x14ac:dyDescent="0.2">
      <c r="A99" s="811" t="s">
        <v>997</v>
      </c>
      <c r="B99" s="795" t="s">
        <v>998</v>
      </c>
      <c r="C99" s="796"/>
      <c r="D99" s="797"/>
      <c r="E99" s="798"/>
      <c r="F99" s="799"/>
      <c r="G99" s="798"/>
      <c r="H99" s="800"/>
      <c r="I99" s="798"/>
      <c r="J99" s="812">
        <f>SUM(J93:J98)</f>
        <v>508585397</v>
      </c>
      <c r="K99" s="812">
        <f>SUM(K93:K98)</f>
        <v>0</v>
      </c>
      <c r="L99" s="812">
        <f>SUM(L93:L98)</f>
        <v>-47980000</v>
      </c>
      <c r="M99" s="812">
        <f>SUM(M93:M98)</f>
        <v>-47980000</v>
      </c>
      <c r="N99" s="796"/>
      <c r="O99" s="802"/>
      <c r="P99" s="803"/>
      <c r="Q99" s="804"/>
      <c r="R99" s="805"/>
      <c r="S99" s="806"/>
      <c r="T99" s="806"/>
      <c r="U99" s="806"/>
      <c r="V99" s="806"/>
    </row>
    <row r="100" spans="1:22" x14ac:dyDescent="0.2">
      <c r="A100" s="1318" t="s">
        <v>762</v>
      </c>
      <c r="B100" s="772" t="s">
        <v>201</v>
      </c>
      <c r="C100" s="773" t="s">
        <v>200</v>
      </c>
      <c r="D100" s="774">
        <v>49280572</v>
      </c>
      <c r="E100" s="775">
        <v>49259836</v>
      </c>
      <c r="F100" s="776">
        <v>24640286</v>
      </c>
      <c r="G100" s="775">
        <v>19712229</v>
      </c>
      <c r="H100" s="777">
        <v>4907321</v>
      </c>
      <c r="I100" s="775"/>
      <c r="J100" s="776">
        <f>SUM(F100:I100)</f>
        <v>49259836</v>
      </c>
      <c r="K100" s="776"/>
      <c r="L100" s="779">
        <f t="shared" ref="L100:L109" si="20">IF(E100="",D100-J100-K100,E100-J100-K100)</f>
        <v>0</v>
      </c>
      <c r="M100" s="779">
        <f t="shared" ref="M100:M109" si="21">K100+L100</f>
        <v>0</v>
      </c>
      <c r="N100" s="773"/>
      <c r="O100" s="780"/>
      <c r="P100" s="781"/>
      <c r="Q100" s="782"/>
      <c r="R100" s="772" t="s">
        <v>957</v>
      </c>
      <c r="S100" s="751" t="s">
        <v>763</v>
      </c>
    </row>
    <row r="101" spans="1:22" x14ac:dyDescent="0.2">
      <c r="A101" s="1319"/>
      <c r="B101" s="783" t="s">
        <v>764</v>
      </c>
      <c r="C101" s="784" t="s">
        <v>200</v>
      </c>
      <c r="D101" s="785">
        <v>20600000</v>
      </c>
      <c r="E101" s="786"/>
      <c r="F101" s="778">
        <v>20600000</v>
      </c>
      <c r="G101" s="786"/>
      <c r="H101" s="787"/>
      <c r="I101" s="786"/>
      <c r="J101" s="778">
        <f>SUM(F101:I101)</f>
        <v>20600000</v>
      </c>
      <c r="K101" s="778"/>
      <c r="L101" s="779">
        <f t="shared" si="20"/>
        <v>0</v>
      </c>
      <c r="M101" s="779">
        <f t="shared" si="21"/>
        <v>0</v>
      </c>
      <c r="N101" s="784"/>
      <c r="O101" s="788"/>
      <c r="P101" s="789"/>
      <c r="Q101" s="790"/>
      <c r="R101" s="783" t="s">
        <v>957</v>
      </c>
      <c r="S101" s="751" t="s">
        <v>999</v>
      </c>
      <c r="T101" s="751">
        <v>1950000</v>
      </c>
    </row>
    <row r="102" spans="1:22" x14ac:dyDescent="0.2">
      <c r="A102" s="1319"/>
      <c r="B102" s="783" t="s">
        <v>31</v>
      </c>
      <c r="C102" s="784" t="s">
        <v>385</v>
      </c>
      <c r="D102" s="785">
        <v>52050039</v>
      </c>
      <c r="E102" s="786">
        <v>68065463</v>
      </c>
      <c r="F102" s="778">
        <v>15615000</v>
      </c>
      <c r="G102" s="786">
        <v>52450463</v>
      </c>
      <c r="H102" s="787"/>
      <c r="I102" s="786"/>
      <c r="J102" s="778">
        <f t="shared" ref="J102:J127" si="22">SUM(F102:I102)</f>
        <v>68065463</v>
      </c>
      <c r="K102" s="778"/>
      <c r="L102" s="779">
        <f t="shared" si="20"/>
        <v>0</v>
      </c>
      <c r="M102" s="779">
        <f t="shared" si="21"/>
        <v>0</v>
      </c>
      <c r="N102" s="784"/>
      <c r="O102" s="788"/>
      <c r="P102" s="789"/>
      <c r="Q102" s="790"/>
      <c r="R102" s="783" t="s">
        <v>943</v>
      </c>
      <c r="S102" s="751" t="s">
        <v>1000</v>
      </c>
      <c r="T102" s="751">
        <v>4500000</v>
      </c>
    </row>
    <row r="103" spans="1:22" x14ac:dyDescent="0.2">
      <c r="A103" s="1319"/>
      <c r="B103" s="783" t="s">
        <v>215</v>
      </c>
      <c r="C103" s="784" t="s">
        <v>216</v>
      </c>
      <c r="D103" s="785">
        <v>110176769</v>
      </c>
      <c r="E103" s="786"/>
      <c r="F103" s="778">
        <v>40064280</v>
      </c>
      <c r="G103" s="786">
        <v>40064280</v>
      </c>
      <c r="H103" s="787"/>
      <c r="I103" s="786"/>
      <c r="J103" s="778">
        <f t="shared" si="22"/>
        <v>80128560</v>
      </c>
      <c r="K103" s="778"/>
      <c r="L103" s="779">
        <f t="shared" si="20"/>
        <v>30048209</v>
      </c>
      <c r="M103" s="779">
        <f t="shared" si="21"/>
        <v>30048209</v>
      </c>
      <c r="N103" s="784"/>
      <c r="O103" s="788"/>
      <c r="P103" s="789"/>
      <c r="Q103" s="790"/>
      <c r="R103" s="783" t="s">
        <v>943</v>
      </c>
      <c r="S103" s="751" t="s">
        <v>1001</v>
      </c>
      <c r="T103" s="751">
        <v>5950000</v>
      </c>
    </row>
    <row r="104" spans="1:22" x14ac:dyDescent="0.2">
      <c r="A104" s="1319"/>
      <c r="B104" s="783" t="s">
        <v>50</v>
      </c>
      <c r="C104" s="784" t="s">
        <v>323</v>
      </c>
      <c r="D104" s="785">
        <v>30676800</v>
      </c>
      <c r="E104" s="786"/>
      <c r="F104" s="778">
        <v>19521600</v>
      </c>
      <c r="G104" s="786"/>
      <c r="H104" s="787"/>
      <c r="I104" s="786"/>
      <c r="J104" s="778">
        <f t="shared" si="22"/>
        <v>19521600</v>
      </c>
      <c r="K104" s="778"/>
      <c r="L104" s="779">
        <f t="shared" si="20"/>
        <v>11155200</v>
      </c>
      <c r="M104" s="779">
        <f t="shared" si="21"/>
        <v>11155200</v>
      </c>
      <c r="N104" s="784" t="s">
        <v>767</v>
      </c>
      <c r="O104" s="788">
        <v>43941</v>
      </c>
      <c r="P104" s="789"/>
      <c r="Q104" s="790"/>
      <c r="R104" s="783" t="s">
        <v>943</v>
      </c>
      <c r="S104" s="751" t="s">
        <v>1002</v>
      </c>
      <c r="T104" s="751">
        <v>8550000</v>
      </c>
    </row>
    <row r="105" spans="1:22" x14ac:dyDescent="0.2">
      <c r="A105" s="1319"/>
      <c r="B105" s="783" t="s">
        <v>99</v>
      </c>
      <c r="C105" s="784" t="s">
        <v>100</v>
      </c>
      <c r="D105" s="785">
        <v>230040000</v>
      </c>
      <c r="E105" s="786">
        <v>230330000</v>
      </c>
      <c r="F105" s="778">
        <v>69012000</v>
      </c>
      <c r="G105" s="786">
        <v>149801500</v>
      </c>
      <c r="H105" s="787"/>
      <c r="I105" s="786"/>
      <c r="J105" s="778">
        <f t="shared" si="22"/>
        <v>218813500</v>
      </c>
      <c r="K105" s="778"/>
      <c r="L105" s="779">
        <f t="shared" si="20"/>
        <v>11516500</v>
      </c>
      <c r="M105" s="779">
        <f t="shared" si="21"/>
        <v>11516500</v>
      </c>
      <c r="N105" s="784"/>
      <c r="O105" s="788"/>
      <c r="P105" s="789"/>
      <c r="Q105" s="790"/>
      <c r="R105" s="783" t="s">
        <v>943</v>
      </c>
      <c r="S105" s="751" t="s">
        <v>1003</v>
      </c>
      <c r="T105" s="751">
        <v>300000</v>
      </c>
    </row>
    <row r="106" spans="1:22" x14ac:dyDescent="0.2">
      <c r="A106" s="1319"/>
      <c r="B106" s="783" t="s">
        <v>692</v>
      </c>
      <c r="C106" s="784" t="s">
        <v>176</v>
      </c>
      <c r="D106" s="785">
        <v>6845234</v>
      </c>
      <c r="E106" s="786"/>
      <c r="F106" s="778">
        <v>6845234</v>
      </c>
      <c r="G106" s="786"/>
      <c r="H106" s="787"/>
      <c r="I106" s="786"/>
      <c r="J106" s="778">
        <f t="shared" si="22"/>
        <v>6845234</v>
      </c>
      <c r="K106" s="778"/>
      <c r="L106" s="779">
        <f t="shared" si="20"/>
        <v>0</v>
      </c>
      <c r="M106" s="779">
        <f t="shared" si="21"/>
        <v>0</v>
      </c>
      <c r="N106" s="784"/>
      <c r="O106" s="788"/>
      <c r="P106" s="789"/>
      <c r="Q106" s="790"/>
      <c r="R106" s="783" t="s">
        <v>943</v>
      </c>
      <c r="S106" s="751" t="s">
        <v>1004</v>
      </c>
      <c r="T106" s="751">
        <v>1810000</v>
      </c>
    </row>
    <row r="107" spans="1:22" ht="22.5" x14ac:dyDescent="0.2">
      <c r="A107" s="1319"/>
      <c r="B107" s="783" t="s">
        <v>34</v>
      </c>
      <c r="C107" s="860" t="s">
        <v>204</v>
      </c>
      <c r="D107" s="785">
        <v>55505340</v>
      </c>
      <c r="E107" s="786">
        <v>52345480</v>
      </c>
      <c r="F107" s="778">
        <v>15137820</v>
      </c>
      <c r="G107" s="786">
        <v>20183760</v>
      </c>
      <c r="H107" s="787">
        <v>17023900</v>
      </c>
      <c r="I107" s="786"/>
      <c r="J107" s="778">
        <f t="shared" si="22"/>
        <v>52345480</v>
      </c>
      <c r="K107" s="778"/>
      <c r="L107" s="779">
        <f t="shared" si="20"/>
        <v>0</v>
      </c>
      <c r="M107" s="779">
        <f t="shared" si="21"/>
        <v>0</v>
      </c>
      <c r="N107" s="784" t="s">
        <v>768</v>
      </c>
      <c r="O107" s="788">
        <v>43942</v>
      </c>
      <c r="P107" s="789"/>
      <c r="Q107" s="790"/>
      <c r="R107" s="783" t="s">
        <v>943</v>
      </c>
      <c r="S107" s="751" t="s">
        <v>1005</v>
      </c>
      <c r="T107" s="751">
        <v>1118000</v>
      </c>
    </row>
    <row r="108" spans="1:22" x14ac:dyDescent="0.2">
      <c r="A108" s="1319"/>
      <c r="B108" s="783" t="s">
        <v>118</v>
      </c>
      <c r="C108" s="784" t="s">
        <v>315</v>
      </c>
      <c r="D108" s="785">
        <v>28216000</v>
      </c>
      <c r="E108" s="786">
        <v>28286400</v>
      </c>
      <c r="F108" s="778">
        <v>11286400</v>
      </c>
      <c r="G108" s="786">
        <v>17000000</v>
      </c>
      <c r="H108" s="787"/>
      <c r="I108" s="786"/>
      <c r="J108" s="778">
        <f t="shared" si="22"/>
        <v>28286400</v>
      </c>
      <c r="K108" s="778"/>
      <c r="L108" s="779">
        <f t="shared" si="20"/>
        <v>0</v>
      </c>
      <c r="M108" s="779">
        <f t="shared" si="21"/>
        <v>0</v>
      </c>
      <c r="N108" s="784"/>
      <c r="O108" s="788"/>
      <c r="P108" s="789"/>
      <c r="Q108" s="790"/>
      <c r="R108" s="783" t="s">
        <v>957</v>
      </c>
      <c r="S108" s="751" t="s">
        <v>1006</v>
      </c>
      <c r="T108" s="751">
        <v>2138000</v>
      </c>
    </row>
    <row r="109" spans="1:22" x14ac:dyDescent="0.2">
      <c r="A109" s="1319"/>
      <c r="B109" s="783" t="s">
        <v>1007</v>
      </c>
      <c r="C109" s="784" t="s">
        <v>229</v>
      </c>
      <c r="D109" s="785">
        <v>33258500</v>
      </c>
      <c r="E109" s="786">
        <v>30195000</v>
      </c>
      <c r="F109" s="778">
        <v>16629000</v>
      </c>
      <c r="G109" s="786"/>
      <c r="H109" s="787"/>
      <c r="I109" s="786"/>
      <c r="J109" s="778">
        <f t="shared" si="22"/>
        <v>16629000</v>
      </c>
      <c r="K109" s="778"/>
      <c r="L109" s="779">
        <f t="shared" si="20"/>
        <v>13566000</v>
      </c>
      <c r="M109" s="779">
        <f t="shared" si="21"/>
        <v>13566000</v>
      </c>
      <c r="N109" s="784"/>
      <c r="O109" s="788"/>
      <c r="P109" s="789"/>
      <c r="Q109" s="790"/>
      <c r="R109" s="783" t="s">
        <v>943</v>
      </c>
      <c r="S109" s="751" t="s">
        <v>1008</v>
      </c>
      <c r="T109" s="751">
        <v>3280000</v>
      </c>
    </row>
    <row r="110" spans="1:22" x14ac:dyDescent="0.2">
      <c r="A110" s="1319"/>
      <c r="B110" s="783" t="s">
        <v>257</v>
      </c>
      <c r="C110" s="784" t="s">
        <v>286</v>
      </c>
      <c r="D110" s="791">
        <f>J110</f>
        <v>6875000</v>
      </c>
      <c r="E110" s="786"/>
      <c r="F110" s="778">
        <v>6875000</v>
      </c>
      <c r="G110" s="786"/>
      <c r="H110" s="787"/>
      <c r="I110" s="786"/>
      <c r="J110" s="778">
        <f t="shared" si="22"/>
        <v>6875000</v>
      </c>
      <c r="K110" s="778"/>
      <c r="L110" s="779"/>
      <c r="M110" s="779"/>
      <c r="N110" s="784"/>
      <c r="O110" s="788"/>
      <c r="P110" s="789"/>
      <c r="Q110" s="790"/>
      <c r="R110" s="783"/>
      <c r="S110" s="751" t="s">
        <v>960</v>
      </c>
      <c r="T110" s="751">
        <v>2546000</v>
      </c>
    </row>
    <row r="111" spans="1:22" x14ac:dyDescent="0.2">
      <c r="A111" s="1319"/>
      <c r="B111" s="783" t="s">
        <v>170</v>
      </c>
      <c r="C111" s="784" t="s">
        <v>171</v>
      </c>
      <c r="D111" s="785">
        <v>10220430</v>
      </c>
      <c r="E111" s="786"/>
      <c r="F111" s="778">
        <v>10220430</v>
      </c>
      <c r="G111" s="786"/>
      <c r="H111" s="787"/>
      <c r="I111" s="786"/>
      <c r="J111" s="778">
        <f t="shared" si="22"/>
        <v>10220430</v>
      </c>
      <c r="K111" s="778"/>
      <c r="L111" s="779">
        <f t="shared" ref="L111:L116" si="23">IF(E111="",D111-J111-K111,E111-J111-K111)</f>
        <v>0</v>
      </c>
      <c r="M111" s="779">
        <f t="shared" ref="M111:M116" si="24">K111+L111</f>
        <v>0</v>
      </c>
      <c r="N111" s="784"/>
      <c r="O111" s="788"/>
      <c r="P111" s="789"/>
      <c r="Q111" s="790"/>
      <c r="R111" s="783" t="s">
        <v>171</v>
      </c>
      <c r="S111" s="751" t="s">
        <v>953</v>
      </c>
      <c r="T111" s="751">
        <v>460000</v>
      </c>
    </row>
    <row r="112" spans="1:22" x14ac:dyDescent="0.2">
      <c r="A112" s="1319"/>
      <c r="B112" s="783" t="s">
        <v>514</v>
      </c>
      <c r="C112" s="784" t="s">
        <v>114</v>
      </c>
      <c r="D112" s="785">
        <v>13612000</v>
      </c>
      <c r="E112" s="786"/>
      <c r="F112" s="778">
        <v>13612000</v>
      </c>
      <c r="G112" s="786"/>
      <c r="H112" s="787"/>
      <c r="I112" s="786"/>
      <c r="J112" s="778">
        <f t="shared" si="22"/>
        <v>13612000</v>
      </c>
      <c r="K112" s="778"/>
      <c r="L112" s="779">
        <f t="shared" si="23"/>
        <v>0</v>
      </c>
      <c r="M112" s="779">
        <f t="shared" si="24"/>
        <v>0</v>
      </c>
      <c r="N112" s="784"/>
      <c r="O112" s="788"/>
      <c r="P112" s="789"/>
      <c r="Q112" s="790"/>
      <c r="R112" s="783" t="s">
        <v>968</v>
      </c>
      <c r="S112" s="751" t="s">
        <v>964</v>
      </c>
      <c r="T112" s="751">
        <v>1600000</v>
      </c>
    </row>
    <row r="113" spans="1:18" ht="22.5" x14ac:dyDescent="0.2">
      <c r="A113" s="1319"/>
      <c r="B113" s="783" t="s">
        <v>50</v>
      </c>
      <c r="C113" s="860" t="s">
        <v>65</v>
      </c>
      <c r="D113" s="785">
        <v>7260000</v>
      </c>
      <c r="E113" s="786"/>
      <c r="F113" s="778">
        <v>2178000</v>
      </c>
      <c r="G113" s="786">
        <v>5082000</v>
      </c>
      <c r="H113" s="787"/>
      <c r="I113" s="786"/>
      <c r="J113" s="778">
        <f t="shared" si="22"/>
        <v>7260000</v>
      </c>
      <c r="K113" s="778"/>
      <c r="L113" s="779">
        <f t="shared" si="23"/>
        <v>0</v>
      </c>
      <c r="M113" s="779">
        <f t="shared" si="24"/>
        <v>0</v>
      </c>
      <c r="N113" s="784"/>
      <c r="O113" s="788"/>
      <c r="P113" s="789"/>
      <c r="Q113" s="790"/>
      <c r="R113" s="783" t="s">
        <v>957</v>
      </c>
    </row>
    <row r="114" spans="1:18" x14ac:dyDescent="0.2">
      <c r="A114" s="1319"/>
      <c r="B114" s="783" t="s">
        <v>34</v>
      </c>
      <c r="C114" s="784" t="s">
        <v>695</v>
      </c>
      <c r="D114" s="785">
        <v>5115000</v>
      </c>
      <c r="E114" s="786"/>
      <c r="F114" s="778">
        <v>5115000</v>
      </c>
      <c r="G114" s="786"/>
      <c r="H114" s="787"/>
      <c r="I114" s="786"/>
      <c r="J114" s="778">
        <f t="shared" si="22"/>
        <v>5115000</v>
      </c>
      <c r="K114" s="778"/>
      <c r="L114" s="779">
        <f t="shared" si="23"/>
        <v>0</v>
      </c>
      <c r="M114" s="779">
        <f t="shared" si="24"/>
        <v>0</v>
      </c>
      <c r="N114" s="784"/>
      <c r="O114" s="788"/>
      <c r="P114" s="789"/>
      <c r="Q114" s="790"/>
      <c r="R114" s="783" t="s">
        <v>943</v>
      </c>
    </row>
    <row r="115" spans="1:18" x14ac:dyDescent="0.2">
      <c r="A115" s="1319"/>
      <c r="B115" s="783" t="s">
        <v>107</v>
      </c>
      <c r="C115" s="784" t="s">
        <v>341</v>
      </c>
      <c r="D115" s="785"/>
      <c r="E115" s="786">
        <v>8640000</v>
      </c>
      <c r="F115" s="778">
        <v>4000000</v>
      </c>
      <c r="G115" s="786">
        <v>4640000</v>
      </c>
      <c r="H115" s="787"/>
      <c r="I115" s="786"/>
      <c r="J115" s="778">
        <f t="shared" si="22"/>
        <v>8640000</v>
      </c>
      <c r="K115" s="778"/>
      <c r="L115" s="779">
        <f t="shared" si="23"/>
        <v>0</v>
      </c>
      <c r="M115" s="779">
        <f t="shared" si="24"/>
        <v>0</v>
      </c>
      <c r="N115" s="784"/>
      <c r="O115" s="788"/>
      <c r="P115" s="789"/>
      <c r="Q115" s="790"/>
      <c r="R115" s="783"/>
    </row>
    <row r="116" spans="1:18" x14ac:dyDescent="0.2">
      <c r="A116" s="1319"/>
      <c r="B116" s="783" t="s">
        <v>771</v>
      </c>
      <c r="C116" s="784" t="s">
        <v>772</v>
      </c>
      <c r="D116" s="785">
        <v>550000</v>
      </c>
      <c r="E116" s="786"/>
      <c r="F116" s="778">
        <v>550000</v>
      </c>
      <c r="G116" s="786"/>
      <c r="H116" s="787"/>
      <c r="I116" s="786"/>
      <c r="J116" s="778">
        <f t="shared" si="22"/>
        <v>550000</v>
      </c>
      <c r="K116" s="778"/>
      <c r="L116" s="779">
        <f t="shared" si="23"/>
        <v>0</v>
      </c>
      <c r="M116" s="779">
        <f t="shared" si="24"/>
        <v>0</v>
      </c>
      <c r="N116" s="784"/>
      <c r="O116" s="788"/>
      <c r="P116" s="789"/>
      <c r="Q116" s="790"/>
      <c r="R116" s="783" t="s">
        <v>943</v>
      </c>
    </row>
    <row r="117" spans="1:18" x14ac:dyDescent="0.2">
      <c r="A117" s="1319"/>
      <c r="B117" s="783" t="s">
        <v>773</v>
      </c>
      <c r="C117" s="784"/>
      <c r="D117" s="785">
        <v>15480000</v>
      </c>
      <c r="E117" s="786"/>
      <c r="F117" s="778">
        <v>15480000</v>
      </c>
      <c r="G117" s="786"/>
      <c r="H117" s="787"/>
      <c r="I117" s="786"/>
      <c r="J117" s="778">
        <f t="shared" si="22"/>
        <v>15480000</v>
      </c>
      <c r="K117" s="778"/>
      <c r="L117" s="779">
        <f t="shared" ref="L117:L131" si="25">IF(E117="",D117-J117-K117,E117-J117-K117)</f>
        <v>0</v>
      </c>
      <c r="M117" s="779">
        <f t="shared" ref="M117:M131" si="26">K117+L117</f>
        <v>0</v>
      </c>
      <c r="N117" s="784"/>
      <c r="O117" s="788"/>
      <c r="P117" s="789"/>
      <c r="Q117" s="790"/>
      <c r="R117" s="783"/>
    </row>
    <row r="118" spans="1:18" x14ac:dyDescent="0.2">
      <c r="A118" s="1319"/>
      <c r="B118" s="783" t="s">
        <v>158</v>
      </c>
      <c r="C118" s="784" t="s">
        <v>247</v>
      </c>
      <c r="D118" s="785">
        <v>4875000</v>
      </c>
      <c r="E118" s="786"/>
      <c r="F118" s="778">
        <v>4875000</v>
      </c>
      <c r="G118" s="786"/>
      <c r="H118" s="787"/>
      <c r="I118" s="786"/>
      <c r="J118" s="778">
        <f t="shared" si="22"/>
        <v>4875000</v>
      </c>
      <c r="K118" s="778"/>
      <c r="L118" s="779">
        <f t="shared" si="25"/>
        <v>0</v>
      </c>
      <c r="M118" s="779">
        <f t="shared" si="26"/>
        <v>0</v>
      </c>
      <c r="N118" s="784"/>
      <c r="O118" s="788"/>
      <c r="P118" s="789"/>
      <c r="Q118" s="790"/>
      <c r="R118" s="783" t="s">
        <v>943</v>
      </c>
    </row>
    <row r="119" spans="1:18" x14ac:dyDescent="0.2">
      <c r="A119" s="1319"/>
      <c r="B119" s="783" t="s">
        <v>774</v>
      </c>
      <c r="C119" s="784" t="s">
        <v>229</v>
      </c>
      <c r="D119" s="785">
        <v>126060000</v>
      </c>
      <c r="E119" s="786"/>
      <c r="F119" s="778">
        <v>126060000</v>
      </c>
      <c r="G119" s="786"/>
      <c r="H119" s="787"/>
      <c r="I119" s="786"/>
      <c r="J119" s="778">
        <f t="shared" si="22"/>
        <v>126060000</v>
      </c>
      <c r="K119" s="778"/>
      <c r="L119" s="779">
        <f t="shared" si="25"/>
        <v>0</v>
      </c>
      <c r="M119" s="779">
        <f t="shared" si="26"/>
        <v>0</v>
      </c>
      <c r="N119" s="784" t="s">
        <v>775</v>
      </c>
      <c r="O119" s="788">
        <v>43978</v>
      </c>
      <c r="P119" s="789"/>
      <c r="Q119" s="790"/>
      <c r="R119" s="783" t="s">
        <v>943</v>
      </c>
    </row>
    <row r="120" spans="1:18" x14ac:dyDescent="0.2">
      <c r="A120" s="1319"/>
      <c r="B120" s="783" t="s">
        <v>776</v>
      </c>
      <c r="C120" s="784" t="s">
        <v>229</v>
      </c>
      <c r="D120" s="785">
        <v>64878000</v>
      </c>
      <c r="E120" s="786"/>
      <c r="F120" s="778">
        <v>32439000</v>
      </c>
      <c r="G120" s="786"/>
      <c r="H120" s="787"/>
      <c r="I120" s="786"/>
      <c r="J120" s="778">
        <f t="shared" si="22"/>
        <v>32439000</v>
      </c>
      <c r="K120" s="778"/>
      <c r="L120" s="779">
        <f t="shared" si="25"/>
        <v>32439000</v>
      </c>
      <c r="M120" s="779">
        <f t="shared" si="26"/>
        <v>32439000</v>
      </c>
      <c r="N120" s="784" t="s">
        <v>775</v>
      </c>
      <c r="O120" s="788">
        <v>43978</v>
      </c>
      <c r="P120" s="789"/>
      <c r="Q120" s="790"/>
      <c r="R120" s="783" t="s">
        <v>943</v>
      </c>
    </row>
    <row r="121" spans="1:18" x14ac:dyDescent="0.2">
      <c r="A121" s="1319"/>
      <c r="B121" s="783" t="s">
        <v>394</v>
      </c>
      <c r="C121" s="784" t="s">
        <v>162</v>
      </c>
      <c r="D121" s="785">
        <v>31600000</v>
      </c>
      <c r="E121" s="786"/>
      <c r="F121" s="778">
        <v>31600000</v>
      </c>
      <c r="G121" s="786"/>
      <c r="H121" s="787"/>
      <c r="I121" s="786"/>
      <c r="J121" s="778">
        <f t="shared" si="22"/>
        <v>31600000</v>
      </c>
      <c r="K121" s="778"/>
      <c r="L121" s="779">
        <f t="shared" si="25"/>
        <v>0</v>
      </c>
      <c r="M121" s="779">
        <f t="shared" si="26"/>
        <v>0</v>
      </c>
      <c r="N121" s="784"/>
      <c r="O121" s="788"/>
      <c r="P121" s="789"/>
      <c r="Q121" s="790"/>
      <c r="R121" s="783"/>
    </row>
    <row r="122" spans="1:18" x14ac:dyDescent="0.2">
      <c r="A122" s="1319"/>
      <c r="B122" s="783" t="s">
        <v>777</v>
      </c>
      <c r="C122" s="784" t="s">
        <v>778</v>
      </c>
      <c r="D122" s="791">
        <f>J122</f>
        <v>5328400</v>
      </c>
      <c r="E122" s="786"/>
      <c r="F122" s="778">
        <v>5328400</v>
      </c>
      <c r="G122" s="786"/>
      <c r="H122" s="787"/>
      <c r="I122" s="786"/>
      <c r="J122" s="778">
        <f t="shared" si="22"/>
        <v>5328400</v>
      </c>
      <c r="K122" s="778"/>
      <c r="L122" s="779">
        <f t="shared" si="25"/>
        <v>0</v>
      </c>
      <c r="M122" s="779">
        <f t="shared" si="26"/>
        <v>0</v>
      </c>
      <c r="N122" s="784"/>
      <c r="O122" s="788"/>
      <c r="P122" s="789"/>
      <c r="Q122" s="790"/>
      <c r="R122" s="783" t="s">
        <v>943</v>
      </c>
    </row>
    <row r="123" spans="1:18" x14ac:dyDescent="0.2">
      <c r="A123" s="1319"/>
      <c r="B123" s="783" t="s">
        <v>966</v>
      </c>
      <c r="C123" s="810" t="s">
        <v>967</v>
      </c>
      <c r="D123" s="791">
        <f>J123</f>
        <v>46500000</v>
      </c>
      <c r="E123" s="786"/>
      <c r="F123" s="778">
        <v>46500000</v>
      </c>
      <c r="G123" s="786"/>
      <c r="H123" s="787"/>
      <c r="I123" s="786"/>
      <c r="J123" s="778">
        <f t="shared" si="22"/>
        <v>46500000</v>
      </c>
      <c r="K123" s="778"/>
      <c r="L123" s="779">
        <f t="shared" si="25"/>
        <v>0</v>
      </c>
      <c r="M123" s="779">
        <f t="shared" si="26"/>
        <v>0</v>
      </c>
      <c r="N123" s="784"/>
      <c r="O123" s="788"/>
      <c r="P123" s="789"/>
      <c r="Q123" s="790"/>
      <c r="R123" s="783" t="s">
        <v>957</v>
      </c>
    </row>
    <row r="124" spans="1:18" x14ac:dyDescent="0.2">
      <c r="A124" s="1319"/>
      <c r="B124" s="783" t="s">
        <v>1009</v>
      </c>
      <c r="C124" s="784" t="s">
        <v>229</v>
      </c>
      <c r="D124" s="791">
        <v>29150000</v>
      </c>
      <c r="E124" s="786"/>
      <c r="F124" s="808">
        <v>29150000</v>
      </c>
      <c r="G124" s="786"/>
      <c r="H124" s="787"/>
      <c r="I124" s="786"/>
      <c r="J124" s="778">
        <f t="shared" si="22"/>
        <v>29150000</v>
      </c>
      <c r="K124" s="778"/>
      <c r="L124" s="779">
        <f t="shared" si="25"/>
        <v>0</v>
      </c>
      <c r="M124" s="779">
        <f t="shared" si="26"/>
        <v>0</v>
      </c>
      <c r="N124" s="784"/>
      <c r="O124" s="788"/>
      <c r="P124" s="789"/>
      <c r="Q124" s="790"/>
      <c r="R124" s="783" t="s">
        <v>943</v>
      </c>
    </row>
    <row r="125" spans="1:18" x14ac:dyDescent="0.2">
      <c r="A125" s="1319"/>
      <c r="B125" s="783" t="s">
        <v>1010</v>
      </c>
      <c r="C125" s="784" t="s">
        <v>1011</v>
      </c>
      <c r="D125" s="791">
        <v>4124000</v>
      </c>
      <c r="E125" s="786"/>
      <c r="F125" s="808">
        <v>2276000</v>
      </c>
      <c r="G125" s="786">
        <v>1848000</v>
      </c>
      <c r="H125" s="787"/>
      <c r="I125" s="786"/>
      <c r="J125" s="778">
        <f t="shared" si="22"/>
        <v>4124000</v>
      </c>
      <c r="K125" s="778"/>
      <c r="L125" s="779">
        <f t="shared" si="25"/>
        <v>0</v>
      </c>
      <c r="M125" s="779">
        <f t="shared" si="26"/>
        <v>0</v>
      </c>
      <c r="N125" s="784"/>
      <c r="O125" s="788"/>
      <c r="P125" s="789"/>
      <c r="Q125" s="790"/>
      <c r="R125" s="783"/>
    </row>
    <row r="126" spans="1:18" x14ac:dyDescent="0.2">
      <c r="A126" s="1319"/>
      <c r="B126" s="783" t="s">
        <v>945</v>
      </c>
      <c r="C126" s="784" t="s">
        <v>1012</v>
      </c>
      <c r="D126" s="791">
        <v>1500000</v>
      </c>
      <c r="E126" s="786"/>
      <c r="F126" s="808">
        <v>1500000</v>
      </c>
      <c r="G126" s="786"/>
      <c r="H126" s="787"/>
      <c r="I126" s="786"/>
      <c r="J126" s="778">
        <f t="shared" si="22"/>
        <v>1500000</v>
      </c>
      <c r="K126" s="778"/>
      <c r="L126" s="779">
        <f t="shared" si="25"/>
        <v>0</v>
      </c>
      <c r="M126" s="779">
        <f t="shared" si="26"/>
        <v>0</v>
      </c>
      <c r="N126" s="784"/>
      <c r="O126" s="788"/>
      <c r="P126" s="789"/>
      <c r="Q126" s="790"/>
      <c r="R126" s="783"/>
    </row>
    <row r="127" spans="1:18" x14ac:dyDescent="0.2">
      <c r="A127" s="1319"/>
      <c r="B127" s="783" t="s">
        <v>1013</v>
      </c>
      <c r="C127" s="784" t="s">
        <v>251</v>
      </c>
      <c r="D127" s="791">
        <v>3753600</v>
      </c>
      <c r="E127" s="786"/>
      <c r="F127" s="808">
        <v>3753600</v>
      </c>
      <c r="G127" s="786"/>
      <c r="H127" s="787"/>
      <c r="I127" s="786"/>
      <c r="J127" s="778">
        <f t="shared" si="22"/>
        <v>3753600</v>
      </c>
      <c r="K127" s="778"/>
      <c r="L127" s="779">
        <f t="shared" si="25"/>
        <v>0</v>
      </c>
      <c r="M127" s="779">
        <f t="shared" si="26"/>
        <v>0</v>
      </c>
      <c r="N127" s="784"/>
      <c r="O127" s="788"/>
      <c r="P127" s="789"/>
      <c r="Q127" s="790"/>
      <c r="R127" s="783"/>
    </row>
    <row r="128" spans="1:18" x14ac:dyDescent="0.2">
      <c r="A128" s="1319"/>
      <c r="B128" s="783" t="s">
        <v>264</v>
      </c>
      <c r="C128" s="784" t="s">
        <v>704</v>
      </c>
      <c r="D128" s="791">
        <v>17670000</v>
      </c>
      <c r="E128" s="786"/>
      <c r="F128" s="808">
        <v>17670000</v>
      </c>
      <c r="G128" s="786"/>
      <c r="H128" s="787"/>
      <c r="I128" s="786"/>
      <c r="J128" s="778">
        <f>SUM(F128:I128)</f>
        <v>17670000</v>
      </c>
      <c r="K128" s="778"/>
      <c r="L128" s="779">
        <f t="shared" si="25"/>
        <v>0</v>
      </c>
      <c r="M128" s="779">
        <f t="shared" si="26"/>
        <v>0</v>
      </c>
      <c r="N128" s="784"/>
      <c r="O128" s="788"/>
      <c r="P128" s="789"/>
      <c r="Q128" s="790"/>
      <c r="R128" s="783"/>
    </row>
    <row r="129" spans="1:22" x14ac:dyDescent="0.2">
      <c r="A129" s="1319"/>
      <c r="B129" s="783" t="s">
        <v>1014</v>
      </c>
      <c r="C129" s="784" t="s">
        <v>980</v>
      </c>
      <c r="D129" s="791">
        <v>3000000</v>
      </c>
      <c r="E129" s="786"/>
      <c r="F129" s="808">
        <v>3000000</v>
      </c>
      <c r="G129" s="786"/>
      <c r="H129" s="787"/>
      <c r="I129" s="786"/>
      <c r="J129" s="778">
        <f>SUM(F129:I129)</f>
        <v>3000000</v>
      </c>
      <c r="K129" s="778"/>
      <c r="L129" s="779">
        <f t="shared" si="25"/>
        <v>0</v>
      </c>
      <c r="M129" s="779">
        <f t="shared" si="26"/>
        <v>0</v>
      </c>
      <c r="N129" s="784"/>
      <c r="O129" s="788"/>
      <c r="P129" s="789"/>
      <c r="Q129" s="790"/>
      <c r="R129" s="783"/>
    </row>
    <row r="130" spans="1:22" x14ac:dyDescent="0.2">
      <c r="A130" s="1319"/>
      <c r="B130" s="783" t="s">
        <v>215</v>
      </c>
      <c r="C130" s="784" t="s">
        <v>216</v>
      </c>
      <c r="D130" s="778">
        <v>34693395</v>
      </c>
      <c r="E130" s="786"/>
      <c r="F130" s="778">
        <v>34693395</v>
      </c>
      <c r="G130" s="786"/>
      <c r="H130" s="787"/>
      <c r="I130" s="786"/>
      <c r="J130" s="778">
        <f>SUM(F130:I130)</f>
        <v>34693395</v>
      </c>
      <c r="K130" s="778"/>
      <c r="L130" s="779">
        <f t="shared" si="25"/>
        <v>0</v>
      </c>
      <c r="M130" s="779">
        <f t="shared" si="26"/>
        <v>0</v>
      </c>
      <c r="N130" s="784"/>
      <c r="O130" s="788"/>
      <c r="P130" s="789"/>
      <c r="Q130" s="790"/>
      <c r="R130" s="783"/>
    </row>
    <row r="131" spans="1:22" x14ac:dyDescent="0.2">
      <c r="A131" s="1319"/>
      <c r="B131" s="783" t="s">
        <v>947</v>
      </c>
      <c r="C131" s="784"/>
      <c r="D131" s="785"/>
      <c r="E131" s="786"/>
      <c r="F131" s="778">
        <f>T131</f>
        <v>34202000</v>
      </c>
      <c r="G131" s="786"/>
      <c r="H131" s="787"/>
      <c r="I131" s="786"/>
      <c r="J131" s="778">
        <f>SUM(F131:I131)</f>
        <v>34202000</v>
      </c>
      <c r="K131" s="778"/>
      <c r="L131" s="779">
        <f t="shared" si="25"/>
        <v>-34202000</v>
      </c>
      <c r="M131" s="779">
        <f t="shared" si="26"/>
        <v>-34202000</v>
      </c>
      <c r="N131" s="784"/>
      <c r="O131" s="788"/>
      <c r="P131" s="789"/>
      <c r="Q131" s="790"/>
      <c r="R131" s="783"/>
      <c r="S131" s="751" t="s">
        <v>948</v>
      </c>
      <c r="T131" s="751">
        <f>SUM(T101:T123)</f>
        <v>34202000</v>
      </c>
    </row>
    <row r="132" spans="1:22" s="807" customFormat="1" x14ac:dyDescent="0.2">
      <c r="A132" s="811" t="s">
        <v>949</v>
      </c>
      <c r="B132" s="795" t="s">
        <v>762</v>
      </c>
      <c r="C132" s="796"/>
      <c r="D132" s="797"/>
      <c r="E132" s="798"/>
      <c r="F132" s="799"/>
      <c r="G132" s="798"/>
      <c r="H132" s="800"/>
      <c r="I132" s="798"/>
      <c r="J132" s="812">
        <f>SUM(J100:J131)</f>
        <v>1003142898</v>
      </c>
      <c r="K132" s="812">
        <f>SUM(K100:K131)</f>
        <v>0</v>
      </c>
      <c r="L132" s="812">
        <f>SUM(L100:L131)</f>
        <v>64522909</v>
      </c>
      <c r="M132" s="812">
        <f>SUM(M100:M131)</f>
        <v>64522909</v>
      </c>
      <c r="N132" s="796"/>
      <c r="O132" s="802"/>
      <c r="P132" s="803"/>
      <c r="Q132" s="804"/>
      <c r="R132" s="805"/>
      <c r="S132" s="806"/>
      <c r="T132" s="806"/>
      <c r="U132" s="806"/>
      <c r="V132" s="806"/>
    </row>
    <row r="133" spans="1:22" x14ac:dyDescent="0.2">
      <c r="A133" s="1322" t="s">
        <v>781</v>
      </c>
      <c r="B133" s="772" t="s">
        <v>340</v>
      </c>
      <c r="C133" s="773" t="s">
        <v>341</v>
      </c>
      <c r="D133" s="774">
        <v>500000</v>
      </c>
      <c r="E133" s="775"/>
      <c r="F133" s="776">
        <v>500000</v>
      </c>
      <c r="G133" s="775"/>
      <c r="H133" s="777"/>
      <c r="I133" s="775"/>
      <c r="J133" s="776">
        <f>SUM(F133:I133)</f>
        <v>500000</v>
      </c>
      <c r="K133" s="776"/>
      <c r="L133" s="779">
        <f>IF(E133="",D133-J133-K133,E133-J133-K133)</f>
        <v>0</v>
      </c>
      <c r="M133" s="779">
        <f>K133+L133</f>
        <v>0</v>
      </c>
      <c r="N133" s="773"/>
      <c r="O133" s="780"/>
      <c r="P133" s="781"/>
      <c r="Q133" s="782"/>
      <c r="R133" s="772"/>
      <c r="S133" s="751" t="s">
        <v>1015</v>
      </c>
    </row>
    <row r="134" spans="1:22" x14ac:dyDescent="0.2">
      <c r="A134" s="1323"/>
      <c r="B134" s="783" t="s">
        <v>99</v>
      </c>
      <c r="C134" s="784" t="s">
        <v>100</v>
      </c>
      <c r="D134" s="785">
        <v>14800000</v>
      </c>
      <c r="E134" s="786"/>
      <c r="F134" s="778">
        <v>14800000</v>
      </c>
      <c r="G134" s="786"/>
      <c r="H134" s="787"/>
      <c r="I134" s="786"/>
      <c r="J134" s="778">
        <f>SUM(F134:I134)</f>
        <v>14800000</v>
      </c>
      <c r="K134" s="778"/>
      <c r="L134" s="779">
        <f>IF(E134="",D134-J134-K134,E134-J134-K134)</f>
        <v>0</v>
      </c>
      <c r="M134" s="779">
        <f>K134+L134</f>
        <v>0</v>
      </c>
      <c r="N134" s="784"/>
      <c r="O134" s="788"/>
      <c r="P134" s="789"/>
      <c r="Q134" s="790"/>
      <c r="R134" s="783" t="s">
        <v>943</v>
      </c>
      <c r="S134" s="751" t="s">
        <v>565</v>
      </c>
      <c r="T134" s="751">
        <v>1350000</v>
      </c>
    </row>
    <row r="135" spans="1:22" x14ac:dyDescent="0.2">
      <c r="A135" s="1323"/>
      <c r="B135" s="783" t="s">
        <v>118</v>
      </c>
      <c r="C135" s="784" t="s">
        <v>301</v>
      </c>
      <c r="D135" s="785">
        <v>1259000</v>
      </c>
      <c r="E135" s="786"/>
      <c r="F135" s="778">
        <v>1259000</v>
      </c>
      <c r="G135" s="786"/>
      <c r="H135" s="787"/>
      <c r="I135" s="786"/>
      <c r="J135" s="778">
        <f>SUM(F135:I135)</f>
        <v>1259000</v>
      </c>
      <c r="K135" s="778"/>
      <c r="L135" s="779">
        <f>IF(E135="",D135-J135-K135,E135-J135-K135)</f>
        <v>0</v>
      </c>
      <c r="M135" s="779">
        <f>K135+L135</f>
        <v>0</v>
      </c>
      <c r="N135" s="784"/>
      <c r="O135" s="788"/>
      <c r="P135" s="789"/>
      <c r="Q135" s="790"/>
      <c r="R135" s="783"/>
      <c r="S135" s="751" t="s">
        <v>1016</v>
      </c>
      <c r="T135" s="751">
        <v>250000</v>
      </c>
    </row>
    <row r="136" spans="1:22" x14ac:dyDescent="0.2">
      <c r="A136" s="1323"/>
      <c r="B136" s="783" t="s">
        <v>947</v>
      </c>
      <c r="C136" s="784"/>
      <c r="D136" s="785"/>
      <c r="E136" s="786"/>
      <c r="F136" s="778">
        <f>T136</f>
        <v>1600000</v>
      </c>
      <c r="G136" s="786"/>
      <c r="H136" s="787"/>
      <c r="I136" s="786"/>
      <c r="J136" s="778">
        <f>SUM(F136:I136)</f>
        <v>1600000</v>
      </c>
      <c r="K136" s="778"/>
      <c r="L136" s="779">
        <f>IF(E136="",D136-J136-K136,E136-J136-K136)</f>
        <v>-1600000</v>
      </c>
      <c r="M136" s="779">
        <f>IF(E136="",D136-J136+K136,E136-J136+K136)</f>
        <v>-1600000</v>
      </c>
      <c r="N136" s="784"/>
      <c r="O136" s="788"/>
      <c r="P136" s="789"/>
      <c r="Q136" s="790"/>
      <c r="R136" s="783"/>
      <c r="S136" s="751" t="s">
        <v>948</v>
      </c>
      <c r="T136" s="751">
        <f>SUM(T133:T135)</f>
        <v>1600000</v>
      </c>
    </row>
    <row r="137" spans="1:22" s="807" customFormat="1" x14ac:dyDescent="0.2">
      <c r="A137" s="811" t="s">
        <v>949</v>
      </c>
      <c r="B137" s="795" t="s">
        <v>781</v>
      </c>
      <c r="C137" s="796"/>
      <c r="D137" s="797"/>
      <c r="E137" s="798"/>
      <c r="F137" s="799"/>
      <c r="G137" s="798"/>
      <c r="H137" s="800"/>
      <c r="I137" s="798"/>
      <c r="J137" s="812">
        <f>SUM(J133:J136)</f>
        <v>18159000</v>
      </c>
      <c r="K137" s="812">
        <f>SUM(K133:K136)</f>
        <v>0</v>
      </c>
      <c r="L137" s="812">
        <f>SUM(L133:L136)</f>
        <v>-1600000</v>
      </c>
      <c r="M137" s="812">
        <f>SUM(M133:M136)</f>
        <v>-1600000</v>
      </c>
      <c r="N137" s="796"/>
      <c r="O137" s="802"/>
      <c r="P137" s="803"/>
      <c r="Q137" s="804"/>
      <c r="R137" s="805"/>
      <c r="S137" s="806"/>
      <c r="T137" s="806"/>
      <c r="U137" s="806"/>
      <c r="V137" s="806"/>
    </row>
    <row r="138" spans="1:22" ht="11.25" customHeight="1" x14ac:dyDescent="0.2">
      <c r="A138" s="1318" t="s">
        <v>1017</v>
      </c>
      <c r="B138" s="772" t="s">
        <v>31</v>
      </c>
      <c r="C138" s="773" t="s">
        <v>168</v>
      </c>
      <c r="D138" s="774">
        <v>72650000</v>
      </c>
      <c r="E138" s="775">
        <v>86709000</v>
      </c>
      <c r="F138" s="776">
        <v>21795000</v>
      </c>
      <c r="G138" s="775">
        <v>29060000</v>
      </c>
      <c r="H138" s="777">
        <v>35854000</v>
      </c>
      <c r="I138" s="775"/>
      <c r="J138" s="776">
        <f>SUM(F138:I138)</f>
        <v>86709000</v>
      </c>
      <c r="K138" s="776"/>
      <c r="L138" s="779">
        <f>IF(E138="",D138-J138-K138,E138-J138-K138)</f>
        <v>0</v>
      </c>
      <c r="M138" s="779">
        <f>K138+L138</f>
        <v>0</v>
      </c>
      <c r="N138" s="773"/>
      <c r="O138" s="780"/>
      <c r="P138" s="781"/>
      <c r="Q138" s="782"/>
      <c r="R138" s="772"/>
      <c r="S138" s="751" t="s">
        <v>783</v>
      </c>
    </row>
    <row r="139" spans="1:22" x14ac:dyDescent="0.2">
      <c r="A139" s="1319"/>
      <c r="B139" s="783" t="s">
        <v>492</v>
      </c>
      <c r="C139" s="784" t="s">
        <v>784</v>
      </c>
      <c r="D139" s="785">
        <v>174999000</v>
      </c>
      <c r="E139" s="786">
        <v>174999000</v>
      </c>
      <c r="F139" s="778">
        <v>122499300</v>
      </c>
      <c r="G139" s="786">
        <v>52499700</v>
      </c>
      <c r="H139" s="787"/>
      <c r="I139" s="786"/>
      <c r="J139" s="778">
        <f>SUM(F139:I139)</f>
        <v>174999000</v>
      </c>
      <c r="K139" s="778"/>
      <c r="L139" s="779">
        <f>IF(E139="",D139-J139-K139,E139-J139-K139)</f>
        <v>0</v>
      </c>
      <c r="M139" s="779">
        <f>K139+L139</f>
        <v>0</v>
      </c>
      <c r="N139" s="784"/>
      <c r="O139" s="788"/>
      <c r="P139" s="789"/>
      <c r="Q139" s="790"/>
      <c r="R139" s="783" t="s">
        <v>943</v>
      </c>
      <c r="S139" s="751" t="s">
        <v>1018</v>
      </c>
      <c r="T139" s="751">
        <v>465000</v>
      </c>
    </row>
    <row r="140" spans="1:22" x14ac:dyDescent="0.2">
      <c r="A140" s="1319"/>
      <c r="B140" s="783" t="s">
        <v>257</v>
      </c>
      <c r="C140" s="784" t="s">
        <v>286</v>
      </c>
      <c r="D140" s="785"/>
      <c r="E140" s="786">
        <v>15068277</v>
      </c>
      <c r="F140" s="778">
        <v>15068277</v>
      </c>
      <c r="G140" s="786"/>
      <c r="H140" s="787"/>
      <c r="I140" s="786"/>
      <c r="J140" s="778">
        <f>SUM(F140:I140)</f>
        <v>15068277</v>
      </c>
      <c r="K140" s="778"/>
      <c r="L140" s="779">
        <f t="shared" ref="L140:L149" si="27">IF(E140="",D140-J140-K140,E140-J140-K140)</f>
        <v>0</v>
      </c>
      <c r="M140" s="779">
        <f t="shared" ref="M140:M149" si="28">K140+L140</f>
        <v>0</v>
      </c>
      <c r="N140" s="784"/>
      <c r="O140" s="788"/>
      <c r="P140" s="789"/>
      <c r="Q140" s="790"/>
      <c r="R140" s="783"/>
      <c r="S140" s="751" t="s">
        <v>1019</v>
      </c>
      <c r="T140" s="751">
        <v>2100000</v>
      </c>
    </row>
    <row r="141" spans="1:22" x14ac:dyDescent="0.2">
      <c r="A141" s="1319"/>
      <c r="B141" s="783" t="s">
        <v>691</v>
      </c>
      <c r="C141" s="784"/>
      <c r="D141" s="785">
        <v>41434195</v>
      </c>
      <c r="E141" s="786"/>
      <c r="F141" s="778">
        <f>D141/2</f>
        <v>20717097.5</v>
      </c>
      <c r="G141" s="786"/>
      <c r="H141" s="787"/>
      <c r="I141" s="786"/>
      <c r="J141" s="778">
        <f>SUM(F141:I141)</f>
        <v>20717097.5</v>
      </c>
      <c r="K141" s="778"/>
      <c r="L141" s="779">
        <f t="shared" si="27"/>
        <v>20717097.5</v>
      </c>
      <c r="M141" s="779">
        <f t="shared" si="28"/>
        <v>20717097.5</v>
      </c>
      <c r="N141" s="784"/>
      <c r="O141" s="788"/>
      <c r="P141" s="789"/>
      <c r="Q141" s="790"/>
      <c r="R141" s="783"/>
      <c r="S141" s="751" t="s">
        <v>1016</v>
      </c>
      <c r="T141" s="751">
        <v>2237500</v>
      </c>
    </row>
    <row r="142" spans="1:22" x14ac:dyDescent="0.2">
      <c r="A142" s="1319"/>
      <c r="B142" s="783" t="s">
        <v>785</v>
      </c>
      <c r="C142" s="784"/>
      <c r="D142" s="791">
        <f>J142</f>
        <v>10000000</v>
      </c>
      <c r="E142" s="786"/>
      <c r="F142" s="778">
        <v>5000000</v>
      </c>
      <c r="G142" s="786">
        <v>5000000</v>
      </c>
      <c r="H142" s="787"/>
      <c r="I142" s="786"/>
      <c r="J142" s="778">
        <f t="shared" ref="J142:J170" si="29">SUM(F142:I142)</f>
        <v>10000000</v>
      </c>
      <c r="K142" s="778"/>
      <c r="L142" s="779">
        <f t="shared" si="27"/>
        <v>0</v>
      </c>
      <c r="M142" s="779">
        <f t="shared" si="28"/>
        <v>0</v>
      </c>
      <c r="N142" s="784"/>
      <c r="O142" s="788"/>
      <c r="P142" s="789"/>
      <c r="Q142" s="790"/>
      <c r="R142" s="783"/>
      <c r="S142" s="751" t="s">
        <v>1020</v>
      </c>
      <c r="T142" s="751">
        <v>1036000</v>
      </c>
    </row>
    <row r="143" spans="1:22" ht="22.5" x14ac:dyDescent="0.2">
      <c r="A143" s="1319"/>
      <c r="B143" s="783" t="s">
        <v>34</v>
      </c>
      <c r="C143" s="860" t="s">
        <v>204</v>
      </c>
      <c r="D143" s="785">
        <v>146799840</v>
      </c>
      <c r="E143" s="786">
        <v>150106000</v>
      </c>
      <c r="F143" s="778">
        <v>40036320</v>
      </c>
      <c r="G143" s="786">
        <v>53381760</v>
      </c>
      <c r="H143" s="787">
        <v>56687920</v>
      </c>
      <c r="I143" s="786"/>
      <c r="J143" s="778">
        <f t="shared" si="29"/>
        <v>150106000</v>
      </c>
      <c r="K143" s="778"/>
      <c r="L143" s="779">
        <f t="shared" si="27"/>
        <v>0</v>
      </c>
      <c r="M143" s="779">
        <f t="shared" si="28"/>
        <v>0</v>
      </c>
      <c r="N143" s="784" t="s">
        <v>768</v>
      </c>
      <c r="O143" s="788">
        <v>43913</v>
      </c>
      <c r="P143" s="789"/>
      <c r="Q143" s="790"/>
      <c r="R143" s="783" t="s">
        <v>943</v>
      </c>
      <c r="S143" s="751" t="s">
        <v>1021</v>
      </c>
      <c r="T143" s="751">
        <v>1826000</v>
      </c>
    </row>
    <row r="144" spans="1:22" x14ac:dyDescent="0.2">
      <c r="A144" s="1319"/>
      <c r="B144" s="783" t="s">
        <v>723</v>
      </c>
      <c r="C144" s="784" t="s">
        <v>352</v>
      </c>
      <c r="D144" s="785">
        <v>29119200</v>
      </c>
      <c r="E144" s="786">
        <v>29442523</v>
      </c>
      <c r="F144" s="778">
        <v>13236000</v>
      </c>
      <c r="G144" s="786">
        <v>16206523</v>
      </c>
      <c r="H144" s="787"/>
      <c r="I144" s="786"/>
      <c r="J144" s="778">
        <f t="shared" si="29"/>
        <v>29442523</v>
      </c>
      <c r="K144" s="778"/>
      <c r="L144" s="779">
        <f t="shared" si="27"/>
        <v>0</v>
      </c>
      <c r="M144" s="779">
        <f t="shared" si="28"/>
        <v>0</v>
      </c>
      <c r="N144" s="784" t="s">
        <v>788</v>
      </c>
      <c r="O144" s="788">
        <v>43915</v>
      </c>
      <c r="P144" s="789"/>
      <c r="Q144" s="790"/>
      <c r="R144" s="783" t="s">
        <v>943</v>
      </c>
      <c r="S144" s="751" t="s">
        <v>1005</v>
      </c>
      <c r="T144" s="751">
        <v>1630000</v>
      </c>
    </row>
    <row r="145" spans="1:18" ht="15" customHeight="1" x14ac:dyDescent="0.2">
      <c r="A145" s="1319" t="s">
        <v>1017</v>
      </c>
      <c r="B145" s="783" t="s">
        <v>769</v>
      </c>
      <c r="C145" s="784" t="s">
        <v>229</v>
      </c>
      <c r="D145" s="785"/>
      <c r="E145" s="786">
        <v>39602750</v>
      </c>
      <c r="F145" s="778">
        <v>35553650</v>
      </c>
      <c r="G145" s="786">
        <v>4049100</v>
      </c>
      <c r="H145" s="787"/>
      <c r="I145" s="786"/>
      <c r="J145" s="778">
        <f t="shared" si="29"/>
        <v>39602750</v>
      </c>
      <c r="K145" s="778"/>
      <c r="L145" s="779">
        <f t="shared" si="27"/>
        <v>0</v>
      </c>
      <c r="M145" s="779">
        <f t="shared" si="28"/>
        <v>0</v>
      </c>
      <c r="N145" s="784"/>
      <c r="O145" s="788"/>
      <c r="P145" s="789"/>
      <c r="Q145" s="790"/>
      <c r="R145" s="783" t="s">
        <v>943</v>
      </c>
    </row>
    <row r="146" spans="1:18" x14ac:dyDescent="0.2">
      <c r="A146" s="1319"/>
      <c r="B146" s="783" t="s">
        <v>791</v>
      </c>
      <c r="C146" s="784" t="s">
        <v>104</v>
      </c>
      <c r="D146" s="785">
        <v>8000000</v>
      </c>
      <c r="E146" s="786"/>
      <c r="F146" s="778">
        <v>8000000</v>
      </c>
      <c r="G146" s="786"/>
      <c r="H146" s="787"/>
      <c r="I146" s="786"/>
      <c r="J146" s="778">
        <f t="shared" si="29"/>
        <v>8000000</v>
      </c>
      <c r="K146" s="778"/>
      <c r="L146" s="779">
        <f t="shared" si="27"/>
        <v>0</v>
      </c>
      <c r="M146" s="779">
        <f t="shared" si="28"/>
        <v>0</v>
      </c>
      <c r="N146" s="784"/>
      <c r="O146" s="788"/>
      <c r="P146" s="789"/>
      <c r="Q146" s="790"/>
      <c r="R146" s="783"/>
    </row>
    <row r="147" spans="1:18" x14ac:dyDescent="0.2">
      <c r="A147" s="1319"/>
      <c r="B147" s="783" t="s">
        <v>239</v>
      </c>
      <c r="C147" s="784" t="s">
        <v>792</v>
      </c>
      <c r="D147" s="785">
        <v>2860000</v>
      </c>
      <c r="E147" s="786"/>
      <c r="F147" s="778">
        <v>1100000</v>
      </c>
      <c r="G147" s="786">
        <v>1760000</v>
      </c>
      <c r="H147" s="787"/>
      <c r="I147" s="786"/>
      <c r="J147" s="778">
        <f t="shared" si="29"/>
        <v>2860000</v>
      </c>
      <c r="K147" s="778"/>
      <c r="L147" s="779">
        <f t="shared" si="27"/>
        <v>0</v>
      </c>
      <c r="M147" s="779">
        <f t="shared" si="28"/>
        <v>0</v>
      </c>
      <c r="N147" s="784"/>
      <c r="O147" s="788"/>
      <c r="P147" s="789"/>
      <c r="Q147" s="790"/>
      <c r="R147" s="783" t="s">
        <v>943</v>
      </c>
    </row>
    <row r="148" spans="1:18" x14ac:dyDescent="0.2">
      <c r="A148" s="1319"/>
      <c r="B148" s="783" t="s">
        <v>99</v>
      </c>
      <c r="C148" s="784" t="s">
        <v>100</v>
      </c>
      <c r="D148" s="785"/>
      <c r="E148" s="786">
        <v>299315000</v>
      </c>
      <c r="F148" s="778">
        <v>86594970</v>
      </c>
      <c r="G148" s="786">
        <v>115459960</v>
      </c>
      <c r="H148" s="787">
        <v>82295570</v>
      </c>
      <c r="I148" s="786"/>
      <c r="J148" s="778">
        <f t="shared" si="29"/>
        <v>284350500</v>
      </c>
      <c r="K148" s="778"/>
      <c r="L148" s="779">
        <f t="shared" si="27"/>
        <v>14964500</v>
      </c>
      <c r="M148" s="779">
        <f t="shared" si="28"/>
        <v>14964500</v>
      </c>
      <c r="N148" s="784"/>
      <c r="O148" s="788"/>
      <c r="P148" s="789"/>
      <c r="Q148" s="790"/>
      <c r="R148" s="783" t="s">
        <v>943</v>
      </c>
    </row>
    <row r="149" spans="1:18" x14ac:dyDescent="0.2">
      <c r="A149" s="1319"/>
      <c r="B149" s="783" t="s">
        <v>514</v>
      </c>
      <c r="C149" s="784" t="s">
        <v>114</v>
      </c>
      <c r="D149" s="785">
        <v>20082000</v>
      </c>
      <c r="E149" s="786"/>
      <c r="F149" s="778">
        <v>20082000</v>
      </c>
      <c r="G149" s="786"/>
      <c r="H149" s="787"/>
      <c r="I149" s="786"/>
      <c r="J149" s="778">
        <f t="shared" si="29"/>
        <v>20082000</v>
      </c>
      <c r="K149" s="778"/>
      <c r="L149" s="779">
        <f t="shared" si="27"/>
        <v>0</v>
      </c>
      <c r="M149" s="779">
        <f t="shared" si="28"/>
        <v>0</v>
      </c>
      <c r="N149" s="784"/>
      <c r="O149" s="788"/>
      <c r="P149" s="789"/>
      <c r="Q149" s="790"/>
      <c r="R149" s="783" t="s">
        <v>114</v>
      </c>
    </row>
    <row r="150" spans="1:18" x14ac:dyDescent="0.2">
      <c r="A150" s="1319"/>
      <c r="B150" s="783" t="s">
        <v>795</v>
      </c>
      <c r="C150" s="784"/>
      <c r="D150" s="785">
        <v>600000</v>
      </c>
      <c r="E150" s="786"/>
      <c r="F150" s="778">
        <v>600000</v>
      </c>
      <c r="G150" s="786"/>
      <c r="H150" s="787"/>
      <c r="I150" s="786"/>
      <c r="J150" s="778">
        <f t="shared" si="29"/>
        <v>600000</v>
      </c>
      <c r="K150" s="778"/>
      <c r="L150" s="779">
        <f t="shared" ref="L150:L166" si="30">IF(E150="",D150-J150-K150,E150-J150-K150)</f>
        <v>0</v>
      </c>
      <c r="M150" s="779">
        <f t="shared" ref="M150:M166" si="31">K150+L150</f>
        <v>0</v>
      </c>
      <c r="N150" s="784"/>
      <c r="O150" s="788"/>
      <c r="P150" s="789"/>
      <c r="Q150" s="790"/>
      <c r="R150" s="783"/>
    </row>
    <row r="151" spans="1:18" x14ac:dyDescent="0.2">
      <c r="A151" s="1319"/>
      <c r="B151" s="783" t="s">
        <v>515</v>
      </c>
      <c r="C151" s="784" t="s">
        <v>229</v>
      </c>
      <c r="D151" s="785">
        <v>35160000</v>
      </c>
      <c r="E151" s="786">
        <v>38936700</v>
      </c>
      <c r="F151" s="778">
        <v>19338000</v>
      </c>
      <c r="G151" s="786">
        <v>19598700</v>
      </c>
      <c r="H151" s="787"/>
      <c r="I151" s="786"/>
      <c r="J151" s="778">
        <f t="shared" si="29"/>
        <v>38936700</v>
      </c>
      <c r="K151" s="778"/>
      <c r="L151" s="779">
        <f t="shared" si="30"/>
        <v>0</v>
      </c>
      <c r="M151" s="779">
        <f t="shared" si="31"/>
        <v>0</v>
      </c>
      <c r="N151" s="784" t="s">
        <v>797</v>
      </c>
      <c r="O151" s="788"/>
      <c r="P151" s="789"/>
      <c r="Q151" s="790"/>
      <c r="R151" s="783" t="s">
        <v>943</v>
      </c>
    </row>
    <row r="152" spans="1:18" ht="22.5" x14ac:dyDescent="0.2">
      <c r="A152" s="1319"/>
      <c r="B152" s="783" t="s">
        <v>798</v>
      </c>
      <c r="C152" s="860" t="s">
        <v>225</v>
      </c>
      <c r="D152" s="785">
        <v>1980000</v>
      </c>
      <c r="E152" s="786"/>
      <c r="F152" s="778">
        <v>980000</v>
      </c>
      <c r="G152" s="786">
        <v>1000000</v>
      </c>
      <c r="H152" s="787"/>
      <c r="I152" s="786"/>
      <c r="J152" s="778">
        <f t="shared" si="29"/>
        <v>1980000</v>
      </c>
      <c r="K152" s="778"/>
      <c r="L152" s="779">
        <f t="shared" si="30"/>
        <v>0</v>
      </c>
      <c r="M152" s="779">
        <f t="shared" si="31"/>
        <v>0</v>
      </c>
      <c r="N152" s="784"/>
      <c r="O152" s="788"/>
      <c r="P152" s="789"/>
      <c r="Q152" s="790"/>
      <c r="R152" s="783" t="s">
        <v>943</v>
      </c>
    </row>
    <row r="153" spans="1:18" x14ac:dyDescent="0.2">
      <c r="A153" s="1319"/>
      <c r="B153" s="783" t="s">
        <v>132</v>
      </c>
      <c r="C153" s="784" t="s">
        <v>799</v>
      </c>
      <c r="D153" s="785">
        <v>6770000</v>
      </c>
      <c r="E153" s="786"/>
      <c r="F153" s="778">
        <v>2031000</v>
      </c>
      <c r="G153" s="786"/>
      <c r="H153" s="787"/>
      <c r="I153" s="786"/>
      <c r="J153" s="778">
        <f t="shared" si="29"/>
        <v>2031000</v>
      </c>
      <c r="K153" s="778"/>
      <c r="L153" s="779">
        <f t="shared" si="30"/>
        <v>4739000</v>
      </c>
      <c r="M153" s="779">
        <f t="shared" si="31"/>
        <v>4739000</v>
      </c>
      <c r="N153" s="784"/>
      <c r="O153" s="788"/>
      <c r="P153" s="789"/>
      <c r="Q153" s="790"/>
      <c r="R153" s="783" t="s">
        <v>943</v>
      </c>
    </row>
    <row r="154" spans="1:18" x14ac:dyDescent="0.2">
      <c r="A154" s="1319"/>
      <c r="B154" s="783" t="s">
        <v>394</v>
      </c>
      <c r="C154" s="784" t="s">
        <v>162</v>
      </c>
      <c r="D154" s="785">
        <v>72800000</v>
      </c>
      <c r="E154" s="786">
        <v>76000000</v>
      </c>
      <c r="F154" s="778">
        <v>36400000</v>
      </c>
      <c r="G154" s="786">
        <v>39600000</v>
      </c>
      <c r="H154" s="787"/>
      <c r="I154" s="786"/>
      <c r="J154" s="778">
        <f t="shared" si="29"/>
        <v>76000000</v>
      </c>
      <c r="K154" s="778"/>
      <c r="L154" s="779">
        <f t="shared" si="30"/>
        <v>0</v>
      </c>
      <c r="M154" s="779">
        <f t="shared" si="31"/>
        <v>0</v>
      </c>
      <c r="N154" s="784" t="s">
        <v>801</v>
      </c>
      <c r="O154" s="788">
        <v>43876</v>
      </c>
      <c r="P154" s="789"/>
      <c r="Q154" s="790"/>
      <c r="R154" s="783"/>
    </row>
    <row r="155" spans="1:18" x14ac:dyDescent="0.2">
      <c r="A155" s="1319"/>
      <c r="B155" s="783" t="s">
        <v>692</v>
      </c>
      <c r="C155" s="784" t="s">
        <v>416</v>
      </c>
      <c r="D155" s="785">
        <v>1367329</v>
      </c>
      <c r="E155" s="786"/>
      <c r="F155" s="778">
        <v>1367329</v>
      </c>
      <c r="G155" s="786"/>
      <c r="H155" s="787"/>
      <c r="I155" s="786"/>
      <c r="J155" s="778">
        <f t="shared" si="29"/>
        <v>1367329</v>
      </c>
      <c r="K155" s="778"/>
      <c r="L155" s="779">
        <f t="shared" si="30"/>
        <v>0</v>
      </c>
      <c r="M155" s="779">
        <f t="shared" si="31"/>
        <v>0</v>
      </c>
      <c r="N155" s="784"/>
      <c r="O155" s="788"/>
      <c r="P155" s="789"/>
      <c r="Q155" s="790"/>
      <c r="R155" s="783" t="s">
        <v>943</v>
      </c>
    </row>
    <row r="156" spans="1:18" x14ac:dyDescent="0.2">
      <c r="A156" s="1319"/>
      <c r="B156" s="783" t="s">
        <v>172</v>
      </c>
      <c r="C156" s="784" t="s">
        <v>173</v>
      </c>
      <c r="D156" s="785">
        <v>18080000</v>
      </c>
      <c r="E156" s="786">
        <v>31760000</v>
      </c>
      <c r="F156" s="778">
        <v>5424000</v>
      </c>
      <c r="G156" s="786">
        <v>26336000</v>
      </c>
      <c r="H156" s="787"/>
      <c r="I156" s="786"/>
      <c r="J156" s="778">
        <f t="shared" si="29"/>
        <v>31760000</v>
      </c>
      <c r="K156" s="778"/>
      <c r="L156" s="779">
        <f t="shared" si="30"/>
        <v>0</v>
      </c>
      <c r="M156" s="779">
        <f t="shared" si="31"/>
        <v>0</v>
      </c>
      <c r="N156" s="784"/>
      <c r="O156" s="788"/>
      <c r="P156" s="789"/>
      <c r="Q156" s="790"/>
      <c r="R156" s="783"/>
    </row>
    <row r="157" spans="1:18" x14ac:dyDescent="0.2">
      <c r="A157" s="1319"/>
      <c r="B157" s="783" t="s">
        <v>107</v>
      </c>
      <c r="C157" s="784" t="s">
        <v>341</v>
      </c>
      <c r="D157" s="785">
        <v>34805000</v>
      </c>
      <c r="E157" s="786">
        <v>34450000</v>
      </c>
      <c r="F157" s="778">
        <v>10000000</v>
      </c>
      <c r="G157" s="786">
        <v>15000000</v>
      </c>
      <c r="H157" s="787">
        <v>9450000</v>
      </c>
      <c r="I157" s="786"/>
      <c r="J157" s="778">
        <f t="shared" si="29"/>
        <v>34450000</v>
      </c>
      <c r="K157" s="778"/>
      <c r="L157" s="779">
        <f t="shared" si="30"/>
        <v>0</v>
      </c>
      <c r="M157" s="779">
        <f t="shared" si="31"/>
        <v>0</v>
      </c>
      <c r="N157" s="784"/>
      <c r="O157" s="788"/>
      <c r="P157" s="789"/>
      <c r="Q157" s="790"/>
      <c r="R157" s="783"/>
    </row>
    <row r="158" spans="1:18" x14ac:dyDescent="0.2">
      <c r="A158" s="1319"/>
      <c r="B158" s="783" t="s">
        <v>79</v>
      </c>
      <c r="C158" s="784" t="s">
        <v>804</v>
      </c>
      <c r="D158" s="785">
        <v>9300000</v>
      </c>
      <c r="E158" s="786"/>
      <c r="F158" s="778">
        <v>4650000</v>
      </c>
      <c r="G158" s="786">
        <v>4650000</v>
      </c>
      <c r="H158" s="787"/>
      <c r="I158" s="786"/>
      <c r="J158" s="778">
        <f t="shared" si="29"/>
        <v>9300000</v>
      </c>
      <c r="K158" s="778"/>
      <c r="L158" s="779">
        <f t="shared" si="30"/>
        <v>0</v>
      </c>
      <c r="M158" s="779">
        <f t="shared" si="31"/>
        <v>0</v>
      </c>
      <c r="N158" s="784"/>
      <c r="O158" s="788"/>
      <c r="P158" s="789"/>
      <c r="Q158" s="790"/>
      <c r="R158" s="783"/>
    </row>
    <row r="159" spans="1:18" x14ac:dyDescent="0.2">
      <c r="A159" s="1319"/>
      <c r="B159" s="783" t="s">
        <v>84</v>
      </c>
      <c r="C159" s="784" t="s">
        <v>799</v>
      </c>
      <c r="D159" s="785">
        <v>12658000</v>
      </c>
      <c r="E159" s="786"/>
      <c r="F159" s="778">
        <v>12658000</v>
      </c>
      <c r="G159" s="786"/>
      <c r="H159" s="787"/>
      <c r="I159" s="786"/>
      <c r="J159" s="778">
        <f t="shared" si="29"/>
        <v>12658000</v>
      </c>
      <c r="K159" s="778"/>
      <c r="L159" s="779">
        <f t="shared" si="30"/>
        <v>0</v>
      </c>
      <c r="M159" s="779">
        <f t="shared" si="31"/>
        <v>0</v>
      </c>
      <c r="N159" s="784"/>
      <c r="O159" s="788"/>
      <c r="P159" s="789"/>
      <c r="Q159" s="790"/>
      <c r="R159" s="783" t="s">
        <v>943</v>
      </c>
    </row>
    <row r="160" spans="1:18" x14ac:dyDescent="0.2">
      <c r="A160" s="1319"/>
      <c r="B160" s="783" t="s">
        <v>175</v>
      </c>
      <c r="C160" s="784" t="s">
        <v>416</v>
      </c>
      <c r="D160" s="785">
        <v>1367329</v>
      </c>
      <c r="E160" s="786"/>
      <c r="F160" s="778">
        <v>1367329</v>
      </c>
      <c r="G160" s="786"/>
      <c r="H160" s="787"/>
      <c r="I160" s="786"/>
      <c r="J160" s="778">
        <f t="shared" si="29"/>
        <v>1367329</v>
      </c>
      <c r="K160" s="778"/>
      <c r="L160" s="779">
        <f t="shared" si="30"/>
        <v>0</v>
      </c>
      <c r="M160" s="779">
        <f t="shared" si="31"/>
        <v>0</v>
      </c>
      <c r="N160" s="784"/>
      <c r="O160" s="788"/>
      <c r="P160" s="789"/>
      <c r="Q160" s="790"/>
      <c r="R160" s="783" t="s">
        <v>943</v>
      </c>
    </row>
    <row r="161" spans="1:22" x14ac:dyDescent="0.2">
      <c r="A161" s="1319"/>
      <c r="B161" s="783" t="s">
        <v>167</v>
      </c>
      <c r="C161" s="784" t="s">
        <v>708</v>
      </c>
      <c r="D161" s="785">
        <v>2050000</v>
      </c>
      <c r="E161" s="786"/>
      <c r="F161" s="778">
        <v>2050000</v>
      </c>
      <c r="G161" s="786"/>
      <c r="H161" s="787"/>
      <c r="I161" s="786"/>
      <c r="J161" s="778">
        <f t="shared" si="29"/>
        <v>2050000</v>
      </c>
      <c r="K161" s="778"/>
      <c r="L161" s="779">
        <f t="shared" si="30"/>
        <v>0</v>
      </c>
      <c r="M161" s="779">
        <f t="shared" si="31"/>
        <v>0</v>
      </c>
      <c r="N161" s="784"/>
      <c r="O161" s="788"/>
      <c r="P161" s="789"/>
      <c r="Q161" s="790"/>
      <c r="R161" s="783"/>
    </row>
    <row r="162" spans="1:22" x14ac:dyDescent="0.2">
      <c r="A162" s="1319"/>
      <c r="B162" s="783" t="s">
        <v>806</v>
      </c>
      <c r="C162" s="784" t="s">
        <v>807</v>
      </c>
      <c r="D162" s="785">
        <v>22076000</v>
      </c>
      <c r="E162" s="786"/>
      <c r="F162" s="778">
        <v>6622800</v>
      </c>
      <c r="G162" s="786">
        <v>15453200</v>
      </c>
      <c r="H162" s="787"/>
      <c r="I162" s="786"/>
      <c r="J162" s="778">
        <f t="shared" si="29"/>
        <v>22076000</v>
      </c>
      <c r="K162" s="778"/>
      <c r="L162" s="779">
        <f t="shared" si="30"/>
        <v>0</v>
      </c>
      <c r="M162" s="779">
        <f t="shared" si="31"/>
        <v>0</v>
      </c>
      <c r="N162" s="784"/>
      <c r="O162" s="788"/>
      <c r="P162" s="789"/>
      <c r="Q162" s="790"/>
      <c r="R162" s="783"/>
    </row>
    <row r="163" spans="1:22" x14ac:dyDescent="0.2">
      <c r="A163" s="1319"/>
      <c r="B163" s="783" t="s">
        <v>170</v>
      </c>
      <c r="C163" s="784" t="s">
        <v>171</v>
      </c>
      <c r="D163" s="785">
        <v>2820000</v>
      </c>
      <c r="E163" s="786"/>
      <c r="F163" s="778">
        <v>2820000</v>
      </c>
      <c r="G163" s="786"/>
      <c r="H163" s="787"/>
      <c r="I163" s="786"/>
      <c r="J163" s="778">
        <f t="shared" si="29"/>
        <v>2820000</v>
      </c>
      <c r="K163" s="778"/>
      <c r="L163" s="779">
        <f t="shared" si="30"/>
        <v>0</v>
      </c>
      <c r="M163" s="779">
        <f t="shared" si="31"/>
        <v>0</v>
      </c>
      <c r="N163" s="784"/>
      <c r="O163" s="788"/>
      <c r="P163" s="789"/>
      <c r="Q163" s="790"/>
      <c r="R163" s="783" t="s">
        <v>171</v>
      </c>
    </row>
    <row r="164" spans="1:22" x14ac:dyDescent="0.2">
      <c r="A164" s="1319"/>
      <c r="B164" s="783" t="s">
        <v>170</v>
      </c>
      <c r="C164" s="784" t="s">
        <v>171</v>
      </c>
      <c r="D164" s="785"/>
      <c r="E164" s="786">
        <v>128392000</v>
      </c>
      <c r="F164" s="778">
        <v>128392000</v>
      </c>
      <c r="G164" s="786"/>
      <c r="H164" s="787"/>
      <c r="I164" s="786"/>
      <c r="J164" s="778">
        <f t="shared" si="29"/>
        <v>128392000</v>
      </c>
      <c r="K164" s="778"/>
      <c r="L164" s="779">
        <f t="shared" si="30"/>
        <v>0</v>
      </c>
      <c r="M164" s="779">
        <f t="shared" si="31"/>
        <v>0</v>
      </c>
      <c r="N164" s="784"/>
      <c r="O164" s="788"/>
      <c r="P164" s="789"/>
      <c r="Q164" s="790"/>
      <c r="R164" s="783" t="s">
        <v>171</v>
      </c>
    </row>
    <row r="165" spans="1:22" x14ac:dyDescent="0.2">
      <c r="A165" s="1319"/>
      <c r="B165" s="783" t="s">
        <v>118</v>
      </c>
      <c r="C165" s="784" t="s">
        <v>301</v>
      </c>
      <c r="D165" s="785">
        <v>77970000</v>
      </c>
      <c r="E165" s="786">
        <v>75707000</v>
      </c>
      <c r="F165" s="778">
        <v>54579000</v>
      </c>
      <c r="G165" s="786">
        <v>21128000</v>
      </c>
      <c r="H165" s="787"/>
      <c r="I165" s="786"/>
      <c r="J165" s="778">
        <f t="shared" si="29"/>
        <v>75707000</v>
      </c>
      <c r="K165" s="778"/>
      <c r="L165" s="779">
        <f t="shared" si="30"/>
        <v>0</v>
      </c>
      <c r="M165" s="779">
        <f t="shared" si="31"/>
        <v>0</v>
      </c>
      <c r="N165" s="784"/>
      <c r="O165" s="788"/>
      <c r="P165" s="789"/>
      <c r="Q165" s="790"/>
      <c r="R165" s="783"/>
    </row>
    <row r="166" spans="1:22" x14ac:dyDescent="0.2">
      <c r="A166" s="1319"/>
      <c r="B166" s="783" t="s">
        <v>247</v>
      </c>
      <c r="C166" s="784" t="s">
        <v>808</v>
      </c>
      <c r="D166" s="785">
        <v>5830000</v>
      </c>
      <c r="E166" s="786"/>
      <c r="F166" s="778">
        <v>5830000</v>
      </c>
      <c r="G166" s="786"/>
      <c r="H166" s="787"/>
      <c r="I166" s="786"/>
      <c r="J166" s="778">
        <f t="shared" si="29"/>
        <v>5830000</v>
      </c>
      <c r="K166" s="778"/>
      <c r="L166" s="779">
        <f t="shared" si="30"/>
        <v>0</v>
      </c>
      <c r="M166" s="779">
        <f t="shared" si="31"/>
        <v>0</v>
      </c>
      <c r="N166" s="784"/>
      <c r="O166" s="788"/>
      <c r="P166" s="789"/>
      <c r="Q166" s="790"/>
      <c r="R166" s="783" t="s">
        <v>943</v>
      </c>
    </row>
    <row r="167" spans="1:22" ht="22.5" x14ac:dyDescent="0.2">
      <c r="A167" s="1319"/>
      <c r="B167" s="783" t="s">
        <v>809</v>
      </c>
      <c r="C167" s="860" t="s">
        <v>65</v>
      </c>
      <c r="D167" s="785">
        <v>880000</v>
      </c>
      <c r="E167" s="786"/>
      <c r="F167" s="778">
        <v>880000</v>
      </c>
      <c r="G167" s="786"/>
      <c r="H167" s="787"/>
      <c r="I167" s="786"/>
      <c r="J167" s="778">
        <f t="shared" si="29"/>
        <v>880000</v>
      </c>
      <c r="K167" s="778"/>
      <c r="L167" s="779">
        <f t="shared" ref="L167:L173" si="32">IF(E167="",D167-J167-K167,E167-J167-K167)</f>
        <v>0</v>
      </c>
      <c r="M167" s="779">
        <f t="shared" ref="M167:M172" si="33">K167+L167</f>
        <v>0</v>
      </c>
      <c r="N167" s="784"/>
      <c r="O167" s="788"/>
      <c r="P167" s="789"/>
      <c r="Q167" s="790"/>
      <c r="R167" s="783" t="s">
        <v>957</v>
      </c>
    </row>
    <row r="168" spans="1:22" x14ac:dyDescent="0.2">
      <c r="A168" s="1319"/>
      <c r="B168" s="783" t="s">
        <v>715</v>
      </c>
      <c r="C168" s="784" t="s">
        <v>810</v>
      </c>
      <c r="D168" s="785">
        <v>5313000</v>
      </c>
      <c r="E168" s="786"/>
      <c r="F168" s="778">
        <v>5313000</v>
      </c>
      <c r="G168" s="786"/>
      <c r="H168" s="787"/>
      <c r="I168" s="786"/>
      <c r="J168" s="778">
        <f t="shared" si="29"/>
        <v>5313000</v>
      </c>
      <c r="K168" s="778"/>
      <c r="L168" s="779">
        <f t="shared" si="32"/>
        <v>0</v>
      </c>
      <c r="M168" s="779">
        <f t="shared" si="33"/>
        <v>0</v>
      </c>
      <c r="N168" s="784"/>
      <c r="O168" s="788"/>
      <c r="P168" s="789"/>
      <c r="Q168" s="790"/>
      <c r="R168" s="783" t="s">
        <v>810</v>
      </c>
    </row>
    <row r="169" spans="1:22" x14ac:dyDescent="0.2">
      <c r="A169" s="1319"/>
      <c r="B169" s="783" t="s">
        <v>257</v>
      </c>
      <c r="C169" s="784" t="s">
        <v>693</v>
      </c>
      <c r="D169" s="791">
        <f>J169</f>
        <v>8116000</v>
      </c>
      <c r="E169" s="786"/>
      <c r="F169" s="778">
        <v>8116000</v>
      </c>
      <c r="G169" s="786"/>
      <c r="H169" s="787"/>
      <c r="I169" s="786"/>
      <c r="J169" s="778">
        <f t="shared" si="29"/>
        <v>8116000</v>
      </c>
      <c r="K169" s="778"/>
      <c r="L169" s="779">
        <f t="shared" si="32"/>
        <v>0</v>
      </c>
      <c r="M169" s="779">
        <f t="shared" si="33"/>
        <v>0</v>
      </c>
      <c r="N169" s="784"/>
      <c r="O169" s="788"/>
      <c r="P169" s="789"/>
      <c r="Q169" s="790"/>
      <c r="R169" s="783"/>
    </row>
    <row r="170" spans="1:22" x14ac:dyDescent="0.2">
      <c r="A170" s="1319"/>
      <c r="B170" s="783" t="s">
        <v>811</v>
      </c>
      <c r="C170" s="784" t="s">
        <v>142</v>
      </c>
      <c r="D170" s="785">
        <v>374000</v>
      </c>
      <c r="E170" s="786"/>
      <c r="F170" s="778">
        <v>374000</v>
      </c>
      <c r="G170" s="786"/>
      <c r="H170" s="787"/>
      <c r="I170" s="786"/>
      <c r="J170" s="778">
        <f t="shared" si="29"/>
        <v>374000</v>
      </c>
      <c r="K170" s="778"/>
      <c r="L170" s="779">
        <f t="shared" si="32"/>
        <v>0</v>
      </c>
      <c r="M170" s="779">
        <f t="shared" si="33"/>
        <v>0</v>
      </c>
      <c r="N170" s="784"/>
      <c r="O170" s="788"/>
      <c r="P170" s="789"/>
      <c r="Q170" s="790"/>
      <c r="R170" s="783" t="s">
        <v>957</v>
      </c>
    </row>
    <row r="171" spans="1:22" x14ac:dyDescent="0.2">
      <c r="A171" s="1319"/>
      <c r="B171" s="783" t="s">
        <v>1022</v>
      </c>
      <c r="C171" s="784" t="s">
        <v>1023</v>
      </c>
      <c r="D171" s="785">
        <v>1650000</v>
      </c>
      <c r="E171" s="786"/>
      <c r="F171" s="778">
        <v>1650000</v>
      </c>
      <c r="G171" s="786"/>
      <c r="H171" s="787"/>
      <c r="I171" s="786"/>
      <c r="J171" s="778">
        <f>SUM(F171:I171)</f>
        <v>1650000</v>
      </c>
      <c r="K171" s="778"/>
      <c r="L171" s="779">
        <f t="shared" si="32"/>
        <v>0</v>
      </c>
      <c r="M171" s="779">
        <f t="shared" si="33"/>
        <v>0</v>
      </c>
      <c r="N171" s="784"/>
      <c r="O171" s="788"/>
      <c r="P171" s="789"/>
      <c r="Q171" s="790"/>
      <c r="R171" s="783"/>
    </row>
    <row r="172" spans="1:22" x14ac:dyDescent="0.2">
      <c r="A172" s="1319"/>
      <c r="B172" s="783" t="s">
        <v>691</v>
      </c>
      <c r="C172" s="784" t="s">
        <v>1024</v>
      </c>
      <c r="D172" s="785">
        <v>21288900</v>
      </c>
      <c r="E172" s="786"/>
      <c r="F172" s="808">
        <v>10358549</v>
      </c>
      <c r="G172" s="786">
        <v>10930351</v>
      </c>
      <c r="H172" s="787"/>
      <c r="I172" s="786"/>
      <c r="J172" s="778">
        <f>SUM(F172:I172)</f>
        <v>21288900</v>
      </c>
      <c r="K172" s="778"/>
      <c r="L172" s="779">
        <f t="shared" si="32"/>
        <v>0</v>
      </c>
      <c r="M172" s="779">
        <f t="shared" si="33"/>
        <v>0</v>
      </c>
      <c r="N172" s="784"/>
      <c r="O172" s="788"/>
      <c r="P172" s="789"/>
      <c r="Q172" s="790"/>
      <c r="R172" s="783"/>
    </row>
    <row r="173" spans="1:22" x14ac:dyDescent="0.2">
      <c r="A173" s="1319"/>
      <c r="B173" s="783" t="s">
        <v>947</v>
      </c>
      <c r="C173" s="784"/>
      <c r="D173" s="785"/>
      <c r="E173" s="786"/>
      <c r="F173" s="778">
        <f>T173</f>
        <v>9294500</v>
      </c>
      <c r="G173" s="786"/>
      <c r="H173" s="787"/>
      <c r="I173" s="786"/>
      <c r="J173" s="778">
        <f>SUM(F173:I173)</f>
        <v>9294500</v>
      </c>
      <c r="K173" s="778"/>
      <c r="L173" s="779">
        <f t="shared" si="32"/>
        <v>-9294500</v>
      </c>
      <c r="M173" s="779">
        <f>IF(E173="",D173-J173+K173,E173-J173+K173)</f>
        <v>-9294500</v>
      </c>
      <c r="N173" s="784"/>
      <c r="O173" s="788"/>
      <c r="P173" s="789"/>
      <c r="Q173" s="790"/>
      <c r="R173" s="783"/>
      <c r="S173" s="751" t="s">
        <v>948</v>
      </c>
      <c r="T173" s="751">
        <f>SUM(T139:T170)</f>
        <v>9294500</v>
      </c>
    </row>
    <row r="174" spans="1:22" s="807" customFormat="1" x14ac:dyDescent="0.2">
      <c r="A174" s="811" t="s">
        <v>949</v>
      </c>
      <c r="B174" s="795" t="s">
        <v>1025</v>
      </c>
      <c r="C174" s="796"/>
      <c r="D174" s="797"/>
      <c r="E174" s="798"/>
      <c r="F174" s="799"/>
      <c r="G174" s="798"/>
      <c r="H174" s="800"/>
      <c r="I174" s="798"/>
      <c r="J174" s="812">
        <f>SUM(J138:J173)</f>
        <v>1336178905.5</v>
      </c>
      <c r="K174" s="812">
        <f>SUM(K138:K173)</f>
        <v>0</v>
      </c>
      <c r="L174" s="812">
        <f>SUM(L138:L173)</f>
        <v>31126097.5</v>
      </c>
      <c r="M174" s="812">
        <f>SUM(M138:M173)</f>
        <v>31126097.5</v>
      </c>
      <c r="N174" s="796"/>
      <c r="O174" s="802"/>
      <c r="P174" s="803"/>
      <c r="Q174" s="804"/>
      <c r="R174" s="805"/>
      <c r="S174" s="806"/>
      <c r="T174" s="806"/>
      <c r="U174" s="806"/>
      <c r="V174" s="806"/>
    </row>
    <row r="175" spans="1:22" x14ac:dyDescent="0.2">
      <c r="A175" s="1318" t="s">
        <v>1026</v>
      </c>
      <c r="B175" s="772" t="s">
        <v>31</v>
      </c>
      <c r="C175" s="773" t="s">
        <v>195</v>
      </c>
      <c r="D175" s="774">
        <v>88673800</v>
      </c>
      <c r="E175" s="775">
        <v>76418000</v>
      </c>
      <c r="F175" s="776">
        <v>50000000</v>
      </c>
      <c r="G175" s="775">
        <v>26418000</v>
      </c>
      <c r="H175" s="777"/>
      <c r="I175" s="775"/>
      <c r="J175" s="776">
        <f>SUM(F175:I175)</f>
        <v>76418000</v>
      </c>
      <c r="K175" s="776"/>
      <c r="L175" s="779">
        <f t="shared" ref="L175:L187" si="34">IF(E175="",D175-J175-K175,E175-J175-K175)</f>
        <v>0</v>
      </c>
      <c r="M175" s="779">
        <f t="shared" ref="M175:M187" si="35">K175+L175</f>
        <v>0</v>
      </c>
      <c r="N175" s="773"/>
      <c r="O175" s="780"/>
      <c r="P175" s="781"/>
      <c r="Q175" s="782"/>
      <c r="R175" s="772"/>
      <c r="S175" s="751" t="s">
        <v>813</v>
      </c>
    </row>
    <row r="176" spans="1:22" x14ac:dyDescent="0.2">
      <c r="A176" s="1319"/>
      <c r="B176" s="783" t="s">
        <v>215</v>
      </c>
      <c r="C176" s="784" t="s">
        <v>216</v>
      </c>
      <c r="D176" s="785">
        <v>48612698</v>
      </c>
      <c r="E176" s="786">
        <v>48612698</v>
      </c>
      <c r="F176" s="778">
        <v>22096681</v>
      </c>
      <c r="G176" s="786">
        <v>26516017</v>
      </c>
      <c r="H176" s="787"/>
      <c r="I176" s="786"/>
      <c r="J176" s="778">
        <f>SUM(F176:I176)</f>
        <v>48612698</v>
      </c>
      <c r="K176" s="778"/>
      <c r="L176" s="779">
        <f t="shared" si="34"/>
        <v>0</v>
      </c>
      <c r="M176" s="779">
        <f t="shared" si="35"/>
        <v>0</v>
      </c>
      <c r="N176" s="784" t="s">
        <v>814</v>
      </c>
      <c r="O176" s="788">
        <v>43900</v>
      </c>
      <c r="P176" s="789"/>
      <c r="Q176" s="790"/>
      <c r="R176" s="783" t="s">
        <v>957</v>
      </c>
      <c r="S176" s="751" t="s">
        <v>1018</v>
      </c>
      <c r="T176" s="751">
        <v>3325000</v>
      </c>
    </row>
    <row r="177" spans="1:22" x14ac:dyDescent="0.2">
      <c r="A177" s="1319"/>
      <c r="B177" s="783" t="s">
        <v>175</v>
      </c>
      <c r="C177" s="784" t="s">
        <v>176</v>
      </c>
      <c r="D177" s="785">
        <v>5981800</v>
      </c>
      <c r="E177" s="786">
        <v>5981800</v>
      </c>
      <c r="F177" s="778">
        <v>5981800</v>
      </c>
      <c r="G177" s="786"/>
      <c r="H177" s="787"/>
      <c r="I177" s="786"/>
      <c r="J177" s="778">
        <f>SUM(F177:I177)</f>
        <v>5981800</v>
      </c>
      <c r="K177" s="778"/>
      <c r="L177" s="779">
        <f t="shared" si="34"/>
        <v>0</v>
      </c>
      <c r="M177" s="779">
        <f t="shared" si="35"/>
        <v>0</v>
      </c>
      <c r="N177" s="784"/>
      <c r="O177" s="788"/>
      <c r="P177" s="789"/>
      <c r="Q177" s="790"/>
      <c r="R177" s="783" t="s">
        <v>943</v>
      </c>
      <c r="S177" s="751" t="s">
        <v>1019</v>
      </c>
      <c r="T177" s="751">
        <v>1373000</v>
      </c>
    </row>
    <row r="178" spans="1:22" x14ac:dyDescent="0.2">
      <c r="A178" s="1319"/>
      <c r="B178" s="783" t="s">
        <v>175</v>
      </c>
      <c r="C178" s="784" t="s">
        <v>416</v>
      </c>
      <c r="D178" s="785">
        <v>1100000</v>
      </c>
      <c r="E178" s="786">
        <v>1100000</v>
      </c>
      <c r="F178" s="778">
        <v>1100000</v>
      </c>
      <c r="G178" s="786"/>
      <c r="H178" s="787"/>
      <c r="I178" s="786"/>
      <c r="J178" s="778">
        <f t="shared" ref="J178:J189" si="36">SUM(F178:I178)</f>
        <v>1100000</v>
      </c>
      <c r="K178" s="778"/>
      <c r="L178" s="779">
        <f t="shared" si="34"/>
        <v>0</v>
      </c>
      <c r="M178" s="779">
        <f t="shared" si="35"/>
        <v>0</v>
      </c>
      <c r="N178" s="784"/>
      <c r="O178" s="788"/>
      <c r="P178" s="789"/>
      <c r="Q178" s="790"/>
      <c r="R178" s="783" t="s">
        <v>943</v>
      </c>
      <c r="S178" s="751" t="s">
        <v>1016</v>
      </c>
      <c r="T178" s="751">
        <v>2864500</v>
      </c>
    </row>
    <row r="179" spans="1:22" x14ac:dyDescent="0.2">
      <c r="A179" s="1319"/>
      <c r="B179" s="783" t="s">
        <v>769</v>
      </c>
      <c r="C179" s="784" t="s">
        <v>301</v>
      </c>
      <c r="D179" s="785">
        <v>27588000</v>
      </c>
      <c r="E179" s="786">
        <v>27588000</v>
      </c>
      <c r="F179" s="778">
        <v>11275000</v>
      </c>
      <c r="G179" s="786">
        <v>16313000</v>
      </c>
      <c r="H179" s="787"/>
      <c r="I179" s="786"/>
      <c r="J179" s="778">
        <f t="shared" si="36"/>
        <v>27588000</v>
      </c>
      <c r="K179" s="778"/>
      <c r="L179" s="779">
        <f t="shared" si="34"/>
        <v>0</v>
      </c>
      <c r="M179" s="779">
        <f t="shared" si="35"/>
        <v>0</v>
      </c>
      <c r="N179" s="784"/>
      <c r="O179" s="788"/>
      <c r="P179" s="789"/>
      <c r="Q179" s="790"/>
      <c r="R179" s="783"/>
      <c r="S179" s="751" t="s">
        <v>1020</v>
      </c>
      <c r="T179" s="751">
        <v>500000</v>
      </c>
    </row>
    <row r="180" spans="1:22" x14ac:dyDescent="0.2">
      <c r="A180" s="1319"/>
      <c r="B180" s="783" t="s">
        <v>769</v>
      </c>
      <c r="C180" s="784" t="s">
        <v>229</v>
      </c>
      <c r="D180" s="785">
        <v>6255000</v>
      </c>
      <c r="E180" s="786"/>
      <c r="F180" s="778">
        <v>6255000</v>
      </c>
      <c r="G180" s="786"/>
      <c r="H180" s="787"/>
      <c r="I180" s="786"/>
      <c r="J180" s="778">
        <f t="shared" si="36"/>
        <v>6255000</v>
      </c>
      <c r="K180" s="778"/>
      <c r="L180" s="779">
        <f t="shared" si="34"/>
        <v>0</v>
      </c>
      <c r="M180" s="779">
        <f t="shared" si="35"/>
        <v>0</v>
      </c>
      <c r="N180" s="784"/>
      <c r="O180" s="788"/>
      <c r="P180" s="789"/>
      <c r="Q180" s="790"/>
      <c r="R180" s="783" t="s">
        <v>943</v>
      </c>
    </row>
    <row r="181" spans="1:22" x14ac:dyDescent="0.2">
      <c r="A181" s="1319"/>
      <c r="B181" s="783" t="s">
        <v>816</v>
      </c>
      <c r="C181" s="784" t="s">
        <v>778</v>
      </c>
      <c r="D181" s="785">
        <v>7084000</v>
      </c>
      <c r="E181" s="786"/>
      <c r="F181" s="778">
        <v>7084000</v>
      </c>
      <c r="G181" s="786"/>
      <c r="H181" s="787"/>
      <c r="I181" s="786"/>
      <c r="J181" s="778">
        <f t="shared" si="36"/>
        <v>7084000</v>
      </c>
      <c r="K181" s="778"/>
      <c r="L181" s="779">
        <f t="shared" si="34"/>
        <v>0</v>
      </c>
      <c r="M181" s="779">
        <f t="shared" si="35"/>
        <v>0</v>
      </c>
      <c r="N181" s="784"/>
      <c r="O181" s="788"/>
      <c r="P181" s="789"/>
      <c r="Q181" s="790"/>
      <c r="R181" s="783" t="s">
        <v>943</v>
      </c>
    </row>
    <row r="182" spans="1:22" x14ac:dyDescent="0.2">
      <c r="A182" s="1319"/>
      <c r="B182" s="783" t="s">
        <v>247</v>
      </c>
      <c r="C182" s="784" t="s">
        <v>247</v>
      </c>
      <c r="D182" s="785">
        <v>4000000</v>
      </c>
      <c r="E182" s="786"/>
      <c r="F182" s="778">
        <v>4000000</v>
      </c>
      <c r="G182" s="786">
        <v>2500000</v>
      </c>
      <c r="H182" s="787"/>
      <c r="I182" s="786"/>
      <c r="J182" s="778">
        <f t="shared" si="36"/>
        <v>6500000</v>
      </c>
      <c r="K182" s="778"/>
      <c r="L182" s="779">
        <f t="shared" si="34"/>
        <v>-2500000</v>
      </c>
      <c r="M182" s="779">
        <f t="shared" si="35"/>
        <v>-2500000</v>
      </c>
      <c r="N182" s="784"/>
      <c r="O182" s="788"/>
      <c r="P182" s="789"/>
      <c r="Q182" s="790"/>
      <c r="R182" s="783" t="s">
        <v>943</v>
      </c>
    </row>
    <row r="183" spans="1:22" x14ac:dyDescent="0.2">
      <c r="A183" s="1319"/>
      <c r="B183" s="783" t="s">
        <v>818</v>
      </c>
      <c r="C183" s="784" t="s">
        <v>127</v>
      </c>
      <c r="D183" s="785">
        <v>2500000</v>
      </c>
      <c r="E183" s="786"/>
      <c r="F183" s="778">
        <v>2500000</v>
      </c>
      <c r="G183" s="786"/>
      <c r="H183" s="787"/>
      <c r="I183" s="786"/>
      <c r="J183" s="778">
        <f t="shared" si="36"/>
        <v>2500000</v>
      </c>
      <c r="K183" s="778"/>
      <c r="L183" s="779">
        <f t="shared" si="34"/>
        <v>0</v>
      </c>
      <c r="M183" s="779">
        <f t="shared" si="35"/>
        <v>0</v>
      </c>
      <c r="N183" s="784"/>
      <c r="O183" s="788"/>
      <c r="P183" s="789"/>
      <c r="Q183" s="790"/>
      <c r="R183" s="783"/>
    </row>
    <row r="184" spans="1:22" x14ac:dyDescent="0.2">
      <c r="A184" s="1319"/>
      <c r="B184" s="783" t="s">
        <v>170</v>
      </c>
      <c r="C184" s="784" t="s">
        <v>171</v>
      </c>
      <c r="D184" s="785"/>
      <c r="E184" s="786">
        <v>2267500</v>
      </c>
      <c r="F184" s="778">
        <v>2267500</v>
      </c>
      <c r="G184" s="786"/>
      <c r="H184" s="787"/>
      <c r="I184" s="786"/>
      <c r="J184" s="778">
        <f t="shared" si="36"/>
        <v>2267500</v>
      </c>
      <c r="K184" s="778"/>
      <c r="L184" s="779">
        <f t="shared" si="34"/>
        <v>0</v>
      </c>
      <c r="M184" s="779">
        <f t="shared" si="35"/>
        <v>0</v>
      </c>
      <c r="N184" s="784"/>
      <c r="O184" s="788"/>
      <c r="P184" s="789"/>
      <c r="Q184" s="790"/>
      <c r="R184" s="783" t="s">
        <v>171</v>
      </c>
    </row>
    <row r="185" spans="1:22" x14ac:dyDescent="0.2">
      <c r="A185" s="1319"/>
      <c r="B185" s="783" t="s">
        <v>107</v>
      </c>
      <c r="C185" s="784" t="s">
        <v>108</v>
      </c>
      <c r="D185" s="785">
        <v>11280000</v>
      </c>
      <c r="E185" s="786"/>
      <c r="F185" s="778">
        <v>11280000</v>
      </c>
      <c r="G185" s="786"/>
      <c r="H185" s="787"/>
      <c r="I185" s="786"/>
      <c r="J185" s="778">
        <f t="shared" si="36"/>
        <v>11280000</v>
      </c>
      <c r="K185" s="778"/>
      <c r="L185" s="779">
        <f t="shared" si="34"/>
        <v>0</v>
      </c>
      <c r="M185" s="779">
        <f t="shared" si="35"/>
        <v>0</v>
      </c>
      <c r="N185" s="784"/>
      <c r="O185" s="788"/>
      <c r="P185" s="789"/>
      <c r="Q185" s="790"/>
      <c r="R185" s="783"/>
    </row>
    <row r="186" spans="1:22" x14ac:dyDescent="0.2">
      <c r="A186" s="1319"/>
      <c r="B186" s="783" t="s">
        <v>261</v>
      </c>
      <c r="C186" s="784" t="s">
        <v>695</v>
      </c>
      <c r="D186" s="785">
        <v>43659000</v>
      </c>
      <c r="E186" s="786">
        <v>41283000</v>
      </c>
      <c r="F186" s="778">
        <v>27783000</v>
      </c>
      <c r="G186" s="786">
        <v>13500000</v>
      </c>
      <c r="H186" s="787"/>
      <c r="I186" s="786"/>
      <c r="J186" s="778">
        <f t="shared" si="36"/>
        <v>41283000</v>
      </c>
      <c r="K186" s="778"/>
      <c r="L186" s="779">
        <f t="shared" si="34"/>
        <v>0</v>
      </c>
      <c r="M186" s="779">
        <f t="shared" si="35"/>
        <v>0</v>
      </c>
      <c r="N186" s="784" t="s">
        <v>819</v>
      </c>
      <c r="O186" s="788">
        <v>43906</v>
      </c>
      <c r="P186" s="789"/>
      <c r="Q186" s="790"/>
      <c r="R186" s="783" t="s">
        <v>943</v>
      </c>
    </row>
    <row r="187" spans="1:22" x14ac:dyDescent="0.2">
      <c r="A187" s="1319"/>
      <c r="B187" s="783" t="s">
        <v>394</v>
      </c>
      <c r="C187" s="784" t="s">
        <v>162</v>
      </c>
      <c r="D187" s="785">
        <v>13000000</v>
      </c>
      <c r="E187" s="786"/>
      <c r="F187" s="778">
        <v>13000000</v>
      </c>
      <c r="G187" s="786"/>
      <c r="H187" s="787"/>
      <c r="I187" s="786"/>
      <c r="J187" s="778">
        <f t="shared" si="36"/>
        <v>13000000</v>
      </c>
      <c r="K187" s="778"/>
      <c r="L187" s="779">
        <f t="shared" si="34"/>
        <v>0</v>
      </c>
      <c r="M187" s="779">
        <f t="shared" si="35"/>
        <v>0</v>
      </c>
      <c r="N187" s="784"/>
      <c r="O187" s="788"/>
      <c r="P187" s="789"/>
      <c r="Q187" s="790"/>
      <c r="R187" s="783"/>
    </row>
    <row r="188" spans="1:22" x14ac:dyDescent="0.2">
      <c r="A188" s="1319"/>
      <c r="B188" s="783" t="s">
        <v>1027</v>
      </c>
      <c r="C188" s="784" t="s">
        <v>1028</v>
      </c>
      <c r="D188" s="785">
        <v>3675266</v>
      </c>
      <c r="E188" s="786"/>
      <c r="F188" s="778">
        <v>3675266</v>
      </c>
      <c r="G188" s="786"/>
      <c r="H188" s="787"/>
      <c r="I188" s="786"/>
      <c r="J188" s="778">
        <f t="shared" si="36"/>
        <v>3675266</v>
      </c>
      <c r="K188" s="778"/>
      <c r="L188" s="779">
        <f>IF(E188="",D188-J188-K188,E188-J188-K188)</f>
        <v>0</v>
      </c>
      <c r="M188" s="779">
        <f>K188+L188</f>
        <v>0</v>
      </c>
      <c r="N188" s="784"/>
      <c r="O188" s="788"/>
      <c r="P188" s="789"/>
      <c r="Q188" s="790"/>
      <c r="R188" s="783"/>
    </row>
    <row r="189" spans="1:22" x14ac:dyDescent="0.2">
      <c r="A189" s="1319"/>
      <c r="B189" s="783" t="s">
        <v>1029</v>
      </c>
      <c r="C189" s="784" t="s">
        <v>1030</v>
      </c>
      <c r="D189" s="785">
        <v>1250000</v>
      </c>
      <c r="E189" s="786"/>
      <c r="F189" s="778">
        <v>1250000</v>
      </c>
      <c r="G189" s="786"/>
      <c r="H189" s="787"/>
      <c r="I189" s="786"/>
      <c r="J189" s="778">
        <f t="shared" si="36"/>
        <v>1250000</v>
      </c>
      <c r="K189" s="778"/>
      <c r="L189" s="779">
        <f>IF(E189="",D189-J189-K189,E189-J189-K189)</f>
        <v>0</v>
      </c>
      <c r="M189" s="779">
        <f>K189+L189</f>
        <v>0</v>
      </c>
      <c r="N189" s="784"/>
      <c r="O189" s="788"/>
      <c r="P189" s="789"/>
      <c r="Q189" s="790"/>
      <c r="R189" s="783"/>
    </row>
    <row r="190" spans="1:22" x14ac:dyDescent="0.2">
      <c r="A190" s="1319"/>
      <c r="B190" s="783" t="s">
        <v>947</v>
      </c>
      <c r="C190" s="784"/>
      <c r="D190" s="785"/>
      <c r="E190" s="786"/>
      <c r="F190" s="778">
        <f>T190</f>
        <v>8062500</v>
      </c>
      <c r="G190" s="786"/>
      <c r="H190" s="787"/>
      <c r="I190" s="786"/>
      <c r="J190" s="778">
        <f>SUM(F190:I190)</f>
        <v>8062500</v>
      </c>
      <c r="K190" s="778"/>
      <c r="L190" s="779">
        <f>IF(E190="",D190-J190-K190,E190-J190-K190)</f>
        <v>-8062500</v>
      </c>
      <c r="M190" s="779">
        <f>IF(E190="",D190-J190+K190,E190-J190+K190)</f>
        <v>-8062500</v>
      </c>
      <c r="N190" s="784"/>
      <c r="O190" s="788"/>
      <c r="P190" s="789"/>
      <c r="Q190" s="790"/>
      <c r="R190" s="783"/>
      <c r="S190" s="751" t="s">
        <v>948</v>
      </c>
      <c r="T190" s="751">
        <f>SUM(T176:T187)</f>
        <v>8062500</v>
      </c>
    </row>
    <row r="191" spans="1:22" s="807" customFormat="1" x14ac:dyDescent="0.2">
      <c r="A191" s="811" t="s">
        <v>997</v>
      </c>
      <c r="B191" s="824" t="s">
        <v>1031</v>
      </c>
      <c r="C191" s="796"/>
      <c r="D191" s="797"/>
      <c r="E191" s="798"/>
      <c r="F191" s="799"/>
      <c r="G191" s="798"/>
      <c r="H191" s="800"/>
      <c r="I191" s="798"/>
      <c r="J191" s="812">
        <f>SUM(J175:J190)</f>
        <v>262857764</v>
      </c>
      <c r="K191" s="812">
        <f>SUM(K175:K190)</f>
        <v>0</v>
      </c>
      <c r="L191" s="812">
        <f>SUM(L175:L190)</f>
        <v>-10562500</v>
      </c>
      <c r="M191" s="812">
        <f>SUM(M175:M190)</f>
        <v>-10562500</v>
      </c>
      <c r="N191" s="796"/>
      <c r="O191" s="802"/>
      <c r="P191" s="803"/>
      <c r="Q191" s="804"/>
      <c r="R191" s="805"/>
      <c r="S191" s="806"/>
      <c r="T191" s="806"/>
      <c r="U191" s="806"/>
      <c r="V191" s="806"/>
    </row>
    <row r="192" spans="1:22" x14ac:dyDescent="0.2">
      <c r="A192" s="1321" t="s">
        <v>1032</v>
      </c>
      <c r="B192" s="783" t="s">
        <v>175</v>
      </c>
      <c r="C192" s="784" t="s">
        <v>416</v>
      </c>
      <c r="D192" s="774">
        <v>1100000</v>
      </c>
      <c r="E192" s="775">
        <v>1100000</v>
      </c>
      <c r="F192" s="776">
        <v>1100000</v>
      </c>
      <c r="G192" s="775"/>
      <c r="H192" s="777"/>
      <c r="I192" s="775"/>
      <c r="J192" s="776">
        <f>SUM(F192:I192)</f>
        <v>1100000</v>
      </c>
      <c r="K192" s="776"/>
      <c r="L192" s="779">
        <f>IF(E192="",D192-J192-K192,E192-J192-K192)</f>
        <v>0</v>
      </c>
      <c r="M192" s="779">
        <f>K192+L192</f>
        <v>0</v>
      </c>
      <c r="N192" s="773"/>
      <c r="O192" s="780"/>
      <c r="P192" s="781"/>
      <c r="Q192" s="782"/>
      <c r="R192" s="783" t="s">
        <v>943</v>
      </c>
      <c r="S192" s="751" t="s">
        <v>822</v>
      </c>
    </row>
    <row r="193" spans="1:20" x14ac:dyDescent="0.2">
      <c r="A193" s="1320"/>
      <c r="B193" s="783" t="s">
        <v>823</v>
      </c>
      <c r="C193" s="784" t="s">
        <v>416</v>
      </c>
      <c r="D193" s="785">
        <v>1904000</v>
      </c>
      <c r="E193" s="786"/>
      <c r="F193" s="778">
        <v>1904000</v>
      </c>
      <c r="G193" s="786"/>
      <c r="H193" s="787"/>
      <c r="I193" s="786"/>
      <c r="J193" s="778">
        <f t="shared" ref="J193:J205" si="37">SUM(F193:I193)</f>
        <v>1904000</v>
      </c>
      <c r="K193" s="778"/>
      <c r="L193" s="779">
        <f>IF(E193="",D193-J193-K193,E193-J193-K193)</f>
        <v>0</v>
      </c>
      <c r="M193" s="779">
        <f>K193+L193</f>
        <v>0</v>
      </c>
      <c r="N193" s="784"/>
      <c r="O193" s="788"/>
      <c r="P193" s="789"/>
      <c r="Q193" s="790"/>
      <c r="R193" s="783" t="s">
        <v>943</v>
      </c>
      <c r="S193" s="751" t="s">
        <v>1003</v>
      </c>
      <c r="T193" s="751">
        <v>900000</v>
      </c>
    </row>
    <row r="194" spans="1:20" x14ac:dyDescent="0.2">
      <c r="A194" s="1320"/>
      <c r="B194" s="783" t="s">
        <v>394</v>
      </c>
      <c r="C194" s="784" t="s">
        <v>824</v>
      </c>
      <c r="D194" s="785">
        <v>21600000</v>
      </c>
      <c r="E194" s="786"/>
      <c r="F194" s="778">
        <v>16600000</v>
      </c>
      <c r="G194" s="786">
        <v>5000000</v>
      </c>
      <c r="H194" s="787"/>
      <c r="I194" s="786"/>
      <c r="J194" s="778">
        <f t="shared" si="37"/>
        <v>21600000</v>
      </c>
      <c r="K194" s="778"/>
      <c r="L194" s="779">
        <f>IF(E194="",D194-J194-K194,E194-J194-K194)</f>
        <v>0</v>
      </c>
      <c r="M194" s="779">
        <f>K194+L194</f>
        <v>0</v>
      </c>
      <c r="N194" s="784"/>
      <c r="O194" s="788"/>
      <c r="P194" s="789"/>
      <c r="Q194" s="790"/>
      <c r="R194" s="783"/>
      <c r="S194" s="751" t="s">
        <v>1004</v>
      </c>
      <c r="T194" s="751">
        <v>2400000</v>
      </c>
    </row>
    <row r="195" spans="1:20" ht="15" customHeight="1" x14ac:dyDescent="0.2">
      <c r="A195" s="1320" t="s">
        <v>1032</v>
      </c>
      <c r="B195" s="783" t="s">
        <v>31</v>
      </c>
      <c r="C195" s="784" t="s">
        <v>825</v>
      </c>
      <c r="D195" s="785">
        <v>7140000</v>
      </c>
      <c r="E195" s="786">
        <v>19774000</v>
      </c>
      <c r="F195" s="778">
        <v>7140000</v>
      </c>
      <c r="G195" s="786">
        <v>12634000</v>
      </c>
      <c r="H195" s="787"/>
      <c r="I195" s="786"/>
      <c r="J195" s="778">
        <f t="shared" si="37"/>
        <v>19774000</v>
      </c>
      <c r="K195" s="778"/>
      <c r="L195" s="779">
        <f t="shared" ref="L195:L205" si="38">IF(E195="",D195-J195-K195,E195-J195-K195)</f>
        <v>0</v>
      </c>
      <c r="M195" s="779">
        <f t="shared" ref="M195:M205" si="39">K195+L195</f>
        <v>0</v>
      </c>
      <c r="N195" s="784"/>
      <c r="O195" s="788"/>
      <c r="P195" s="789"/>
      <c r="Q195" s="790"/>
      <c r="R195" s="783"/>
      <c r="S195" s="751" t="s">
        <v>1018</v>
      </c>
      <c r="T195" s="751">
        <v>2700000</v>
      </c>
    </row>
    <row r="196" spans="1:20" ht="15" customHeight="1" x14ac:dyDescent="0.2">
      <c r="A196" s="1320"/>
      <c r="B196" s="783" t="s">
        <v>50</v>
      </c>
      <c r="C196" s="784" t="s">
        <v>61</v>
      </c>
      <c r="D196" s="785">
        <v>78936000</v>
      </c>
      <c r="E196" s="786"/>
      <c r="F196" s="778">
        <v>38918000</v>
      </c>
      <c r="G196" s="786">
        <v>40018000</v>
      </c>
      <c r="H196" s="787"/>
      <c r="I196" s="786"/>
      <c r="J196" s="778">
        <f t="shared" si="37"/>
        <v>78936000</v>
      </c>
      <c r="K196" s="778"/>
      <c r="L196" s="779">
        <f t="shared" si="38"/>
        <v>0</v>
      </c>
      <c r="M196" s="779">
        <f t="shared" si="39"/>
        <v>0</v>
      </c>
      <c r="N196" s="784"/>
      <c r="O196" s="788"/>
      <c r="P196" s="789"/>
      <c r="Q196" s="790"/>
      <c r="R196" s="783" t="s">
        <v>943</v>
      </c>
      <c r="S196" s="751" t="s">
        <v>1019</v>
      </c>
      <c r="T196" s="751">
        <v>1800000</v>
      </c>
    </row>
    <row r="197" spans="1:20" x14ac:dyDescent="0.2">
      <c r="A197" s="1320"/>
      <c r="B197" s="783" t="s">
        <v>50</v>
      </c>
      <c r="C197" s="784" t="s">
        <v>323</v>
      </c>
      <c r="D197" s="785">
        <v>24472800</v>
      </c>
      <c r="E197" s="786"/>
      <c r="F197" s="778">
        <v>17130960</v>
      </c>
      <c r="G197" s="786">
        <v>7341840</v>
      </c>
      <c r="H197" s="787"/>
      <c r="I197" s="786"/>
      <c r="J197" s="778">
        <f t="shared" si="37"/>
        <v>24472800</v>
      </c>
      <c r="K197" s="778"/>
      <c r="L197" s="779">
        <f t="shared" si="38"/>
        <v>0</v>
      </c>
      <c r="M197" s="779">
        <f t="shared" si="39"/>
        <v>0</v>
      </c>
      <c r="N197" s="784" t="s">
        <v>827</v>
      </c>
      <c r="O197" s="788"/>
      <c r="P197" s="789"/>
      <c r="Q197" s="790"/>
      <c r="R197" s="783" t="s">
        <v>943</v>
      </c>
      <c r="S197" s="751" t="s">
        <v>1016</v>
      </c>
      <c r="T197" s="751">
        <v>1032000</v>
      </c>
    </row>
    <row r="198" spans="1:20" x14ac:dyDescent="0.2">
      <c r="A198" s="1320"/>
      <c r="B198" s="783" t="s">
        <v>828</v>
      </c>
      <c r="C198" s="784" t="s">
        <v>829</v>
      </c>
      <c r="D198" s="791">
        <f>J198</f>
        <v>294525</v>
      </c>
      <c r="E198" s="786"/>
      <c r="F198" s="778">
        <v>294525</v>
      </c>
      <c r="G198" s="786"/>
      <c r="H198" s="787"/>
      <c r="I198" s="786"/>
      <c r="J198" s="778">
        <f t="shared" si="37"/>
        <v>294525</v>
      </c>
      <c r="K198" s="778"/>
      <c r="L198" s="779">
        <f t="shared" si="38"/>
        <v>0</v>
      </c>
      <c r="M198" s="779">
        <f t="shared" si="39"/>
        <v>0</v>
      </c>
      <c r="N198" s="784"/>
      <c r="O198" s="788"/>
      <c r="P198" s="789"/>
      <c r="Q198" s="790"/>
      <c r="R198" s="783"/>
      <c r="S198" s="751" t="s">
        <v>1020</v>
      </c>
      <c r="T198" s="751">
        <v>300000</v>
      </c>
    </row>
    <row r="199" spans="1:20" x14ac:dyDescent="0.2">
      <c r="A199" s="1320"/>
      <c r="B199" s="783" t="s">
        <v>831</v>
      </c>
      <c r="C199" s="784" t="s">
        <v>526</v>
      </c>
      <c r="D199" s="791">
        <f>J199</f>
        <v>2000000</v>
      </c>
      <c r="E199" s="786"/>
      <c r="F199" s="778">
        <v>2000000</v>
      </c>
      <c r="G199" s="786"/>
      <c r="H199" s="787"/>
      <c r="I199" s="786"/>
      <c r="J199" s="778">
        <f t="shared" si="37"/>
        <v>2000000</v>
      </c>
      <c r="K199" s="778"/>
      <c r="L199" s="779">
        <f t="shared" si="38"/>
        <v>0</v>
      </c>
      <c r="M199" s="779">
        <f t="shared" si="39"/>
        <v>0</v>
      </c>
      <c r="N199" s="784"/>
      <c r="O199" s="788"/>
      <c r="P199" s="789"/>
      <c r="Q199" s="790"/>
      <c r="R199" s="783"/>
      <c r="S199" s="751" t="s">
        <v>1021</v>
      </c>
      <c r="T199" s="751">
        <v>1248000</v>
      </c>
    </row>
    <row r="200" spans="1:20" ht="22.5" x14ac:dyDescent="0.2">
      <c r="A200" s="1320"/>
      <c r="B200" s="783" t="s">
        <v>92</v>
      </c>
      <c r="C200" s="860" t="s">
        <v>204</v>
      </c>
      <c r="D200" s="785">
        <v>56045000</v>
      </c>
      <c r="E200" s="786">
        <v>69982000</v>
      </c>
      <c r="F200" s="778">
        <v>15285000</v>
      </c>
      <c r="G200" s="786">
        <v>20380000</v>
      </c>
      <c r="H200" s="787">
        <v>34317000</v>
      </c>
      <c r="I200" s="786"/>
      <c r="J200" s="778">
        <f t="shared" si="37"/>
        <v>69982000</v>
      </c>
      <c r="K200" s="778"/>
      <c r="L200" s="779">
        <f t="shared" si="38"/>
        <v>0</v>
      </c>
      <c r="M200" s="779">
        <f t="shared" si="39"/>
        <v>0</v>
      </c>
      <c r="N200" s="784" t="s">
        <v>725</v>
      </c>
      <c r="O200" s="788"/>
      <c r="P200" s="789"/>
      <c r="Q200" s="790"/>
      <c r="R200" s="783" t="s">
        <v>943</v>
      </c>
    </row>
    <row r="201" spans="1:20" x14ac:dyDescent="0.2">
      <c r="A201" s="1320"/>
      <c r="B201" s="783" t="s">
        <v>99</v>
      </c>
      <c r="C201" s="784" t="s">
        <v>100</v>
      </c>
      <c r="D201" s="785">
        <v>139717600</v>
      </c>
      <c r="E201" s="786">
        <v>139717600</v>
      </c>
      <c r="F201" s="778">
        <v>41915280</v>
      </c>
      <c r="G201" s="786">
        <v>97802320</v>
      </c>
      <c r="H201" s="787"/>
      <c r="I201" s="786"/>
      <c r="J201" s="778">
        <f t="shared" si="37"/>
        <v>139717600</v>
      </c>
      <c r="K201" s="778"/>
      <c r="L201" s="779">
        <f t="shared" si="38"/>
        <v>0</v>
      </c>
      <c r="M201" s="779">
        <f t="shared" si="39"/>
        <v>0</v>
      </c>
      <c r="N201" s="784"/>
      <c r="O201" s="788"/>
      <c r="P201" s="789"/>
      <c r="Q201" s="790"/>
      <c r="R201" s="783" t="s">
        <v>943</v>
      </c>
    </row>
    <row r="202" spans="1:20" x14ac:dyDescent="0.2">
      <c r="A202" s="1320"/>
      <c r="B202" s="783" t="s">
        <v>514</v>
      </c>
      <c r="C202" s="784" t="s">
        <v>114</v>
      </c>
      <c r="D202" s="785">
        <v>6714000</v>
      </c>
      <c r="E202" s="786"/>
      <c r="F202" s="778">
        <v>6714000</v>
      </c>
      <c r="G202" s="786"/>
      <c r="H202" s="787"/>
      <c r="I202" s="786"/>
      <c r="J202" s="778">
        <f t="shared" si="37"/>
        <v>6714000</v>
      </c>
      <c r="K202" s="778"/>
      <c r="L202" s="779">
        <f t="shared" si="38"/>
        <v>0</v>
      </c>
      <c r="M202" s="779">
        <f t="shared" si="39"/>
        <v>0</v>
      </c>
      <c r="N202" s="784"/>
      <c r="O202" s="788"/>
      <c r="P202" s="789"/>
      <c r="Q202" s="790"/>
      <c r="R202" s="783" t="s">
        <v>957</v>
      </c>
    </row>
    <row r="203" spans="1:20" x14ac:dyDescent="0.2">
      <c r="A203" s="1320"/>
      <c r="B203" s="783" t="s">
        <v>107</v>
      </c>
      <c r="C203" s="784" t="s">
        <v>341</v>
      </c>
      <c r="D203" s="785">
        <v>4800000</v>
      </c>
      <c r="E203" s="786">
        <v>4800000</v>
      </c>
      <c r="F203" s="778">
        <v>2800000</v>
      </c>
      <c r="G203" s="786">
        <v>2000000</v>
      </c>
      <c r="H203" s="787"/>
      <c r="I203" s="786"/>
      <c r="J203" s="778">
        <f t="shared" si="37"/>
        <v>4800000</v>
      </c>
      <c r="K203" s="778"/>
      <c r="L203" s="779">
        <f t="shared" si="38"/>
        <v>0</v>
      </c>
      <c r="M203" s="779">
        <f t="shared" si="39"/>
        <v>0</v>
      </c>
      <c r="N203" s="784"/>
      <c r="O203" s="788"/>
      <c r="P203" s="789"/>
      <c r="Q203" s="790"/>
      <c r="R203" s="783"/>
    </row>
    <row r="204" spans="1:20" x14ac:dyDescent="0.2">
      <c r="A204" s="1320"/>
      <c r="B204" s="783" t="s">
        <v>834</v>
      </c>
      <c r="C204" s="784" t="s">
        <v>273</v>
      </c>
      <c r="D204" s="785">
        <v>8566950</v>
      </c>
      <c r="E204" s="786">
        <v>20546400</v>
      </c>
      <c r="F204" s="778">
        <v>8566950</v>
      </c>
      <c r="G204" s="786">
        <v>11980400</v>
      </c>
      <c r="H204" s="787">
        <v>-950</v>
      </c>
      <c r="I204" s="786"/>
      <c r="J204" s="778">
        <f t="shared" si="37"/>
        <v>20546400</v>
      </c>
      <c r="K204" s="778"/>
      <c r="L204" s="779">
        <f t="shared" si="38"/>
        <v>0</v>
      </c>
      <c r="M204" s="779">
        <f t="shared" si="39"/>
        <v>0</v>
      </c>
      <c r="N204" s="784"/>
      <c r="O204" s="788"/>
      <c r="P204" s="789"/>
      <c r="Q204" s="790"/>
      <c r="R204" s="783"/>
    </row>
    <row r="205" spans="1:20" x14ac:dyDescent="0.2">
      <c r="A205" s="1320"/>
      <c r="B205" s="783" t="s">
        <v>835</v>
      </c>
      <c r="C205" s="784" t="s">
        <v>836</v>
      </c>
      <c r="D205" s="785">
        <v>3696000</v>
      </c>
      <c r="E205" s="786"/>
      <c r="F205" s="778">
        <v>3696000</v>
      </c>
      <c r="G205" s="786"/>
      <c r="H205" s="787"/>
      <c r="I205" s="786"/>
      <c r="J205" s="778">
        <f t="shared" si="37"/>
        <v>3696000</v>
      </c>
      <c r="K205" s="778"/>
      <c r="L205" s="779">
        <f t="shared" si="38"/>
        <v>0</v>
      </c>
      <c r="M205" s="779">
        <f t="shared" si="39"/>
        <v>0</v>
      </c>
      <c r="N205" s="784"/>
      <c r="O205" s="788"/>
      <c r="P205" s="789"/>
      <c r="Q205" s="790"/>
      <c r="R205" s="783" t="s">
        <v>1033</v>
      </c>
    </row>
    <row r="206" spans="1:20" x14ac:dyDescent="0.2">
      <c r="A206" s="1320"/>
      <c r="B206" s="783" t="s">
        <v>838</v>
      </c>
      <c r="C206" s="784"/>
      <c r="D206" s="785">
        <v>1440750</v>
      </c>
      <c r="E206" s="786"/>
      <c r="F206" s="778">
        <v>1440750</v>
      </c>
      <c r="G206" s="786"/>
      <c r="H206" s="787"/>
      <c r="I206" s="786"/>
      <c r="J206" s="778">
        <f t="shared" ref="J206:J220" si="40">SUM(F206:I206)</f>
        <v>1440750</v>
      </c>
      <c r="K206" s="778"/>
      <c r="L206" s="779">
        <f t="shared" ref="L206:L215" si="41">IF(E206="",D206-J206-K206,E206-J206-K206)</f>
        <v>0</v>
      </c>
      <c r="M206" s="779">
        <f t="shared" ref="M206:M215" si="42">K206+L206</f>
        <v>0</v>
      </c>
      <c r="N206" s="784"/>
      <c r="O206" s="788"/>
      <c r="P206" s="789"/>
      <c r="Q206" s="790"/>
      <c r="R206" s="783"/>
    </row>
    <row r="207" spans="1:20" x14ac:dyDescent="0.2">
      <c r="A207" s="1320"/>
      <c r="B207" s="783" t="s">
        <v>839</v>
      </c>
      <c r="C207" s="784" t="s">
        <v>840</v>
      </c>
      <c r="D207" s="785"/>
      <c r="E207" s="786">
        <v>3824000</v>
      </c>
      <c r="F207" s="778">
        <v>3824000</v>
      </c>
      <c r="G207" s="786"/>
      <c r="H207" s="787"/>
      <c r="I207" s="786"/>
      <c r="J207" s="778">
        <f t="shared" si="40"/>
        <v>3824000</v>
      </c>
      <c r="K207" s="778"/>
      <c r="L207" s="779">
        <f t="shared" si="41"/>
        <v>0</v>
      </c>
      <c r="M207" s="779">
        <f t="shared" si="42"/>
        <v>0</v>
      </c>
      <c r="N207" s="784"/>
      <c r="O207" s="788"/>
      <c r="P207" s="789"/>
      <c r="Q207" s="790"/>
      <c r="R207" s="783" t="s">
        <v>943</v>
      </c>
    </row>
    <row r="208" spans="1:20" x14ac:dyDescent="0.2">
      <c r="A208" s="1320"/>
      <c r="B208" s="783" t="s">
        <v>257</v>
      </c>
      <c r="C208" s="784" t="s">
        <v>286</v>
      </c>
      <c r="D208" s="785"/>
      <c r="E208" s="786">
        <v>3859649</v>
      </c>
      <c r="F208" s="778">
        <v>3859649</v>
      </c>
      <c r="G208" s="786"/>
      <c r="H208" s="787"/>
      <c r="I208" s="786"/>
      <c r="J208" s="778">
        <f t="shared" si="40"/>
        <v>3859649</v>
      </c>
      <c r="K208" s="778"/>
      <c r="L208" s="779">
        <f t="shared" si="41"/>
        <v>0</v>
      </c>
      <c r="M208" s="779">
        <f t="shared" si="42"/>
        <v>0</v>
      </c>
      <c r="N208" s="784"/>
      <c r="O208" s="788"/>
      <c r="P208" s="789"/>
      <c r="Q208" s="790"/>
      <c r="R208" s="783"/>
    </row>
    <row r="209" spans="1:22" x14ac:dyDescent="0.2">
      <c r="A209" s="1320"/>
      <c r="B209" s="783" t="s">
        <v>769</v>
      </c>
      <c r="C209" s="784" t="s">
        <v>229</v>
      </c>
      <c r="D209" s="785">
        <v>14018000</v>
      </c>
      <c r="E209" s="786"/>
      <c r="F209" s="778">
        <v>14018000</v>
      </c>
      <c r="G209" s="786"/>
      <c r="H209" s="787"/>
      <c r="I209" s="786"/>
      <c r="J209" s="778">
        <f t="shared" si="40"/>
        <v>14018000</v>
      </c>
      <c r="K209" s="778"/>
      <c r="L209" s="779">
        <f t="shared" si="41"/>
        <v>0</v>
      </c>
      <c r="M209" s="779">
        <f t="shared" si="42"/>
        <v>0</v>
      </c>
      <c r="N209" s="784" t="s">
        <v>844</v>
      </c>
      <c r="O209" s="788">
        <v>43915</v>
      </c>
      <c r="P209" s="789"/>
      <c r="Q209" s="790"/>
      <c r="R209" s="783" t="s">
        <v>943</v>
      </c>
    </row>
    <row r="210" spans="1:22" ht="22.5" x14ac:dyDescent="0.2">
      <c r="A210" s="1320"/>
      <c r="B210" s="783" t="s">
        <v>845</v>
      </c>
      <c r="C210" s="860" t="s">
        <v>846</v>
      </c>
      <c r="D210" s="785">
        <v>13352000</v>
      </c>
      <c r="E210" s="786"/>
      <c r="F210" s="778">
        <v>13352000</v>
      </c>
      <c r="G210" s="786"/>
      <c r="H210" s="787"/>
      <c r="I210" s="786"/>
      <c r="J210" s="778">
        <f t="shared" si="40"/>
        <v>13352000</v>
      </c>
      <c r="K210" s="778"/>
      <c r="L210" s="779">
        <f t="shared" si="41"/>
        <v>0</v>
      </c>
      <c r="M210" s="779">
        <f t="shared" si="42"/>
        <v>0</v>
      </c>
      <c r="N210" s="784"/>
      <c r="O210" s="788"/>
      <c r="P210" s="789"/>
      <c r="Q210" s="790"/>
      <c r="R210" s="783" t="s">
        <v>1033</v>
      </c>
    </row>
    <row r="211" spans="1:22" x14ac:dyDescent="0.2">
      <c r="A211" s="1320"/>
      <c r="B211" s="783" t="s">
        <v>158</v>
      </c>
      <c r="C211" s="784" t="s">
        <v>441</v>
      </c>
      <c r="D211" s="785">
        <v>3542000</v>
      </c>
      <c r="E211" s="786"/>
      <c r="F211" s="778">
        <v>3542000</v>
      </c>
      <c r="G211" s="786"/>
      <c r="H211" s="787"/>
      <c r="I211" s="786"/>
      <c r="J211" s="778">
        <f t="shared" si="40"/>
        <v>3542000</v>
      </c>
      <c r="K211" s="778"/>
      <c r="L211" s="779">
        <f t="shared" si="41"/>
        <v>0</v>
      </c>
      <c r="M211" s="779">
        <f t="shared" si="42"/>
        <v>0</v>
      </c>
      <c r="N211" s="784"/>
      <c r="O211" s="788"/>
      <c r="P211" s="789"/>
      <c r="Q211" s="790"/>
      <c r="R211" s="783"/>
    </row>
    <row r="212" spans="1:22" x14ac:dyDescent="0.2">
      <c r="A212" s="1320"/>
      <c r="B212" s="783" t="s">
        <v>118</v>
      </c>
      <c r="C212" s="784" t="s">
        <v>301</v>
      </c>
      <c r="D212" s="785">
        <v>44855950</v>
      </c>
      <c r="E212" s="786"/>
      <c r="F212" s="778">
        <v>34855950</v>
      </c>
      <c r="G212" s="786">
        <v>10000000</v>
      </c>
      <c r="H212" s="787"/>
      <c r="I212" s="786"/>
      <c r="J212" s="778">
        <f t="shared" si="40"/>
        <v>44855950</v>
      </c>
      <c r="K212" s="778"/>
      <c r="L212" s="779">
        <f t="shared" si="41"/>
        <v>0</v>
      </c>
      <c r="M212" s="779">
        <f t="shared" si="42"/>
        <v>0</v>
      </c>
      <c r="N212" s="784"/>
      <c r="O212" s="788"/>
      <c r="P212" s="789"/>
      <c r="Q212" s="790"/>
      <c r="R212" s="783"/>
    </row>
    <row r="213" spans="1:22" x14ac:dyDescent="0.2">
      <c r="A213" s="1320"/>
      <c r="B213" s="783" t="s">
        <v>254</v>
      </c>
      <c r="C213" s="784" t="s">
        <v>299</v>
      </c>
      <c r="D213" s="785">
        <v>660000</v>
      </c>
      <c r="E213" s="786"/>
      <c r="F213" s="778">
        <v>660000</v>
      </c>
      <c r="G213" s="786"/>
      <c r="H213" s="787"/>
      <c r="I213" s="786"/>
      <c r="J213" s="778">
        <f t="shared" si="40"/>
        <v>660000</v>
      </c>
      <c r="K213" s="778"/>
      <c r="L213" s="779">
        <f t="shared" si="41"/>
        <v>0</v>
      </c>
      <c r="M213" s="779">
        <f t="shared" si="42"/>
        <v>0</v>
      </c>
      <c r="N213" s="784"/>
      <c r="O213" s="788"/>
      <c r="P213" s="789"/>
      <c r="Q213" s="790"/>
      <c r="R213" s="783"/>
    </row>
    <row r="214" spans="1:22" x14ac:dyDescent="0.2">
      <c r="A214" s="1320"/>
      <c r="B214" s="783" t="s">
        <v>170</v>
      </c>
      <c r="C214" s="784" t="s">
        <v>171</v>
      </c>
      <c r="D214" s="785"/>
      <c r="E214" s="786">
        <v>33332000</v>
      </c>
      <c r="F214" s="778">
        <v>33332000</v>
      </c>
      <c r="G214" s="786"/>
      <c r="H214" s="787"/>
      <c r="I214" s="786"/>
      <c r="J214" s="778">
        <f t="shared" si="40"/>
        <v>33332000</v>
      </c>
      <c r="K214" s="778"/>
      <c r="L214" s="779">
        <f t="shared" si="41"/>
        <v>0</v>
      </c>
      <c r="M214" s="779">
        <f t="shared" si="42"/>
        <v>0</v>
      </c>
      <c r="N214" s="784"/>
      <c r="O214" s="788"/>
      <c r="P214" s="789"/>
      <c r="Q214" s="790"/>
      <c r="R214" s="783" t="s">
        <v>171</v>
      </c>
    </row>
    <row r="215" spans="1:22" x14ac:dyDescent="0.2">
      <c r="A215" s="1320"/>
      <c r="B215" s="783" t="s">
        <v>250</v>
      </c>
      <c r="C215" s="784" t="s">
        <v>251</v>
      </c>
      <c r="D215" s="785">
        <v>5280000</v>
      </c>
      <c r="E215" s="786"/>
      <c r="F215" s="778">
        <v>5280000</v>
      </c>
      <c r="G215" s="786"/>
      <c r="H215" s="787"/>
      <c r="I215" s="786"/>
      <c r="J215" s="778">
        <f t="shared" si="40"/>
        <v>5280000</v>
      </c>
      <c r="K215" s="778"/>
      <c r="L215" s="779">
        <f t="shared" si="41"/>
        <v>0</v>
      </c>
      <c r="M215" s="779">
        <f t="shared" si="42"/>
        <v>0</v>
      </c>
      <c r="N215" s="784"/>
      <c r="O215" s="788"/>
      <c r="P215" s="789"/>
      <c r="Q215" s="790"/>
      <c r="R215" s="783" t="s">
        <v>943</v>
      </c>
    </row>
    <row r="216" spans="1:22" x14ac:dyDescent="0.2">
      <c r="A216" s="1320"/>
      <c r="B216" s="783" t="s">
        <v>849</v>
      </c>
      <c r="C216" s="784" t="s">
        <v>195</v>
      </c>
      <c r="D216" s="785">
        <v>2060000</v>
      </c>
      <c r="E216" s="786"/>
      <c r="F216" s="778">
        <v>2060000</v>
      </c>
      <c r="G216" s="786"/>
      <c r="H216" s="787"/>
      <c r="I216" s="786"/>
      <c r="J216" s="778">
        <f t="shared" si="40"/>
        <v>2060000</v>
      </c>
      <c r="K216" s="778"/>
      <c r="L216" s="779">
        <f>IF(E216="",D216-J216-K216,E216-J216-K216)</f>
        <v>0</v>
      </c>
      <c r="M216" s="779">
        <f>K216+L216</f>
        <v>0</v>
      </c>
      <c r="N216" s="784"/>
      <c r="O216" s="788"/>
      <c r="P216" s="789"/>
      <c r="Q216" s="790"/>
      <c r="R216" s="783"/>
    </row>
    <row r="217" spans="1:22" x14ac:dyDescent="0.2">
      <c r="A217" s="1320"/>
      <c r="B217" s="783" t="s">
        <v>257</v>
      </c>
      <c r="C217" s="784" t="s">
        <v>526</v>
      </c>
      <c r="D217" s="791">
        <f>J217</f>
        <v>8635500</v>
      </c>
      <c r="E217" s="786"/>
      <c r="F217" s="778">
        <v>7685000</v>
      </c>
      <c r="G217" s="786">
        <v>950500</v>
      </c>
      <c r="H217" s="787"/>
      <c r="I217" s="786"/>
      <c r="J217" s="778">
        <f t="shared" si="40"/>
        <v>8635500</v>
      </c>
      <c r="K217" s="778"/>
      <c r="L217" s="779">
        <f>IF(E217="",D217-J217-K217,E217-J217-K217)</f>
        <v>0</v>
      </c>
      <c r="M217" s="779">
        <f>K217+L217</f>
        <v>0</v>
      </c>
      <c r="N217" s="784"/>
      <c r="O217" s="788"/>
      <c r="P217" s="789"/>
      <c r="Q217" s="790"/>
      <c r="R217" s="783"/>
    </row>
    <row r="218" spans="1:22" x14ac:dyDescent="0.2">
      <c r="A218" s="1320"/>
      <c r="B218" s="783" t="s">
        <v>712</v>
      </c>
      <c r="C218" s="784" t="s">
        <v>956</v>
      </c>
      <c r="D218" s="785">
        <v>7568000</v>
      </c>
      <c r="E218" s="786"/>
      <c r="F218" s="808">
        <f>19004000-11436000</f>
        <v>7568000</v>
      </c>
      <c r="G218" s="786"/>
      <c r="H218" s="787"/>
      <c r="I218" s="786"/>
      <c r="J218" s="778">
        <f t="shared" si="40"/>
        <v>7568000</v>
      </c>
      <c r="K218" s="778"/>
      <c r="L218" s="779">
        <f>IF(E218="",D218-J218-K218,E218-J218-K218)</f>
        <v>0</v>
      </c>
      <c r="M218" s="779">
        <f>K218+L218</f>
        <v>0</v>
      </c>
      <c r="N218" s="784"/>
      <c r="O218" s="788"/>
      <c r="P218" s="789"/>
      <c r="Q218" s="790"/>
      <c r="R218" s="783"/>
    </row>
    <row r="219" spans="1:22" x14ac:dyDescent="0.2">
      <c r="A219" s="1320"/>
      <c r="B219" s="783" t="s">
        <v>1034</v>
      </c>
      <c r="C219" s="784" t="s">
        <v>1035</v>
      </c>
      <c r="D219" s="785">
        <v>1300000</v>
      </c>
      <c r="E219" s="786"/>
      <c r="F219" s="808">
        <v>1300000</v>
      </c>
      <c r="G219" s="786"/>
      <c r="H219" s="787"/>
      <c r="I219" s="786"/>
      <c r="J219" s="778">
        <f t="shared" si="40"/>
        <v>1300000</v>
      </c>
      <c r="K219" s="778"/>
      <c r="L219" s="779">
        <f>IF(E219="",D219-J219-K219,E219-J219-K219)</f>
        <v>0</v>
      </c>
      <c r="M219" s="779">
        <f>K219+L219</f>
        <v>0</v>
      </c>
      <c r="N219" s="784"/>
      <c r="O219" s="788"/>
      <c r="P219" s="789"/>
      <c r="Q219" s="790"/>
      <c r="R219" s="783"/>
    </row>
    <row r="220" spans="1:22" x14ac:dyDescent="0.2">
      <c r="A220" s="1320"/>
      <c r="B220" s="783" t="s">
        <v>1036</v>
      </c>
      <c r="C220" s="784" t="s">
        <v>1035</v>
      </c>
      <c r="D220" s="785">
        <v>9540000</v>
      </c>
      <c r="E220" s="786"/>
      <c r="F220" s="808">
        <v>9540000</v>
      </c>
      <c r="G220" s="786"/>
      <c r="H220" s="787"/>
      <c r="I220" s="786"/>
      <c r="J220" s="778">
        <f t="shared" si="40"/>
        <v>9540000</v>
      </c>
      <c r="K220" s="778"/>
      <c r="L220" s="779">
        <f>IF(E220="",D220-J220-K220,E220-J220-K220)</f>
        <v>0</v>
      </c>
      <c r="M220" s="779">
        <f>K220+L220</f>
        <v>0</v>
      </c>
      <c r="N220" s="784"/>
      <c r="O220" s="788"/>
      <c r="P220" s="789"/>
      <c r="Q220" s="790"/>
      <c r="R220" s="783"/>
    </row>
    <row r="221" spans="1:22" ht="11.25" hidden="1" customHeight="1" x14ac:dyDescent="0.2">
      <c r="A221" s="1320"/>
      <c r="B221" s="783"/>
      <c r="C221" s="784"/>
      <c r="D221" s="785"/>
      <c r="E221" s="786"/>
      <c r="F221" s="808"/>
      <c r="G221" s="786"/>
      <c r="H221" s="787"/>
      <c r="I221" s="786"/>
      <c r="J221" s="778"/>
      <c r="K221" s="778"/>
      <c r="L221" s="779"/>
      <c r="M221" s="779"/>
      <c r="N221" s="784"/>
      <c r="O221" s="788"/>
      <c r="P221" s="789"/>
      <c r="Q221" s="790"/>
      <c r="R221" s="783"/>
    </row>
    <row r="222" spans="1:22" x14ac:dyDescent="0.2">
      <c r="A222" s="1320"/>
      <c r="B222" s="783" t="s">
        <v>947</v>
      </c>
      <c r="C222" s="784"/>
      <c r="D222" s="785"/>
      <c r="E222" s="786"/>
      <c r="F222" s="778">
        <f>T222</f>
        <v>10380000</v>
      </c>
      <c r="G222" s="786"/>
      <c r="H222" s="787"/>
      <c r="I222" s="786"/>
      <c r="J222" s="778">
        <f>SUM(F222:I222)</f>
        <v>10380000</v>
      </c>
      <c r="K222" s="778"/>
      <c r="L222" s="779">
        <f>IF(E222="",D222-J222-K222,E222-J222-K222)</f>
        <v>-10380000</v>
      </c>
      <c r="M222" s="779">
        <f>IF(E222="",D222-J222+K222,E222-J222+K222)</f>
        <v>-10380000</v>
      </c>
      <c r="N222" s="784"/>
      <c r="O222" s="788"/>
      <c r="P222" s="789"/>
      <c r="Q222" s="790"/>
      <c r="R222" s="783"/>
      <c r="S222" s="751" t="s">
        <v>948</v>
      </c>
      <c r="T222" s="751">
        <f>SUM(T193:T218)</f>
        <v>10380000</v>
      </c>
    </row>
    <row r="223" spans="1:22" s="807" customFormat="1" x14ac:dyDescent="0.2">
      <c r="A223" s="811" t="s">
        <v>949</v>
      </c>
      <c r="B223" s="795" t="s">
        <v>1032</v>
      </c>
      <c r="C223" s="796"/>
      <c r="D223" s="797"/>
      <c r="E223" s="798"/>
      <c r="F223" s="799"/>
      <c r="G223" s="798"/>
      <c r="H223" s="800"/>
      <c r="I223" s="798"/>
      <c r="J223" s="812">
        <f>SUM(J192:J222)</f>
        <v>559185174</v>
      </c>
      <c r="K223" s="812">
        <f>SUM(K192:K222)</f>
        <v>0</v>
      </c>
      <c r="L223" s="812">
        <f>SUM(L192:L222)</f>
        <v>-10380000</v>
      </c>
      <c r="M223" s="812">
        <f>SUM(M192:M222)</f>
        <v>-10380000</v>
      </c>
      <c r="N223" s="796"/>
      <c r="O223" s="802"/>
      <c r="P223" s="803"/>
      <c r="Q223" s="804"/>
      <c r="R223" s="805"/>
      <c r="S223" s="806"/>
      <c r="T223" s="806"/>
      <c r="U223" s="806"/>
      <c r="V223" s="806"/>
    </row>
    <row r="224" spans="1:22" x14ac:dyDescent="0.2">
      <c r="A224" s="1321" t="s">
        <v>1037</v>
      </c>
      <c r="B224" s="783" t="s">
        <v>175</v>
      </c>
      <c r="C224" s="784" t="s">
        <v>416</v>
      </c>
      <c r="D224" s="774">
        <v>1777333</v>
      </c>
      <c r="E224" s="775">
        <v>1777333</v>
      </c>
      <c r="F224" s="776">
        <v>1777333</v>
      </c>
      <c r="G224" s="775"/>
      <c r="H224" s="777"/>
      <c r="I224" s="775"/>
      <c r="J224" s="776">
        <f>SUM(F224:I224)</f>
        <v>1777333</v>
      </c>
      <c r="K224" s="776"/>
      <c r="L224" s="779">
        <f>IF(E224="",D224-J224-K224,E224-J224-K224)</f>
        <v>0</v>
      </c>
      <c r="M224" s="779">
        <f>K224+L224</f>
        <v>0</v>
      </c>
      <c r="N224" s="773"/>
      <c r="O224" s="780"/>
      <c r="P224" s="781"/>
      <c r="Q224" s="782"/>
      <c r="R224" s="783" t="s">
        <v>943</v>
      </c>
      <c r="S224" s="751" t="s">
        <v>852</v>
      </c>
    </row>
    <row r="225" spans="1:20" x14ac:dyDescent="0.2">
      <c r="A225" s="1320"/>
      <c r="B225" s="783" t="s">
        <v>257</v>
      </c>
      <c r="C225" s="784" t="s">
        <v>286</v>
      </c>
      <c r="D225" s="791">
        <f>J225</f>
        <v>17548000</v>
      </c>
      <c r="E225" s="786"/>
      <c r="F225" s="778">
        <v>17548000</v>
      </c>
      <c r="G225" s="786"/>
      <c r="H225" s="787"/>
      <c r="I225" s="786"/>
      <c r="J225" s="778">
        <f>SUM(F225:I225)</f>
        <v>17548000</v>
      </c>
      <c r="K225" s="778"/>
      <c r="L225" s="779">
        <f t="shared" ref="L225:L237" si="43">IF(E225="",D225-J225-K225,E225-J225-K225)</f>
        <v>0</v>
      </c>
      <c r="M225" s="779">
        <f t="shared" ref="M225:M237" si="44">K225+L225</f>
        <v>0</v>
      </c>
      <c r="N225" s="784"/>
      <c r="O225" s="788"/>
      <c r="P225" s="789"/>
      <c r="Q225" s="790"/>
      <c r="R225" s="783"/>
      <c r="S225" s="751" t="s">
        <v>1003</v>
      </c>
      <c r="T225" s="751">
        <v>3660000</v>
      </c>
    </row>
    <row r="226" spans="1:20" x14ac:dyDescent="0.2">
      <c r="A226" s="1320"/>
      <c r="B226" s="783" t="s">
        <v>31</v>
      </c>
      <c r="C226" s="784" t="s">
        <v>195</v>
      </c>
      <c r="D226" s="785">
        <v>123474500</v>
      </c>
      <c r="E226" s="786">
        <v>143590000</v>
      </c>
      <c r="F226" s="778">
        <v>30000000</v>
      </c>
      <c r="G226" s="786">
        <v>50000000</v>
      </c>
      <c r="H226" s="787">
        <v>63590000</v>
      </c>
      <c r="I226" s="786"/>
      <c r="J226" s="778">
        <f t="shared" ref="J226:J253" si="45">SUM(F226:I226)</f>
        <v>143590000</v>
      </c>
      <c r="K226" s="778"/>
      <c r="L226" s="779">
        <f t="shared" si="43"/>
        <v>0</v>
      </c>
      <c r="M226" s="779">
        <f t="shared" si="44"/>
        <v>0</v>
      </c>
      <c r="N226" s="784"/>
      <c r="O226" s="788"/>
      <c r="P226" s="789"/>
      <c r="Q226" s="790"/>
      <c r="R226" s="783"/>
      <c r="S226" s="751" t="s">
        <v>1004</v>
      </c>
      <c r="T226" s="751">
        <v>6160000</v>
      </c>
    </row>
    <row r="227" spans="1:20" x14ac:dyDescent="0.2">
      <c r="A227" s="1320"/>
      <c r="B227" s="783" t="s">
        <v>215</v>
      </c>
      <c r="C227" s="784" t="s">
        <v>853</v>
      </c>
      <c r="D227" s="785">
        <v>159541961</v>
      </c>
      <c r="E227" s="786">
        <v>173442227</v>
      </c>
      <c r="F227" s="778">
        <v>79770980</v>
      </c>
      <c r="G227" s="786">
        <v>93671247</v>
      </c>
      <c r="H227" s="787"/>
      <c r="I227" s="786"/>
      <c r="J227" s="778">
        <f t="shared" si="45"/>
        <v>173442227</v>
      </c>
      <c r="K227" s="778"/>
      <c r="L227" s="779">
        <f t="shared" si="43"/>
        <v>0</v>
      </c>
      <c r="M227" s="779">
        <f t="shared" si="44"/>
        <v>0</v>
      </c>
      <c r="N227" s="784"/>
      <c r="O227" s="788"/>
      <c r="P227" s="789"/>
      <c r="Q227" s="790"/>
      <c r="R227" s="783" t="s">
        <v>943</v>
      </c>
      <c r="S227" s="751" t="s">
        <v>1018</v>
      </c>
      <c r="T227" s="751">
        <v>4185000</v>
      </c>
    </row>
    <row r="228" spans="1:20" x14ac:dyDescent="0.2">
      <c r="A228" s="1320"/>
      <c r="B228" s="783" t="s">
        <v>427</v>
      </c>
      <c r="C228" s="784" t="s">
        <v>855</v>
      </c>
      <c r="D228" s="785">
        <v>106370000</v>
      </c>
      <c r="E228" s="786">
        <v>126164500</v>
      </c>
      <c r="F228" s="778">
        <v>31911000</v>
      </c>
      <c r="G228" s="778">
        <v>55844250</v>
      </c>
      <c r="H228" s="787">
        <v>38409250</v>
      </c>
      <c r="I228" s="786"/>
      <c r="J228" s="778">
        <f t="shared" si="45"/>
        <v>126164500</v>
      </c>
      <c r="K228" s="778"/>
      <c r="L228" s="779">
        <f t="shared" si="43"/>
        <v>0</v>
      </c>
      <c r="M228" s="779">
        <f t="shared" si="44"/>
        <v>0</v>
      </c>
      <c r="N228" s="784" t="s">
        <v>856</v>
      </c>
      <c r="O228" s="788">
        <v>43908</v>
      </c>
      <c r="P228" s="789"/>
      <c r="Q228" s="790"/>
      <c r="R228" s="783" t="s">
        <v>943</v>
      </c>
      <c r="S228" s="751" t="s">
        <v>1019</v>
      </c>
      <c r="T228" s="751">
        <v>4060000</v>
      </c>
    </row>
    <row r="229" spans="1:20" x14ac:dyDescent="0.2">
      <c r="A229" s="1320"/>
      <c r="B229" s="783" t="s">
        <v>155</v>
      </c>
      <c r="C229" s="784" t="s">
        <v>156</v>
      </c>
      <c r="D229" s="785"/>
      <c r="E229" s="786">
        <v>51683600</v>
      </c>
      <c r="F229" s="778">
        <v>4080000</v>
      </c>
      <c r="G229" s="786">
        <v>17200000</v>
      </c>
      <c r="H229" s="787">
        <v>30403600</v>
      </c>
      <c r="I229" s="786"/>
      <c r="J229" s="778">
        <f t="shared" si="45"/>
        <v>51683600</v>
      </c>
      <c r="K229" s="778"/>
      <c r="L229" s="779">
        <f t="shared" si="43"/>
        <v>0</v>
      </c>
      <c r="M229" s="779">
        <f t="shared" si="44"/>
        <v>0</v>
      </c>
      <c r="N229" s="784"/>
      <c r="O229" s="788"/>
      <c r="P229" s="789"/>
      <c r="Q229" s="790"/>
      <c r="R229" s="783"/>
      <c r="S229" s="751" t="s">
        <v>1016</v>
      </c>
      <c r="T229" s="751">
        <v>3031500</v>
      </c>
    </row>
    <row r="230" spans="1:20" x14ac:dyDescent="0.2">
      <c r="A230" s="1320"/>
      <c r="B230" s="783" t="s">
        <v>164</v>
      </c>
      <c r="C230" s="784" t="s">
        <v>165</v>
      </c>
      <c r="D230" s="785">
        <v>114900000</v>
      </c>
      <c r="E230" s="786">
        <v>174295000</v>
      </c>
      <c r="F230" s="778">
        <v>45960000</v>
      </c>
      <c r="G230" s="786">
        <v>71904000</v>
      </c>
      <c r="H230" s="787">
        <v>56431000</v>
      </c>
      <c r="I230" s="786"/>
      <c r="J230" s="778">
        <f t="shared" si="45"/>
        <v>174295000</v>
      </c>
      <c r="K230" s="778"/>
      <c r="L230" s="779">
        <f t="shared" si="43"/>
        <v>0</v>
      </c>
      <c r="M230" s="779">
        <f t="shared" si="44"/>
        <v>0</v>
      </c>
      <c r="N230" s="784"/>
      <c r="O230" s="788"/>
      <c r="P230" s="789"/>
      <c r="Q230" s="790"/>
      <c r="R230" s="783" t="s">
        <v>165</v>
      </c>
      <c r="S230" s="751" t="s">
        <v>1020</v>
      </c>
      <c r="T230" s="751">
        <v>2720000</v>
      </c>
    </row>
    <row r="231" spans="1:20" x14ac:dyDescent="0.2">
      <c r="A231" s="1320"/>
      <c r="B231" s="783" t="s">
        <v>167</v>
      </c>
      <c r="C231" s="784" t="s">
        <v>708</v>
      </c>
      <c r="D231" s="785">
        <v>3970000</v>
      </c>
      <c r="E231" s="786"/>
      <c r="F231" s="778">
        <v>3970000</v>
      </c>
      <c r="G231" s="786"/>
      <c r="H231" s="787"/>
      <c r="I231" s="786"/>
      <c r="J231" s="778">
        <f t="shared" si="45"/>
        <v>3970000</v>
      </c>
      <c r="K231" s="778"/>
      <c r="L231" s="779">
        <f t="shared" si="43"/>
        <v>0</v>
      </c>
      <c r="M231" s="779">
        <f t="shared" si="44"/>
        <v>0</v>
      </c>
      <c r="N231" s="784"/>
      <c r="O231" s="788"/>
      <c r="P231" s="789"/>
      <c r="Q231" s="790"/>
      <c r="R231" s="783" t="s">
        <v>708</v>
      </c>
      <c r="S231" s="751" t="s">
        <v>1021</v>
      </c>
      <c r="T231" s="751">
        <v>4158000</v>
      </c>
    </row>
    <row r="232" spans="1:20" x14ac:dyDescent="0.2">
      <c r="A232" s="1320"/>
      <c r="B232" s="783" t="s">
        <v>394</v>
      </c>
      <c r="C232" s="784" t="s">
        <v>162</v>
      </c>
      <c r="D232" s="785">
        <v>144000000</v>
      </c>
      <c r="E232" s="786">
        <v>144000000</v>
      </c>
      <c r="F232" s="778">
        <v>72000000</v>
      </c>
      <c r="G232" s="786">
        <v>72000000</v>
      </c>
      <c r="H232" s="787"/>
      <c r="I232" s="786"/>
      <c r="J232" s="778">
        <f t="shared" si="45"/>
        <v>144000000</v>
      </c>
      <c r="K232" s="778"/>
      <c r="L232" s="779">
        <f t="shared" si="43"/>
        <v>0</v>
      </c>
      <c r="M232" s="779">
        <f t="shared" si="44"/>
        <v>0</v>
      </c>
      <c r="N232" s="784" t="s">
        <v>801</v>
      </c>
      <c r="O232" s="788">
        <v>43876</v>
      </c>
      <c r="P232" s="789"/>
      <c r="Q232" s="790"/>
      <c r="R232" s="783"/>
      <c r="S232" s="751" t="s">
        <v>1005</v>
      </c>
      <c r="T232" s="751">
        <v>4236000</v>
      </c>
    </row>
    <row r="233" spans="1:20" x14ac:dyDescent="0.2">
      <c r="A233" s="1320"/>
      <c r="B233" s="783" t="s">
        <v>346</v>
      </c>
      <c r="C233" s="784" t="s">
        <v>857</v>
      </c>
      <c r="D233" s="785">
        <v>80787830</v>
      </c>
      <c r="E233" s="786"/>
      <c r="F233" s="778">
        <v>40393915</v>
      </c>
      <c r="G233" s="786"/>
      <c r="H233" s="787"/>
      <c r="I233" s="786"/>
      <c r="J233" s="778">
        <f t="shared" si="45"/>
        <v>40393915</v>
      </c>
      <c r="K233" s="778"/>
      <c r="L233" s="779">
        <f t="shared" si="43"/>
        <v>40393915</v>
      </c>
      <c r="M233" s="779">
        <f t="shared" si="44"/>
        <v>40393915</v>
      </c>
      <c r="N233" s="784"/>
      <c r="O233" s="788"/>
      <c r="P233" s="789"/>
      <c r="Q233" s="790"/>
      <c r="R233" s="783"/>
      <c r="S233" s="751" t="s">
        <v>1006</v>
      </c>
      <c r="T233" s="751">
        <v>3692000</v>
      </c>
    </row>
    <row r="234" spans="1:20" x14ac:dyDescent="0.2">
      <c r="A234" s="1320"/>
      <c r="B234" s="783" t="s">
        <v>858</v>
      </c>
      <c r="C234" s="784" t="s">
        <v>859</v>
      </c>
      <c r="D234" s="791">
        <v>135000000</v>
      </c>
      <c r="E234" s="786"/>
      <c r="F234" s="778">
        <v>40500000</v>
      </c>
      <c r="G234" s="786">
        <v>54000000</v>
      </c>
      <c r="H234" s="787"/>
      <c r="I234" s="786"/>
      <c r="J234" s="778">
        <f t="shared" si="45"/>
        <v>94500000</v>
      </c>
      <c r="K234" s="778"/>
      <c r="L234" s="779">
        <f t="shared" si="43"/>
        <v>40500000</v>
      </c>
      <c r="M234" s="779">
        <f t="shared" si="44"/>
        <v>40500000</v>
      </c>
      <c r="N234" s="784" t="s">
        <v>860</v>
      </c>
      <c r="O234" s="788">
        <v>43909</v>
      </c>
      <c r="P234" s="789"/>
      <c r="Q234" s="790"/>
      <c r="R234" s="783"/>
      <c r="S234" s="751" t="s">
        <v>1008</v>
      </c>
      <c r="T234" s="751">
        <v>940000</v>
      </c>
    </row>
    <row r="235" spans="1:20" x14ac:dyDescent="0.2">
      <c r="A235" s="1320"/>
      <c r="B235" s="783" t="s">
        <v>257</v>
      </c>
      <c r="C235" s="784" t="s">
        <v>286</v>
      </c>
      <c r="D235" s="791"/>
      <c r="E235" s="786">
        <v>29114267</v>
      </c>
      <c r="F235" s="778">
        <v>29114267</v>
      </c>
      <c r="G235" s="786"/>
      <c r="H235" s="787"/>
      <c r="I235" s="786"/>
      <c r="J235" s="778">
        <f t="shared" si="45"/>
        <v>29114267</v>
      </c>
      <c r="K235" s="778"/>
      <c r="L235" s="779">
        <f t="shared" si="43"/>
        <v>0</v>
      </c>
      <c r="M235" s="779">
        <f t="shared" si="44"/>
        <v>0</v>
      </c>
      <c r="N235" s="784"/>
      <c r="O235" s="788"/>
      <c r="P235" s="789"/>
      <c r="Q235" s="790"/>
      <c r="R235" s="783"/>
      <c r="S235" s="751" t="s">
        <v>960</v>
      </c>
      <c r="T235" s="751">
        <v>1290000</v>
      </c>
    </row>
    <row r="236" spans="1:20" x14ac:dyDescent="0.2">
      <c r="A236" s="1320"/>
      <c r="B236" s="783" t="s">
        <v>861</v>
      </c>
      <c r="C236" s="784" t="s">
        <v>526</v>
      </c>
      <c r="D236" s="791">
        <f>J236</f>
        <v>50000</v>
      </c>
      <c r="E236" s="786"/>
      <c r="F236" s="778">
        <v>50000</v>
      </c>
      <c r="G236" s="786"/>
      <c r="H236" s="787"/>
      <c r="I236" s="786"/>
      <c r="J236" s="778">
        <f t="shared" si="45"/>
        <v>50000</v>
      </c>
      <c r="K236" s="778"/>
      <c r="L236" s="779">
        <f t="shared" si="43"/>
        <v>0</v>
      </c>
      <c r="M236" s="779">
        <f t="shared" si="44"/>
        <v>0</v>
      </c>
      <c r="N236" s="784"/>
      <c r="O236" s="788"/>
      <c r="P236" s="789"/>
      <c r="Q236" s="790"/>
      <c r="R236" s="783"/>
      <c r="S236" s="751" t="s">
        <v>953</v>
      </c>
      <c r="T236" s="751">
        <v>500000</v>
      </c>
    </row>
    <row r="237" spans="1:20" x14ac:dyDescent="0.2">
      <c r="A237" s="1320"/>
      <c r="B237" s="783" t="s">
        <v>828</v>
      </c>
      <c r="C237" s="784" t="s">
        <v>863</v>
      </c>
      <c r="D237" s="791">
        <f>J237</f>
        <v>180000</v>
      </c>
      <c r="E237" s="786"/>
      <c r="F237" s="778">
        <v>180000</v>
      </c>
      <c r="G237" s="786"/>
      <c r="H237" s="787"/>
      <c r="I237" s="786"/>
      <c r="J237" s="778">
        <f t="shared" si="45"/>
        <v>180000</v>
      </c>
      <c r="K237" s="778"/>
      <c r="L237" s="779">
        <f t="shared" si="43"/>
        <v>0</v>
      </c>
      <c r="M237" s="779">
        <f t="shared" si="44"/>
        <v>0</v>
      </c>
      <c r="N237" s="784"/>
      <c r="O237" s="788"/>
      <c r="P237" s="789"/>
      <c r="Q237" s="790"/>
      <c r="R237" s="783"/>
      <c r="S237" s="751" t="s">
        <v>954</v>
      </c>
      <c r="T237" s="751">
        <v>300000</v>
      </c>
    </row>
    <row r="238" spans="1:20" x14ac:dyDescent="0.2">
      <c r="A238" s="1320"/>
      <c r="B238" s="783" t="s">
        <v>292</v>
      </c>
      <c r="C238" s="784" t="s">
        <v>864</v>
      </c>
      <c r="D238" s="791">
        <v>47600000</v>
      </c>
      <c r="E238" s="786">
        <v>47600000</v>
      </c>
      <c r="F238" s="778">
        <v>33320000</v>
      </c>
      <c r="G238" s="786">
        <v>14280000</v>
      </c>
      <c r="H238" s="787"/>
      <c r="I238" s="786"/>
      <c r="J238" s="778">
        <f t="shared" si="45"/>
        <v>47600000</v>
      </c>
      <c r="K238" s="778"/>
      <c r="L238" s="779">
        <f t="shared" ref="L238:L255" si="46">IF(E238="",D238-J238-K238,E238-J238-K238)</f>
        <v>0</v>
      </c>
      <c r="M238" s="779">
        <f t="shared" ref="M238:M255" si="47">K238+L238</f>
        <v>0</v>
      </c>
      <c r="N238" s="784"/>
      <c r="O238" s="788"/>
      <c r="P238" s="789"/>
      <c r="Q238" s="790"/>
      <c r="R238" s="783"/>
    </row>
    <row r="239" spans="1:20" x14ac:dyDescent="0.2">
      <c r="A239" s="1320"/>
      <c r="B239" s="783" t="s">
        <v>92</v>
      </c>
      <c r="C239" s="784" t="s">
        <v>865</v>
      </c>
      <c r="D239" s="785">
        <v>13335300</v>
      </c>
      <c r="E239" s="786"/>
      <c r="F239" s="778">
        <v>6667650</v>
      </c>
      <c r="G239" s="786"/>
      <c r="H239" s="787"/>
      <c r="I239" s="786"/>
      <c r="J239" s="778">
        <f t="shared" si="45"/>
        <v>6667650</v>
      </c>
      <c r="K239" s="778"/>
      <c r="L239" s="779">
        <f t="shared" si="46"/>
        <v>6667650</v>
      </c>
      <c r="M239" s="779">
        <f t="shared" si="47"/>
        <v>6667650</v>
      </c>
      <c r="N239" s="784"/>
      <c r="O239" s="788"/>
      <c r="P239" s="789"/>
      <c r="Q239" s="790"/>
      <c r="R239" s="783" t="s">
        <v>865</v>
      </c>
    </row>
    <row r="240" spans="1:20" x14ac:dyDescent="0.2">
      <c r="A240" s="1320"/>
      <c r="B240" s="783" t="s">
        <v>866</v>
      </c>
      <c r="C240" s="784" t="s">
        <v>171</v>
      </c>
      <c r="D240" s="785">
        <v>2820000</v>
      </c>
      <c r="E240" s="786"/>
      <c r="F240" s="778">
        <v>2820000</v>
      </c>
      <c r="G240" s="786"/>
      <c r="H240" s="787"/>
      <c r="I240" s="786"/>
      <c r="J240" s="778">
        <f t="shared" si="45"/>
        <v>2820000</v>
      </c>
      <c r="K240" s="778"/>
      <c r="L240" s="779">
        <f t="shared" si="46"/>
        <v>0</v>
      </c>
      <c r="M240" s="779">
        <f t="shared" si="47"/>
        <v>0</v>
      </c>
      <c r="N240" s="784"/>
      <c r="O240" s="788"/>
      <c r="P240" s="789"/>
      <c r="Q240" s="790"/>
      <c r="R240" s="783" t="s">
        <v>171</v>
      </c>
    </row>
    <row r="241" spans="1:22" x14ac:dyDescent="0.2">
      <c r="A241" s="1320"/>
      <c r="B241" s="783" t="s">
        <v>167</v>
      </c>
      <c r="C241" s="784" t="s">
        <v>708</v>
      </c>
      <c r="D241" s="791">
        <v>1100000</v>
      </c>
      <c r="E241" s="786"/>
      <c r="F241" s="778">
        <v>1100000</v>
      </c>
      <c r="G241" s="786"/>
      <c r="H241" s="787"/>
      <c r="I241" s="786"/>
      <c r="J241" s="778">
        <f t="shared" si="45"/>
        <v>1100000</v>
      </c>
      <c r="K241" s="778"/>
      <c r="L241" s="779">
        <f t="shared" si="46"/>
        <v>0</v>
      </c>
      <c r="M241" s="779">
        <f t="shared" si="47"/>
        <v>0</v>
      </c>
      <c r="N241" s="784"/>
      <c r="O241" s="788"/>
      <c r="P241" s="789"/>
      <c r="Q241" s="790"/>
      <c r="R241" s="783"/>
    </row>
    <row r="242" spans="1:22" x14ac:dyDescent="0.2">
      <c r="A242" s="1320"/>
      <c r="B242" s="783" t="s">
        <v>867</v>
      </c>
      <c r="C242" s="784" t="s">
        <v>868</v>
      </c>
      <c r="D242" s="791">
        <v>16269000</v>
      </c>
      <c r="E242" s="786"/>
      <c r="F242" s="778">
        <v>16269000</v>
      </c>
      <c r="G242" s="786"/>
      <c r="H242" s="787"/>
      <c r="I242" s="786"/>
      <c r="J242" s="778">
        <f t="shared" si="45"/>
        <v>16269000</v>
      </c>
      <c r="K242" s="778"/>
      <c r="L242" s="779">
        <f t="shared" si="46"/>
        <v>0</v>
      </c>
      <c r="M242" s="779">
        <f t="shared" si="47"/>
        <v>0</v>
      </c>
      <c r="N242" s="784"/>
      <c r="O242" s="788"/>
      <c r="P242" s="789"/>
      <c r="Q242" s="790"/>
      <c r="R242" s="783"/>
    </row>
    <row r="243" spans="1:22" x14ac:dyDescent="0.2">
      <c r="A243" s="1320"/>
      <c r="B243" s="783" t="s">
        <v>170</v>
      </c>
      <c r="C243" s="784" t="s">
        <v>171</v>
      </c>
      <c r="D243" s="785"/>
      <c r="E243" s="786">
        <v>236605181</v>
      </c>
      <c r="F243" s="778">
        <v>236605181</v>
      </c>
      <c r="G243" s="786"/>
      <c r="H243" s="787"/>
      <c r="I243" s="786"/>
      <c r="J243" s="778">
        <f t="shared" si="45"/>
        <v>236605181</v>
      </c>
      <c r="K243" s="778"/>
      <c r="L243" s="779">
        <f t="shared" si="46"/>
        <v>0</v>
      </c>
      <c r="M243" s="779">
        <f t="shared" si="47"/>
        <v>0</v>
      </c>
      <c r="N243" s="784"/>
      <c r="O243" s="788"/>
      <c r="P243" s="789"/>
      <c r="Q243" s="790"/>
      <c r="R243" s="783" t="s">
        <v>171</v>
      </c>
    </row>
    <row r="244" spans="1:22" ht="15" customHeight="1" x14ac:dyDescent="0.2">
      <c r="A244" s="1320"/>
      <c r="B244" s="783" t="s">
        <v>118</v>
      </c>
      <c r="C244" s="784" t="s">
        <v>301</v>
      </c>
      <c r="D244" s="791">
        <v>132100000</v>
      </c>
      <c r="E244" s="786">
        <v>125489700</v>
      </c>
      <c r="F244" s="778">
        <v>40000000</v>
      </c>
      <c r="G244" s="786">
        <v>85489700</v>
      </c>
      <c r="H244" s="787"/>
      <c r="I244" s="786"/>
      <c r="J244" s="778">
        <f t="shared" si="45"/>
        <v>125489700</v>
      </c>
      <c r="K244" s="778"/>
      <c r="L244" s="779">
        <f t="shared" si="46"/>
        <v>0</v>
      </c>
      <c r="M244" s="779">
        <f t="shared" si="47"/>
        <v>0</v>
      </c>
      <c r="N244" s="784"/>
      <c r="O244" s="788"/>
      <c r="P244" s="789"/>
      <c r="Q244" s="790"/>
      <c r="R244" s="783"/>
    </row>
    <row r="245" spans="1:22" ht="15" customHeight="1" x14ac:dyDescent="0.2">
      <c r="A245" s="1320" t="s">
        <v>1037</v>
      </c>
      <c r="B245" s="783" t="s">
        <v>869</v>
      </c>
      <c r="C245" s="784" t="s">
        <v>693</v>
      </c>
      <c r="D245" s="791">
        <f>J245</f>
        <v>1800000</v>
      </c>
      <c r="E245" s="786"/>
      <c r="F245" s="778">
        <v>1800000</v>
      </c>
      <c r="G245" s="786"/>
      <c r="H245" s="787"/>
      <c r="I245" s="786"/>
      <c r="J245" s="778">
        <f t="shared" si="45"/>
        <v>1800000</v>
      </c>
      <c r="K245" s="778"/>
      <c r="L245" s="779">
        <f t="shared" si="46"/>
        <v>0</v>
      </c>
      <c r="M245" s="779">
        <f t="shared" si="47"/>
        <v>0</v>
      </c>
      <c r="N245" s="784"/>
      <c r="O245" s="788"/>
      <c r="P245" s="789"/>
      <c r="Q245" s="790"/>
      <c r="R245" s="783"/>
    </row>
    <row r="246" spans="1:22" x14ac:dyDescent="0.2">
      <c r="A246" s="1320"/>
      <c r="B246" s="783" t="s">
        <v>172</v>
      </c>
      <c r="C246" s="784" t="s">
        <v>173</v>
      </c>
      <c r="D246" s="791">
        <v>6480000</v>
      </c>
      <c r="E246" s="786"/>
      <c r="F246" s="778">
        <v>6480000</v>
      </c>
      <c r="G246" s="786"/>
      <c r="H246" s="787"/>
      <c r="I246" s="786"/>
      <c r="J246" s="778">
        <f t="shared" si="45"/>
        <v>6480000</v>
      </c>
      <c r="K246" s="778"/>
      <c r="L246" s="779">
        <f t="shared" si="46"/>
        <v>0</v>
      </c>
      <c r="M246" s="779">
        <f t="shared" si="47"/>
        <v>0</v>
      </c>
      <c r="N246" s="784"/>
      <c r="O246" s="788"/>
      <c r="P246" s="789"/>
      <c r="Q246" s="790"/>
      <c r="R246" s="783"/>
    </row>
    <row r="247" spans="1:22" ht="15" customHeight="1" x14ac:dyDescent="0.2">
      <c r="A247" s="1320"/>
      <c r="B247" s="783" t="s">
        <v>257</v>
      </c>
      <c r="C247" s="784" t="s">
        <v>870</v>
      </c>
      <c r="D247" s="791">
        <f>J247</f>
        <v>6222000</v>
      </c>
      <c r="E247" s="786"/>
      <c r="F247" s="778">
        <v>6222000</v>
      </c>
      <c r="G247" s="786"/>
      <c r="H247" s="787"/>
      <c r="I247" s="786"/>
      <c r="J247" s="778">
        <f t="shared" si="45"/>
        <v>6222000</v>
      </c>
      <c r="K247" s="778"/>
      <c r="L247" s="779">
        <f t="shared" si="46"/>
        <v>0</v>
      </c>
      <c r="M247" s="779">
        <f t="shared" si="47"/>
        <v>0</v>
      </c>
      <c r="N247" s="784"/>
      <c r="O247" s="788"/>
      <c r="P247" s="789"/>
      <c r="Q247" s="790"/>
      <c r="R247" s="783"/>
    </row>
    <row r="248" spans="1:22" x14ac:dyDescent="0.2">
      <c r="A248" s="1320"/>
      <c r="B248" s="783" t="s">
        <v>257</v>
      </c>
      <c r="C248" s="784" t="s">
        <v>871</v>
      </c>
      <c r="D248" s="791">
        <f>J248</f>
        <v>18147750</v>
      </c>
      <c r="E248" s="786"/>
      <c r="F248" s="778">
        <v>18147750</v>
      </c>
      <c r="G248" s="786"/>
      <c r="H248" s="787"/>
      <c r="I248" s="786"/>
      <c r="J248" s="778">
        <f t="shared" si="45"/>
        <v>18147750</v>
      </c>
      <c r="K248" s="778"/>
      <c r="L248" s="779">
        <f t="shared" si="46"/>
        <v>0</v>
      </c>
      <c r="M248" s="779">
        <f t="shared" si="47"/>
        <v>0</v>
      </c>
      <c r="N248" s="784"/>
      <c r="O248" s="788"/>
      <c r="P248" s="789"/>
      <c r="Q248" s="790"/>
      <c r="R248" s="783"/>
    </row>
    <row r="249" spans="1:22" x14ac:dyDescent="0.2">
      <c r="A249" s="1320"/>
      <c r="B249" s="783" t="s">
        <v>872</v>
      </c>
      <c r="C249" s="784" t="s">
        <v>171</v>
      </c>
      <c r="D249" s="785">
        <v>1850000</v>
      </c>
      <c r="E249" s="786"/>
      <c r="F249" s="778">
        <v>1850000</v>
      </c>
      <c r="G249" s="786"/>
      <c r="H249" s="787"/>
      <c r="I249" s="786"/>
      <c r="J249" s="778">
        <f t="shared" si="45"/>
        <v>1850000</v>
      </c>
      <c r="K249" s="778"/>
      <c r="L249" s="779">
        <f t="shared" si="46"/>
        <v>0</v>
      </c>
      <c r="M249" s="779">
        <f t="shared" si="47"/>
        <v>0</v>
      </c>
      <c r="N249" s="784"/>
      <c r="O249" s="788"/>
      <c r="P249" s="789"/>
      <c r="Q249" s="790"/>
      <c r="R249" s="783" t="s">
        <v>171</v>
      </c>
    </row>
    <row r="250" spans="1:22" x14ac:dyDescent="0.2">
      <c r="A250" s="1320"/>
      <c r="B250" s="783" t="s">
        <v>873</v>
      </c>
      <c r="C250" s="784" t="s">
        <v>874</v>
      </c>
      <c r="D250" s="785">
        <v>1500000</v>
      </c>
      <c r="E250" s="786"/>
      <c r="F250" s="778">
        <v>1500000</v>
      </c>
      <c r="G250" s="786"/>
      <c r="H250" s="787"/>
      <c r="I250" s="786"/>
      <c r="J250" s="778">
        <f t="shared" si="45"/>
        <v>1500000</v>
      </c>
      <c r="K250" s="778"/>
      <c r="L250" s="779">
        <f t="shared" si="46"/>
        <v>0</v>
      </c>
      <c r="M250" s="779">
        <f t="shared" si="47"/>
        <v>0</v>
      </c>
      <c r="N250" s="784"/>
      <c r="O250" s="788"/>
      <c r="P250" s="789"/>
      <c r="Q250" s="790"/>
      <c r="R250" s="783" t="s">
        <v>874</v>
      </c>
    </row>
    <row r="251" spans="1:22" x14ac:dyDescent="0.2">
      <c r="A251" s="1320"/>
      <c r="B251" s="783" t="s">
        <v>740</v>
      </c>
      <c r="C251" s="784" t="s">
        <v>397</v>
      </c>
      <c r="D251" s="791">
        <v>544500</v>
      </c>
      <c r="E251" s="786"/>
      <c r="F251" s="778">
        <v>544500</v>
      </c>
      <c r="G251" s="786"/>
      <c r="H251" s="787"/>
      <c r="I251" s="786"/>
      <c r="J251" s="778">
        <f t="shared" si="45"/>
        <v>544500</v>
      </c>
      <c r="K251" s="778"/>
      <c r="L251" s="779">
        <f t="shared" si="46"/>
        <v>0</v>
      </c>
      <c r="M251" s="779">
        <f t="shared" si="47"/>
        <v>0</v>
      </c>
      <c r="N251" s="784"/>
      <c r="O251" s="788"/>
      <c r="P251" s="789"/>
      <c r="Q251" s="790"/>
      <c r="R251" s="783"/>
    </row>
    <row r="252" spans="1:22" x14ac:dyDescent="0.2">
      <c r="A252" s="1320"/>
      <c r="B252" s="783" t="s">
        <v>247</v>
      </c>
      <c r="C252" s="784" t="s">
        <v>875</v>
      </c>
      <c r="D252" s="785">
        <v>11990000</v>
      </c>
      <c r="E252" s="786"/>
      <c r="F252" s="778">
        <v>11990000</v>
      </c>
      <c r="G252" s="786"/>
      <c r="H252" s="787"/>
      <c r="I252" s="786"/>
      <c r="J252" s="778">
        <f t="shared" si="45"/>
        <v>11990000</v>
      </c>
      <c r="K252" s="778"/>
      <c r="L252" s="779">
        <f t="shared" si="46"/>
        <v>0</v>
      </c>
      <c r="M252" s="779">
        <f t="shared" si="47"/>
        <v>0</v>
      </c>
      <c r="N252" s="784"/>
      <c r="O252" s="788"/>
      <c r="P252" s="789"/>
      <c r="Q252" s="790"/>
      <c r="R252" s="783" t="s">
        <v>943</v>
      </c>
    </row>
    <row r="253" spans="1:22" x14ac:dyDescent="0.2">
      <c r="A253" s="1320"/>
      <c r="B253" s="783" t="s">
        <v>607</v>
      </c>
      <c r="C253" s="784" t="s">
        <v>877</v>
      </c>
      <c r="D253" s="791">
        <f>J253</f>
        <v>5383000</v>
      </c>
      <c r="E253" s="786"/>
      <c r="F253" s="778">
        <v>5383000</v>
      </c>
      <c r="G253" s="786"/>
      <c r="H253" s="787"/>
      <c r="I253" s="786"/>
      <c r="J253" s="778">
        <f t="shared" si="45"/>
        <v>5383000</v>
      </c>
      <c r="K253" s="778"/>
      <c r="L253" s="779">
        <f t="shared" si="46"/>
        <v>0</v>
      </c>
      <c r="M253" s="779">
        <f t="shared" si="47"/>
        <v>0</v>
      </c>
      <c r="N253" s="784"/>
      <c r="O253" s="788"/>
      <c r="P253" s="789"/>
      <c r="Q253" s="790"/>
      <c r="R253" s="783"/>
    </row>
    <row r="254" spans="1:22" x14ac:dyDescent="0.2">
      <c r="A254" s="1320"/>
      <c r="B254" s="783" t="s">
        <v>1038</v>
      </c>
      <c r="C254" s="784" t="s">
        <v>1039</v>
      </c>
      <c r="D254" s="791">
        <v>27750000</v>
      </c>
      <c r="E254" s="786"/>
      <c r="F254" s="778">
        <v>27750000</v>
      </c>
      <c r="G254" s="786"/>
      <c r="H254" s="787"/>
      <c r="I254" s="786"/>
      <c r="J254" s="778"/>
      <c r="K254" s="778"/>
      <c r="L254" s="779"/>
      <c r="M254" s="779"/>
      <c r="N254" s="784"/>
      <c r="O254" s="788"/>
      <c r="P254" s="789"/>
      <c r="Q254" s="790"/>
      <c r="R254" s="783"/>
    </row>
    <row r="255" spans="1:22" x14ac:dyDescent="0.2">
      <c r="A255" s="1320"/>
      <c r="B255" s="783" t="s">
        <v>947</v>
      </c>
      <c r="C255" s="784"/>
      <c r="D255" s="785"/>
      <c r="E255" s="786"/>
      <c r="F255" s="778">
        <f>T255</f>
        <v>38932500</v>
      </c>
      <c r="G255" s="786"/>
      <c r="H255" s="787"/>
      <c r="I255" s="786"/>
      <c r="J255" s="778">
        <f>SUM(F255:I255)</f>
        <v>38932500</v>
      </c>
      <c r="K255" s="778"/>
      <c r="L255" s="779">
        <f t="shared" si="46"/>
        <v>-38932500</v>
      </c>
      <c r="M255" s="779">
        <f t="shared" si="47"/>
        <v>-38932500</v>
      </c>
      <c r="N255" s="784"/>
      <c r="O255" s="788"/>
      <c r="P255" s="789"/>
      <c r="Q255" s="790"/>
      <c r="R255" s="783"/>
      <c r="S255" s="751" t="s">
        <v>948</v>
      </c>
      <c r="T255" s="751">
        <f>SUM(T224:T253)</f>
        <v>38932500</v>
      </c>
    </row>
    <row r="256" spans="1:22" s="807" customFormat="1" x14ac:dyDescent="0.2">
      <c r="A256" s="811" t="s">
        <v>949</v>
      </c>
      <c r="B256" s="795" t="s">
        <v>850</v>
      </c>
      <c r="C256" s="796"/>
      <c r="D256" s="797"/>
      <c r="E256" s="798"/>
      <c r="F256" s="799"/>
      <c r="G256" s="798"/>
      <c r="H256" s="800"/>
      <c r="I256" s="798"/>
      <c r="J256" s="812">
        <f>SUM(J224:J255)</f>
        <v>1530110123</v>
      </c>
      <c r="K256" s="812">
        <f>SUM(K224:K255)</f>
        <v>0</v>
      </c>
      <c r="L256" s="812">
        <f>SUM(L224:L255)</f>
        <v>48629065</v>
      </c>
      <c r="M256" s="812">
        <f>SUM(M224:M255)</f>
        <v>48629065</v>
      </c>
      <c r="N256" s="796"/>
      <c r="O256" s="802"/>
      <c r="P256" s="803"/>
      <c r="Q256" s="804"/>
      <c r="R256" s="805"/>
      <c r="S256" s="806"/>
      <c r="T256" s="806"/>
      <c r="U256" s="806"/>
      <c r="V256" s="806"/>
    </row>
    <row r="257" spans="1:22" ht="22.5" x14ac:dyDescent="0.2">
      <c r="A257" s="1318" t="s">
        <v>1043</v>
      </c>
      <c r="B257" s="783" t="s">
        <v>607</v>
      </c>
      <c r="C257" s="861" t="s">
        <v>879</v>
      </c>
      <c r="D257" s="791">
        <f>J257</f>
        <v>2000000</v>
      </c>
      <c r="E257" s="775"/>
      <c r="F257" s="776">
        <v>2000000</v>
      </c>
      <c r="G257" s="775"/>
      <c r="H257" s="777"/>
      <c r="I257" s="775"/>
      <c r="J257" s="776">
        <f>SUM(F257:I257)</f>
        <v>2000000</v>
      </c>
      <c r="K257" s="776"/>
      <c r="L257" s="779">
        <f>IF(E257="",D257-J257-K257,E257-J257-K257)</f>
        <v>0</v>
      </c>
      <c r="M257" s="779">
        <f>K257+L257</f>
        <v>0</v>
      </c>
      <c r="N257" s="773"/>
      <c r="O257" s="780"/>
      <c r="P257" s="781"/>
      <c r="Q257" s="782"/>
      <c r="R257" s="772"/>
    </row>
    <row r="258" spans="1:22" x14ac:dyDescent="0.2">
      <c r="A258" s="1319"/>
      <c r="B258" s="783" t="s">
        <v>536</v>
      </c>
      <c r="C258" s="784" t="s">
        <v>700</v>
      </c>
      <c r="D258" s="785">
        <v>8572000</v>
      </c>
      <c r="E258" s="786"/>
      <c r="F258" s="778">
        <v>8572000</v>
      </c>
      <c r="G258" s="786"/>
      <c r="H258" s="787"/>
      <c r="I258" s="786"/>
      <c r="J258" s="778">
        <f t="shared" ref="J258:J263" si="48">SUM(F258:I258)</f>
        <v>8572000</v>
      </c>
      <c r="K258" s="778"/>
      <c r="L258" s="779">
        <f>IF(E258="",D258-J258-K258,E258-J258-K258)</f>
        <v>0</v>
      </c>
      <c r="M258" s="779">
        <f>K258+L258</f>
        <v>0</v>
      </c>
      <c r="N258" s="784"/>
      <c r="O258" s="788"/>
      <c r="P258" s="789"/>
      <c r="Q258" s="790"/>
      <c r="R258" s="783" t="s">
        <v>943</v>
      </c>
    </row>
    <row r="259" spans="1:22" ht="22.5" x14ac:dyDescent="0.2">
      <c r="A259" s="1319"/>
      <c r="B259" s="783" t="s">
        <v>882</v>
      </c>
      <c r="C259" s="860" t="s">
        <v>879</v>
      </c>
      <c r="D259" s="791">
        <f>J259</f>
        <v>2000000</v>
      </c>
      <c r="E259" s="786"/>
      <c r="F259" s="778">
        <v>2000000</v>
      </c>
      <c r="G259" s="786"/>
      <c r="H259" s="787"/>
      <c r="I259" s="786"/>
      <c r="J259" s="778">
        <f t="shared" si="48"/>
        <v>2000000</v>
      </c>
      <c r="K259" s="778"/>
      <c r="L259" s="779">
        <f t="shared" ref="L259:L270" si="49">IF(E259="",D259-J259-K259,E259-J259-K259)</f>
        <v>0</v>
      </c>
      <c r="M259" s="779">
        <f t="shared" ref="M259:M270" si="50">K259+L259</f>
        <v>0</v>
      </c>
      <c r="N259" s="784"/>
      <c r="O259" s="788"/>
      <c r="P259" s="789"/>
      <c r="Q259" s="790"/>
      <c r="R259" s="783"/>
    </row>
    <row r="260" spans="1:22" x14ac:dyDescent="0.2">
      <c r="A260" s="1319"/>
      <c r="B260" s="783" t="s">
        <v>175</v>
      </c>
      <c r="C260" s="784" t="s">
        <v>416</v>
      </c>
      <c r="D260" s="785">
        <v>1100000</v>
      </c>
      <c r="E260" s="786">
        <v>1100000</v>
      </c>
      <c r="F260" s="778">
        <v>1100000</v>
      </c>
      <c r="G260" s="786"/>
      <c r="H260" s="787"/>
      <c r="I260" s="786"/>
      <c r="J260" s="778">
        <f t="shared" si="48"/>
        <v>1100000</v>
      </c>
      <c r="K260" s="778"/>
      <c r="L260" s="779">
        <f t="shared" si="49"/>
        <v>0</v>
      </c>
      <c r="M260" s="779">
        <f t="shared" si="50"/>
        <v>0</v>
      </c>
      <c r="N260" s="784"/>
      <c r="O260" s="788"/>
      <c r="P260" s="789"/>
      <c r="Q260" s="790"/>
      <c r="R260" s="783" t="s">
        <v>943</v>
      </c>
    </row>
    <row r="261" spans="1:22" x14ac:dyDescent="0.2">
      <c r="A261" s="1319"/>
      <c r="B261" s="783" t="s">
        <v>883</v>
      </c>
      <c r="C261" s="784" t="s">
        <v>704</v>
      </c>
      <c r="D261" s="791">
        <v>2000000</v>
      </c>
      <c r="E261" s="786"/>
      <c r="F261" s="778">
        <v>2000000</v>
      </c>
      <c r="G261" s="786"/>
      <c r="H261" s="787"/>
      <c r="I261" s="786"/>
      <c r="J261" s="778">
        <f t="shared" si="48"/>
        <v>2000000</v>
      </c>
      <c r="K261" s="778"/>
      <c r="L261" s="779">
        <f t="shared" si="49"/>
        <v>0</v>
      </c>
      <c r="M261" s="779">
        <f t="shared" si="50"/>
        <v>0</v>
      </c>
      <c r="N261" s="784"/>
      <c r="O261" s="788"/>
      <c r="P261" s="789"/>
      <c r="Q261" s="790"/>
      <c r="R261" s="783"/>
    </row>
    <row r="262" spans="1:22" x14ac:dyDescent="0.2">
      <c r="A262" s="1319"/>
      <c r="B262" s="783" t="s">
        <v>884</v>
      </c>
      <c r="C262" s="784" t="s">
        <v>521</v>
      </c>
      <c r="D262" s="791">
        <v>1620000</v>
      </c>
      <c r="E262" s="786"/>
      <c r="F262" s="778">
        <v>1620000</v>
      </c>
      <c r="G262" s="786"/>
      <c r="H262" s="787"/>
      <c r="I262" s="786"/>
      <c r="J262" s="778">
        <f t="shared" si="48"/>
        <v>1620000</v>
      </c>
      <c r="K262" s="778"/>
      <c r="L262" s="779">
        <f t="shared" si="49"/>
        <v>0</v>
      </c>
      <c r="M262" s="779">
        <f t="shared" si="50"/>
        <v>0</v>
      </c>
      <c r="N262" s="784"/>
      <c r="O262" s="788"/>
      <c r="P262" s="789"/>
      <c r="Q262" s="790"/>
      <c r="R262" s="783"/>
    </row>
    <row r="263" spans="1:22" x14ac:dyDescent="0.2">
      <c r="A263" s="1319"/>
      <c r="B263" s="783" t="s">
        <v>257</v>
      </c>
      <c r="C263" s="784" t="s">
        <v>286</v>
      </c>
      <c r="D263" s="791">
        <f>J263</f>
        <v>2440000</v>
      </c>
      <c r="E263" s="786"/>
      <c r="F263" s="778">
        <v>2440000</v>
      </c>
      <c r="G263" s="786"/>
      <c r="H263" s="787"/>
      <c r="I263" s="786"/>
      <c r="J263" s="778">
        <f t="shared" si="48"/>
        <v>2440000</v>
      </c>
      <c r="K263" s="778"/>
      <c r="L263" s="779">
        <f t="shared" si="49"/>
        <v>0</v>
      </c>
      <c r="M263" s="779">
        <f t="shared" si="50"/>
        <v>0</v>
      </c>
      <c r="N263" s="784"/>
      <c r="O263" s="788"/>
      <c r="P263" s="789"/>
      <c r="Q263" s="790"/>
      <c r="R263" s="783"/>
    </row>
    <row r="264" spans="1:22" x14ac:dyDescent="0.2">
      <c r="A264" s="1319"/>
      <c r="B264" s="783" t="s">
        <v>886</v>
      </c>
      <c r="C264" s="784" t="s">
        <v>887</v>
      </c>
      <c r="D264" s="791">
        <v>8780000</v>
      </c>
      <c r="E264" s="786"/>
      <c r="F264" s="778">
        <v>8780000</v>
      </c>
      <c r="G264" s="786"/>
      <c r="H264" s="787"/>
      <c r="I264" s="786"/>
      <c r="J264" s="778">
        <f t="shared" ref="J264:J270" si="51">SUM(F264:I264)</f>
        <v>8780000</v>
      </c>
      <c r="K264" s="778"/>
      <c r="L264" s="779">
        <f t="shared" si="49"/>
        <v>0</v>
      </c>
      <c r="M264" s="779">
        <f t="shared" si="50"/>
        <v>0</v>
      </c>
      <c r="N264" s="784"/>
      <c r="O264" s="788"/>
      <c r="P264" s="789"/>
      <c r="Q264" s="790"/>
      <c r="R264" s="783"/>
    </row>
    <row r="265" spans="1:22" x14ac:dyDescent="0.2">
      <c r="A265" s="1319"/>
      <c r="B265" s="783" t="s">
        <v>536</v>
      </c>
      <c r="C265" s="784" t="s">
        <v>700</v>
      </c>
      <c r="D265" s="785">
        <v>2140000</v>
      </c>
      <c r="E265" s="786"/>
      <c r="F265" s="778">
        <v>2140000</v>
      </c>
      <c r="G265" s="786"/>
      <c r="H265" s="787"/>
      <c r="I265" s="786"/>
      <c r="J265" s="778">
        <f t="shared" si="51"/>
        <v>2140000</v>
      </c>
      <c r="K265" s="778"/>
      <c r="L265" s="779">
        <f t="shared" si="49"/>
        <v>0</v>
      </c>
      <c r="M265" s="779">
        <f t="shared" si="50"/>
        <v>0</v>
      </c>
      <c r="N265" s="784"/>
      <c r="O265" s="788"/>
      <c r="P265" s="789"/>
      <c r="Q265" s="790"/>
      <c r="R265" s="783" t="s">
        <v>943</v>
      </c>
    </row>
    <row r="266" spans="1:22" x14ac:dyDescent="0.2">
      <c r="A266" s="1319"/>
      <c r="B266" s="783" t="s">
        <v>215</v>
      </c>
      <c r="C266" s="784" t="s">
        <v>403</v>
      </c>
      <c r="D266" s="791">
        <v>3800000</v>
      </c>
      <c r="E266" s="786"/>
      <c r="F266" s="778">
        <v>3800000</v>
      </c>
      <c r="G266" s="786"/>
      <c r="H266" s="787"/>
      <c r="I266" s="786"/>
      <c r="J266" s="778">
        <f t="shared" si="51"/>
        <v>3800000</v>
      </c>
      <c r="K266" s="778"/>
      <c r="L266" s="779">
        <f t="shared" si="49"/>
        <v>0</v>
      </c>
      <c r="M266" s="779">
        <f t="shared" si="50"/>
        <v>0</v>
      </c>
      <c r="N266" s="784"/>
      <c r="O266" s="788"/>
      <c r="P266" s="789"/>
      <c r="Q266" s="790"/>
      <c r="R266" s="783"/>
    </row>
    <row r="267" spans="1:22" ht="22.5" x14ac:dyDescent="0.2">
      <c r="A267" s="1319"/>
      <c r="B267" s="783" t="s">
        <v>889</v>
      </c>
      <c r="C267" s="860" t="s">
        <v>846</v>
      </c>
      <c r="D267" s="785">
        <v>1000000</v>
      </c>
      <c r="E267" s="786"/>
      <c r="F267" s="778">
        <v>1000000</v>
      </c>
      <c r="G267" s="786"/>
      <c r="H267" s="787"/>
      <c r="I267" s="786"/>
      <c r="J267" s="778">
        <f t="shared" si="51"/>
        <v>1000000</v>
      </c>
      <c r="K267" s="778"/>
      <c r="L267" s="779">
        <f t="shared" si="49"/>
        <v>0</v>
      </c>
      <c r="M267" s="779">
        <f t="shared" si="50"/>
        <v>0</v>
      </c>
      <c r="N267" s="784"/>
      <c r="O267" s="788"/>
      <c r="P267" s="789"/>
      <c r="Q267" s="790"/>
      <c r="R267" s="783" t="s">
        <v>846</v>
      </c>
    </row>
    <row r="268" spans="1:22" x14ac:dyDescent="0.2">
      <c r="A268" s="1319"/>
      <c r="B268" s="783" t="s">
        <v>890</v>
      </c>
      <c r="C268" s="784" t="s">
        <v>195</v>
      </c>
      <c r="D268" s="791">
        <v>7700000</v>
      </c>
      <c r="E268" s="786"/>
      <c r="F268" s="778">
        <v>7700000</v>
      </c>
      <c r="G268" s="786"/>
      <c r="H268" s="787"/>
      <c r="I268" s="786"/>
      <c r="J268" s="778">
        <f t="shared" si="51"/>
        <v>7700000</v>
      </c>
      <c r="K268" s="778"/>
      <c r="L268" s="779">
        <f t="shared" si="49"/>
        <v>0</v>
      </c>
      <c r="M268" s="779">
        <f t="shared" si="50"/>
        <v>0</v>
      </c>
      <c r="N268" s="784"/>
      <c r="O268" s="788"/>
      <c r="P268" s="789"/>
      <c r="Q268" s="790"/>
      <c r="R268" s="783"/>
    </row>
    <row r="269" spans="1:22" x14ac:dyDescent="0.2">
      <c r="A269" s="1319"/>
      <c r="B269" s="783" t="s">
        <v>883</v>
      </c>
      <c r="C269" s="784" t="s">
        <v>704</v>
      </c>
      <c r="D269" s="791">
        <v>4250000</v>
      </c>
      <c r="E269" s="786"/>
      <c r="F269" s="778">
        <v>4250000</v>
      </c>
      <c r="G269" s="786"/>
      <c r="H269" s="787"/>
      <c r="I269" s="786"/>
      <c r="J269" s="778">
        <f t="shared" si="51"/>
        <v>4250000</v>
      </c>
      <c r="K269" s="778"/>
      <c r="L269" s="779">
        <f t="shared" si="49"/>
        <v>0</v>
      </c>
      <c r="M269" s="779">
        <f t="shared" si="50"/>
        <v>0</v>
      </c>
      <c r="N269" s="784"/>
      <c r="O269" s="788"/>
      <c r="P269" s="789"/>
      <c r="Q269" s="790"/>
      <c r="R269" s="783"/>
    </row>
    <row r="270" spans="1:22" x14ac:dyDescent="0.2">
      <c r="A270" s="1319"/>
      <c r="B270" s="783" t="s">
        <v>607</v>
      </c>
      <c r="C270" s="784" t="s">
        <v>693</v>
      </c>
      <c r="D270" s="791">
        <f>J270</f>
        <v>3890000</v>
      </c>
      <c r="E270" s="786"/>
      <c r="F270" s="778">
        <v>3890000</v>
      </c>
      <c r="G270" s="786"/>
      <c r="H270" s="787"/>
      <c r="I270" s="786"/>
      <c r="J270" s="778">
        <f t="shared" si="51"/>
        <v>3890000</v>
      </c>
      <c r="K270" s="778"/>
      <c r="L270" s="779">
        <f t="shared" si="49"/>
        <v>0</v>
      </c>
      <c r="M270" s="779">
        <f t="shared" si="50"/>
        <v>0</v>
      </c>
      <c r="N270" s="784"/>
      <c r="O270" s="788"/>
      <c r="P270" s="789"/>
      <c r="Q270" s="790"/>
      <c r="R270" s="783"/>
    </row>
    <row r="271" spans="1:22" x14ac:dyDescent="0.2">
      <c r="A271" s="1319"/>
      <c r="B271" s="783" t="s">
        <v>947</v>
      </c>
      <c r="C271" s="784"/>
      <c r="D271" s="785"/>
      <c r="E271" s="786"/>
      <c r="F271" s="778">
        <f>T271</f>
        <v>0</v>
      </c>
      <c r="G271" s="786"/>
      <c r="H271" s="787"/>
      <c r="I271" s="786"/>
      <c r="J271" s="778">
        <f>SUM(F271:I271)</f>
        <v>0</v>
      </c>
      <c r="K271" s="778"/>
      <c r="L271" s="779">
        <f>IF(E271="",D271-J271-K271,E271-J271-K271)</f>
        <v>0</v>
      </c>
      <c r="M271" s="779">
        <f>IF(E271="",D271-J271+K271,E271-J271+K271)</f>
        <v>0</v>
      </c>
      <c r="N271" s="784"/>
      <c r="O271" s="788"/>
      <c r="P271" s="789"/>
      <c r="Q271" s="790"/>
      <c r="R271" s="783"/>
      <c r="S271" s="751" t="s">
        <v>948</v>
      </c>
      <c r="T271" s="751">
        <f>SUM(T257:T270)</f>
        <v>0</v>
      </c>
    </row>
    <row r="272" spans="1:22" s="807" customFormat="1" x14ac:dyDescent="0.2">
      <c r="A272" s="811" t="s">
        <v>949</v>
      </c>
      <c r="B272" s="795" t="s">
        <v>1044</v>
      </c>
      <c r="C272" s="796"/>
      <c r="D272" s="797"/>
      <c r="E272" s="798"/>
      <c r="F272" s="799"/>
      <c r="G272" s="798"/>
      <c r="H272" s="800"/>
      <c r="I272" s="798"/>
      <c r="J272" s="812">
        <f>SUM(J257:J271)</f>
        <v>51292000</v>
      </c>
      <c r="K272" s="812">
        <f>SUM(K257:K271)</f>
        <v>0</v>
      </c>
      <c r="L272" s="812">
        <f>SUM(L257:L271)</f>
        <v>0</v>
      </c>
      <c r="M272" s="812">
        <f>SUM(M257:M271)</f>
        <v>0</v>
      </c>
      <c r="N272" s="796"/>
      <c r="O272" s="802"/>
      <c r="P272" s="803"/>
      <c r="Q272" s="804"/>
      <c r="R272" s="805"/>
      <c r="S272" s="806"/>
      <c r="T272" s="806"/>
      <c r="U272" s="806"/>
      <c r="V272" s="806"/>
    </row>
    <row r="273" spans="1:21" x14ac:dyDescent="0.2">
      <c r="A273" s="1321" t="s">
        <v>1045</v>
      </c>
      <c r="B273" s="772" t="s">
        <v>313</v>
      </c>
      <c r="C273" s="773" t="s">
        <v>173</v>
      </c>
      <c r="D273" s="774">
        <v>56650000</v>
      </c>
      <c r="E273" s="775">
        <v>57490000</v>
      </c>
      <c r="F273" s="776">
        <v>16955000</v>
      </c>
      <c r="G273" s="775">
        <v>22660000</v>
      </c>
      <c r="H273" s="777">
        <v>17835000</v>
      </c>
      <c r="I273" s="775">
        <v>40000</v>
      </c>
      <c r="J273" s="776">
        <f>SUM(F273:I273)</f>
        <v>57490000</v>
      </c>
      <c r="K273" s="776"/>
      <c r="L273" s="779">
        <f>IF(E273="",D273-J273-K273,E273-J273-K273)</f>
        <v>0</v>
      </c>
      <c r="M273" s="779">
        <f>K273+L273</f>
        <v>0</v>
      </c>
      <c r="N273" s="773"/>
      <c r="O273" s="780"/>
      <c r="P273" s="781"/>
      <c r="Q273" s="782"/>
      <c r="R273" s="772"/>
      <c r="S273" s="751" t="s">
        <v>893</v>
      </c>
    </row>
    <row r="274" spans="1:21" x14ac:dyDescent="0.2">
      <c r="A274" s="1320"/>
      <c r="B274" s="783" t="s">
        <v>894</v>
      </c>
      <c r="C274" s="784" t="s">
        <v>448</v>
      </c>
      <c r="D274" s="785">
        <v>100950000</v>
      </c>
      <c r="E274" s="786">
        <v>118100000</v>
      </c>
      <c r="F274" s="778">
        <v>30285000</v>
      </c>
      <c r="G274" s="786">
        <v>50475000</v>
      </c>
      <c r="H274" s="787">
        <v>37340000</v>
      </c>
      <c r="I274" s="786"/>
      <c r="J274" s="778">
        <f>SUM(F274:I274)</f>
        <v>118100000</v>
      </c>
      <c r="K274" s="778"/>
      <c r="L274" s="779">
        <f t="shared" ref="L274:L306" si="52">IF(E274="",D274-J274-K274,E274-J274-K274)</f>
        <v>0</v>
      </c>
      <c r="M274" s="779">
        <f t="shared" ref="M274:M306" si="53">K274+L274</f>
        <v>0</v>
      </c>
      <c r="N274" s="784"/>
      <c r="O274" s="788"/>
      <c r="P274" s="789"/>
      <c r="Q274" s="790"/>
      <c r="R274" s="783"/>
      <c r="S274" s="751" t="s">
        <v>1002</v>
      </c>
      <c r="T274" s="751">
        <v>5100000</v>
      </c>
      <c r="U274" s="751" t="s">
        <v>896</v>
      </c>
    </row>
    <row r="275" spans="1:21" x14ac:dyDescent="0.2">
      <c r="A275" s="1320"/>
      <c r="B275" s="783" t="s">
        <v>175</v>
      </c>
      <c r="C275" s="784" t="s">
        <v>416</v>
      </c>
      <c r="D275" s="785">
        <v>1100000</v>
      </c>
      <c r="E275" s="786">
        <v>1100000</v>
      </c>
      <c r="F275" s="778">
        <v>1100000</v>
      </c>
      <c r="G275" s="786"/>
      <c r="H275" s="787"/>
      <c r="I275" s="786"/>
      <c r="J275" s="778">
        <f>SUM(F275:I275)</f>
        <v>1100000</v>
      </c>
      <c r="K275" s="778"/>
      <c r="L275" s="779">
        <f t="shared" si="52"/>
        <v>0</v>
      </c>
      <c r="M275" s="779">
        <f t="shared" si="53"/>
        <v>0</v>
      </c>
      <c r="N275" s="784"/>
      <c r="O275" s="788"/>
      <c r="P275" s="789"/>
      <c r="Q275" s="790"/>
      <c r="R275" s="783" t="s">
        <v>943</v>
      </c>
      <c r="S275" s="751" t="s">
        <v>1003</v>
      </c>
      <c r="T275" s="751">
        <v>6600000</v>
      </c>
      <c r="U275" s="751" t="s">
        <v>896</v>
      </c>
    </row>
    <row r="276" spans="1:21" x14ac:dyDescent="0.2">
      <c r="A276" s="1320"/>
      <c r="B276" s="783" t="s">
        <v>99</v>
      </c>
      <c r="C276" s="784" t="s">
        <v>100</v>
      </c>
      <c r="D276" s="785">
        <v>106810660</v>
      </c>
      <c r="E276" s="786">
        <v>146375900</v>
      </c>
      <c r="F276" s="778">
        <v>32043198</v>
      </c>
      <c r="G276" s="786">
        <v>42724624</v>
      </c>
      <c r="H276" s="787">
        <v>64289643</v>
      </c>
      <c r="I276" s="786"/>
      <c r="J276" s="778">
        <f t="shared" ref="J276:J306" si="54">SUM(F276:I276)</f>
        <v>139057465</v>
      </c>
      <c r="K276" s="778"/>
      <c r="L276" s="779">
        <f t="shared" si="52"/>
        <v>7318435</v>
      </c>
      <c r="M276" s="779">
        <f t="shared" si="53"/>
        <v>7318435</v>
      </c>
      <c r="N276" s="784"/>
      <c r="O276" s="788"/>
      <c r="P276" s="789"/>
      <c r="Q276" s="790"/>
      <c r="R276" s="783" t="s">
        <v>943</v>
      </c>
      <c r="S276" s="751" t="s">
        <v>1004</v>
      </c>
      <c r="T276" s="751">
        <v>4450000</v>
      </c>
      <c r="U276" s="751" t="s">
        <v>898</v>
      </c>
    </row>
    <row r="277" spans="1:21" x14ac:dyDescent="0.2">
      <c r="A277" s="1320"/>
      <c r="B277" s="783" t="s">
        <v>31</v>
      </c>
      <c r="C277" s="784" t="s">
        <v>897</v>
      </c>
      <c r="D277" s="785">
        <v>22772000</v>
      </c>
      <c r="E277" s="786">
        <v>49720000</v>
      </c>
      <c r="F277" s="778">
        <v>6831660</v>
      </c>
      <c r="G277" s="786">
        <v>15000000</v>
      </c>
      <c r="H277" s="787">
        <v>27888340</v>
      </c>
      <c r="I277" s="786"/>
      <c r="J277" s="778">
        <f t="shared" si="54"/>
        <v>49720000</v>
      </c>
      <c r="K277" s="778"/>
      <c r="L277" s="779">
        <f t="shared" si="52"/>
        <v>0</v>
      </c>
      <c r="M277" s="779">
        <f t="shared" si="53"/>
        <v>0</v>
      </c>
      <c r="N277" s="784"/>
      <c r="O277" s="788"/>
      <c r="P277" s="789"/>
      <c r="Q277" s="790"/>
      <c r="R277" s="783"/>
      <c r="S277" s="751" t="s">
        <v>1021</v>
      </c>
      <c r="T277" s="751">
        <v>160000</v>
      </c>
      <c r="U277" s="751" t="s">
        <v>902</v>
      </c>
    </row>
    <row r="278" spans="1:21" x14ac:dyDescent="0.2">
      <c r="A278" s="1320"/>
      <c r="B278" s="783" t="s">
        <v>899</v>
      </c>
      <c r="C278" s="784" t="s">
        <v>229</v>
      </c>
      <c r="D278" s="785">
        <v>95095000</v>
      </c>
      <c r="E278" s="786">
        <v>89982750</v>
      </c>
      <c r="F278" s="778">
        <v>47547500</v>
      </c>
      <c r="G278" s="786">
        <v>42435250</v>
      </c>
      <c r="H278" s="787"/>
      <c r="I278" s="786"/>
      <c r="J278" s="778">
        <f t="shared" si="54"/>
        <v>89982750</v>
      </c>
      <c r="K278" s="778"/>
      <c r="L278" s="779">
        <f t="shared" si="52"/>
        <v>0</v>
      </c>
      <c r="M278" s="779">
        <f t="shared" si="53"/>
        <v>0</v>
      </c>
      <c r="N278" s="784" t="s">
        <v>901</v>
      </c>
      <c r="O278" s="788">
        <v>43879</v>
      </c>
      <c r="P278" s="789"/>
      <c r="Q278" s="790"/>
      <c r="R278" s="783" t="s">
        <v>943</v>
      </c>
    </row>
    <row r="279" spans="1:21" x14ac:dyDescent="0.2">
      <c r="A279" s="1320"/>
      <c r="B279" s="783" t="s">
        <v>167</v>
      </c>
      <c r="C279" s="784" t="s">
        <v>903</v>
      </c>
      <c r="D279" s="785">
        <v>7656740</v>
      </c>
      <c r="E279" s="786"/>
      <c r="F279" s="778">
        <v>7656740</v>
      </c>
      <c r="G279" s="786"/>
      <c r="H279" s="787"/>
      <c r="I279" s="786"/>
      <c r="J279" s="778">
        <f t="shared" si="54"/>
        <v>7656740</v>
      </c>
      <c r="K279" s="778"/>
      <c r="L279" s="779">
        <f t="shared" si="52"/>
        <v>0</v>
      </c>
      <c r="M279" s="779">
        <f t="shared" si="53"/>
        <v>0</v>
      </c>
      <c r="N279" s="784"/>
      <c r="O279" s="788"/>
      <c r="P279" s="789"/>
      <c r="Q279" s="790"/>
      <c r="R279" s="783" t="s">
        <v>903</v>
      </c>
    </row>
    <row r="280" spans="1:21" x14ac:dyDescent="0.2">
      <c r="A280" s="1320"/>
      <c r="B280" s="783" t="s">
        <v>292</v>
      </c>
      <c r="C280" s="784" t="s">
        <v>104</v>
      </c>
      <c r="D280" s="785">
        <v>59536000</v>
      </c>
      <c r="E280" s="786"/>
      <c r="F280" s="778">
        <v>35721600</v>
      </c>
      <c r="G280" s="786">
        <v>23814000</v>
      </c>
      <c r="H280" s="787">
        <v>400</v>
      </c>
      <c r="I280" s="786"/>
      <c r="J280" s="778">
        <f t="shared" si="54"/>
        <v>59536000</v>
      </c>
      <c r="K280" s="778"/>
      <c r="L280" s="779">
        <f t="shared" si="52"/>
        <v>0</v>
      </c>
      <c r="M280" s="779">
        <f t="shared" si="53"/>
        <v>0</v>
      </c>
      <c r="N280" s="784"/>
      <c r="O280" s="788"/>
      <c r="P280" s="789"/>
      <c r="Q280" s="790"/>
      <c r="R280" s="783"/>
    </row>
    <row r="281" spans="1:21" x14ac:dyDescent="0.2">
      <c r="A281" s="1320"/>
      <c r="B281" s="783" t="s">
        <v>442</v>
      </c>
      <c r="C281" s="784" t="s">
        <v>443</v>
      </c>
      <c r="D281" s="785">
        <v>7748800</v>
      </c>
      <c r="E281" s="786"/>
      <c r="F281" s="778">
        <v>3874400</v>
      </c>
      <c r="G281" s="786">
        <v>3874400</v>
      </c>
      <c r="H281" s="787"/>
      <c r="I281" s="786"/>
      <c r="J281" s="778">
        <f t="shared" si="54"/>
        <v>7748800</v>
      </c>
      <c r="K281" s="778"/>
      <c r="L281" s="779">
        <f t="shared" si="52"/>
        <v>0</v>
      </c>
      <c r="M281" s="779">
        <f t="shared" si="53"/>
        <v>0</v>
      </c>
      <c r="N281" s="784"/>
      <c r="O281" s="788"/>
      <c r="P281" s="789"/>
      <c r="Q281" s="790"/>
      <c r="R281" s="783" t="s">
        <v>943</v>
      </c>
    </row>
    <row r="282" spans="1:21" x14ac:dyDescent="0.2">
      <c r="A282" s="1320"/>
      <c r="B282" s="783" t="s">
        <v>167</v>
      </c>
      <c r="C282" s="784" t="s">
        <v>286</v>
      </c>
      <c r="D282" s="785">
        <v>8467200</v>
      </c>
      <c r="E282" s="786"/>
      <c r="F282" s="778">
        <v>8467200</v>
      </c>
      <c r="G282" s="786"/>
      <c r="H282" s="787"/>
      <c r="I282" s="786"/>
      <c r="J282" s="778">
        <f t="shared" si="54"/>
        <v>8467200</v>
      </c>
      <c r="K282" s="778"/>
      <c r="L282" s="779">
        <f t="shared" si="52"/>
        <v>0</v>
      </c>
      <c r="M282" s="779">
        <f t="shared" si="53"/>
        <v>0</v>
      </c>
      <c r="N282" s="784"/>
      <c r="O282" s="788"/>
      <c r="P282" s="789"/>
      <c r="Q282" s="790"/>
      <c r="R282" s="783"/>
    </row>
    <row r="283" spans="1:21" x14ac:dyDescent="0.2">
      <c r="A283" s="1320"/>
      <c r="B283" s="783" t="s">
        <v>340</v>
      </c>
      <c r="C283" s="784" t="s">
        <v>906</v>
      </c>
      <c r="D283" s="785">
        <v>7664000</v>
      </c>
      <c r="E283" s="786"/>
      <c r="F283" s="778">
        <v>7664000</v>
      </c>
      <c r="G283" s="786"/>
      <c r="H283" s="787"/>
      <c r="I283" s="786"/>
      <c r="J283" s="778">
        <f t="shared" si="54"/>
        <v>7664000</v>
      </c>
      <c r="K283" s="778"/>
      <c r="L283" s="779">
        <f t="shared" si="52"/>
        <v>0</v>
      </c>
      <c r="M283" s="779">
        <f t="shared" si="53"/>
        <v>0</v>
      </c>
      <c r="N283" s="784"/>
      <c r="O283" s="788"/>
      <c r="P283" s="789"/>
      <c r="Q283" s="790"/>
      <c r="R283" s="783" t="s">
        <v>943</v>
      </c>
    </row>
    <row r="284" spans="1:21" x14ac:dyDescent="0.2">
      <c r="A284" s="1320"/>
      <c r="B284" s="783" t="s">
        <v>232</v>
      </c>
      <c r="C284" s="784" t="s">
        <v>341</v>
      </c>
      <c r="D284" s="785">
        <v>10184000</v>
      </c>
      <c r="E284" s="786">
        <v>14288000</v>
      </c>
      <c r="F284" s="778">
        <v>4000000</v>
      </c>
      <c r="G284" s="786">
        <v>6000000</v>
      </c>
      <c r="H284" s="787">
        <v>4288000</v>
      </c>
      <c r="I284" s="786"/>
      <c r="J284" s="778">
        <f t="shared" si="54"/>
        <v>14288000</v>
      </c>
      <c r="K284" s="778"/>
      <c r="L284" s="779">
        <f t="shared" si="52"/>
        <v>0</v>
      </c>
      <c r="M284" s="779">
        <f t="shared" si="53"/>
        <v>0</v>
      </c>
      <c r="N284" s="784"/>
      <c r="O284" s="788"/>
      <c r="P284" s="789"/>
      <c r="Q284" s="790"/>
      <c r="R284" s="783" t="s">
        <v>341</v>
      </c>
    </row>
    <row r="285" spans="1:21" x14ac:dyDescent="0.2">
      <c r="A285" s="1320"/>
      <c r="B285" s="783" t="s">
        <v>167</v>
      </c>
      <c r="C285" s="784" t="s">
        <v>907</v>
      </c>
      <c r="D285" s="785">
        <v>6644400</v>
      </c>
      <c r="E285" s="786"/>
      <c r="F285" s="778">
        <v>6644400</v>
      </c>
      <c r="G285" s="786"/>
      <c r="H285" s="787"/>
      <c r="I285" s="786"/>
      <c r="J285" s="778">
        <f t="shared" si="54"/>
        <v>6644400</v>
      </c>
      <c r="K285" s="778"/>
      <c r="L285" s="779">
        <f t="shared" si="52"/>
        <v>0</v>
      </c>
      <c r="M285" s="779">
        <f t="shared" si="53"/>
        <v>0</v>
      </c>
      <c r="N285" s="784"/>
      <c r="O285" s="788"/>
      <c r="P285" s="789"/>
      <c r="Q285" s="790"/>
      <c r="R285" s="783" t="s">
        <v>907</v>
      </c>
    </row>
    <row r="286" spans="1:21" x14ac:dyDescent="0.2">
      <c r="A286" s="1320"/>
      <c r="B286" s="783" t="s">
        <v>514</v>
      </c>
      <c r="C286" s="784" t="s">
        <v>114</v>
      </c>
      <c r="D286" s="785">
        <v>4480000</v>
      </c>
      <c r="E286" s="786"/>
      <c r="F286" s="778">
        <v>4480000</v>
      </c>
      <c r="G286" s="786"/>
      <c r="H286" s="787"/>
      <c r="I286" s="786"/>
      <c r="J286" s="778">
        <f t="shared" si="54"/>
        <v>4480000</v>
      </c>
      <c r="K286" s="778"/>
      <c r="L286" s="779">
        <f t="shared" si="52"/>
        <v>0</v>
      </c>
      <c r="M286" s="779">
        <f t="shared" si="53"/>
        <v>0</v>
      </c>
      <c r="N286" s="784"/>
      <c r="O286" s="788"/>
      <c r="P286" s="789"/>
      <c r="Q286" s="790"/>
      <c r="R286" s="783" t="s">
        <v>114</v>
      </c>
    </row>
    <row r="287" spans="1:21" x14ac:dyDescent="0.2">
      <c r="A287" s="1320"/>
      <c r="B287" s="783" t="s">
        <v>908</v>
      </c>
      <c r="C287" s="784" t="s">
        <v>57</v>
      </c>
      <c r="D287" s="785">
        <f>34957336+1830276</f>
        <v>36787612</v>
      </c>
      <c r="E287" s="786"/>
      <c r="F287" s="808">
        <v>34957336</v>
      </c>
      <c r="G287" s="786">
        <v>1830276</v>
      </c>
      <c r="H287" s="787"/>
      <c r="I287" s="786"/>
      <c r="J287" s="778">
        <f t="shared" si="54"/>
        <v>36787612</v>
      </c>
      <c r="K287" s="778"/>
      <c r="L287" s="779">
        <f t="shared" si="52"/>
        <v>0</v>
      </c>
      <c r="M287" s="779">
        <f t="shared" si="53"/>
        <v>0</v>
      </c>
      <c r="N287" s="784"/>
      <c r="O287" s="788"/>
      <c r="P287" s="789"/>
      <c r="Q287" s="790"/>
      <c r="R287" s="783" t="s">
        <v>57</v>
      </c>
    </row>
    <row r="288" spans="1:21" x14ac:dyDescent="0.2">
      <c r="A288" s="1320"/>
      <c r="B288" s="783" t="s">
        <v>56</v>
      </c>
      <c r="C288" s="784" t="s">
        <v>57</v>
      </c>
      <c r="D288" s="785">
        <v>29240000</v>
      </c>
      <c r="E288" s="786"/>
      <c r="F288" s="778">
        <v>29240000</v>
      </c>
      <c r="G288" s="786"/>
      <c r="H288" s="787"/>
      <c r="I288" s="786"/>
      <c r="J288" s="778">
        <f t="shared" si="54"/>
        <v>29240000</v>
      </c>
      <c r="K288" s="778"/>
      <c r="L288" s="779">
        <f t="shared" si="52"/>
        <v>0</v>
      </c>
      <c r="M288" s="779">
        <f t="shared" si="53"/>
        <v>0</v>
      </c>
      <c r="N288" s="784"/>
      <c r="O288" s="788"/>
      <c r="P288" s="789"/>
      <c r="Q288" s="790"/>
      <c r="R288" s="783" t="s">
        <v>57</v>
      </c>
    </row>
    <row r="289" spans="1:18" x14ac:dyDescent="0.2">
      <c r="A289" s="1320"/>
      <c r="B289" s="783" t="s">
        <v>167</v>
      </c>
      <c r="C289" s="784" t="s">
        <v>907</v>
      </c>
      <c r="D289" s="785">
        <v>1717940</v>
      </c>
      <c r="E289" s="786"/>
      <c r="F289" s="778">
        <v>1717940</v>
      </c>
      <c r="G289" s="786"/>
      <c r="H289" s="787"/>
      <c r="I289" s="786"/>
      <c r="J289" s="778">
        <f t="shared" si="54"/>
        <v>1717940</v>
      </c>
      <c r="K289" s="778"/>
      <c r="L289" s="779">
        <f t="shared" si="52"/>
        <v>0</v>
      </c>
      <c r="M289" s="779">
        <f t="shared" si="53"/>
        <v>0</v>
      </c>
      <c r="N289" s="784"/>
      <c r="O289" s="788"/>
      <c r="P289" s="789"/>
      <c r="Q289" s="790"/>
      <c r="R289" s="783" t="s">
        <v>907</v>
      </c>
    </row>
    <row r="290" spans="1:18" x14ac:dyDescent="0.2">
      <c r="A290" s="1320"/>
      <c r="B290" s="783" t="s">
        <v>213</v>
      </c>
      <c r="C290" s="784" t="s">
        <v>909</v>
      </c>
      <c r="D290" s="785">
        <v>27600000</v>
      </c>
      <c r="E290" s="786"/>
      <c r="F290" s="778">
        <v>19320000</v>
      </c>
      <c r="G290" s="786">
        <v>8280000</v>
      </c>
      <c r="H290" s="787"/>
      <c r="I290" s="786"/>
      <c r="J290" s="778">
        <f t="shared" si="54"/>
        <v>27600000</v>
      </c>
      <c r="K290" s="778"/>
      <c r="L290" s="779">
        <f t="shared" si="52"/>
        <v>0</v>
      </c>
      <c r="M290" s="779">
        <f t="shared" si="53"/>
        <v>0</v>
      </c>
      <c r="N290" s="784"/>
      <c r="O290" s="788"/>
      <c r="P290" s="789"/>
      <c r="Q290" s="790"/>
      <c r="R290" s="783"/>
    </row>
    <row r="291" spans="1:18" x14ac:dyDescent="0.2">
      <c r="A291" s="1320"/>
      <c r="B291" s="783" t="s">
        <v>118</v>
      </c>
      <c r="C291" s="784" t="s">
        <v>301</v>
      </c>
      <c r="D291" s="791"/>
      <c r="E291" s="786">
        <f>20632150+1900000</f>
        <v>22532150</v>
      </c>
      <c r="F291" s="778">
        <v>20632150</v>
      </c>
      <c r="G291" s="786">
        <v>1900000</v>
      </c>
      <c r="H291" s="787"/>
      <c r="I291" s="786"/>
      <c r="J291" s="778">
        <f t="shared" si="54"/>
        <v>22532150</v>
      </c>
      <c r="K291" s="778"/>
      <c r="L291" s="779">
        <f t="shared" si="52"/>
        <v>0</v>
      </c>
      <c r="M291" s="779">
        <f t="shared" si="53"/>
        <v>0</v>
      </c>
      <c r="N291" s="784"/>
      <c r="O291" s="788"/>
      <c r="P291" s="789"/>
      <c r="Q291" s="790"/>
      <c r="R291" s="783"/>
    </row>
    <row r="292" spans="1:18" x14ac:dyDescent="0.2">
      <c r="A292" s="1320"/>
      <c r="B292" s="783" t="s">
        <v>132</v>
      </c>
      <c r="C292" s="784" t="s">
        <v>910</v>
      </c>
      <c r="D292" s="785">
        <v>16784280</v>
      </c>
      <c r="E292" s="786"/>
      <c r="F292" s="778">
        <v>16784280</v>
      </c>
      <c r="G292" s="786"/>
      <c r="H292" s="787"/>
      <c r="I292" s="786"/>
      <c r="J292" s="778">
        <f t="shared" si="54"/>
        <v>16784280</v>
      </c>
      <c r="K292" s="778"/>
      <c r="L292" s="779">
        <f t="shared" si="52"/>
        <v>0</v>
      </c>
      <c r="M292" s="779">
        <f t="shared" si="53"/>
        <v>0</v>
      </c>
      <c r="N292" s="784"/>
      <c r="O292" s="788"/>
      <c r="P292" s="789"/>
      <c r="Q292" s="790"/>
      <c r="R292" s="783" t="s">
        <v>943</v>
      </c>
    </row>
    <row r="293" spans="1:18" x14ac:dyDescent="0.2">
      <c r="A293" s="1320"/>
      <c r="B293" s="783" t="s">
        <v>132</v>
      </c>
      <c r="C293" s="784" t="s">
        <v>910</v>
      </c>
      <c r="D293" s="785">
        <v>7058729</v>
      </c>
      <c r="E293" s="786"/>
      <c r="F293" s="778">
        <v>7058729</v>
      </c>
      <c r="G293" s="786"/>
      <c r="H293" s="787"/>
      <c r="I293" s="786"/>
      <c r="J293" s="778">
        <f t="shared" si="54"/>
        <v>7058729</v>
      </c>
      <c r="K293" s="778"/>
      <c r="L293" s="779">
        <f t="shared" si="52"/>
        <v>0</v>
      </c>
      <c r="M293" s="779">
        <f t="shared" si="53"/>
        <v>0</v>
      </c>
      <c r="N293" s="784"/>
      <c r="O293" s="788"/>
      <c r="P293" s="789"/>
      <c r="Q293" s="790"/>
      <c r="R293" s="783" t="s">
        <v>943</v>
      </c>
    </row>
    <row r="294" spans="1:18" ht="15" customHeight="1" x14ac:dyDescent="0.2">
      <c r="A294" s="1320" t="s">
        <v>1045</v>
      </c>
      <c r="B294" s="783" t="s">
        <v>913</v>
      </c>
      <c r="C294" s="784" t="s">
        <v>727</v>
      </c>
      <c r="D294" s="791">
        <v>11000000</v>
      </c>
      <c r="E294" s="786"/>
      <c r="F294" s="778">
        <v>3000000</v>
      </c>
      <c r="G294" s="786">
        <v>2000000</v>
      </c>
      <c r="H294" s="787">
        <v>6000000</v>
      </c>
      <c r="I294" s="786"/>
      <c r="J294" s="778">
        <f t="shared" si="54"/>
        <v>11000000</v>
      </c>
      <c r="K294" s="778"/>
      <c r="L294" s="779">
        <f t="shared" si="52"/>
        <v>0</v>
      </c>
      <c r="M294" s="779">
        <f t="shared" si="53"/>
        <v>0</v>
      </c>
      <c r="N294" s="784"/>
      <c r="O294" s="788"/>
      <c r="P294" s="789"/>
      <c r="Q294" s="790"/>
      <c r="R294" s="783"/>
    </row>
    <row r="295" spans="1:18" x14ac:dyDescent="0.2">
      <c r="A295" s="1320"/>
      <c r="B295" s="783" t="s">
        <v>257</v>
      </c>
      <c r="C295" s="784" t="s">
        <v>286</v>
      </c>
      <c r="D295" s="791">
        <v>16883354</v>
      </c>
      <c r="E295" s="786"/>
      <c r="F295" s="778">
        <v>16883354</v>
      </c>
      <c r="G295" s="786"/>
      <c r="H295" s="787"/>
      <c r="I295" s="786"/>
      <c r="J295" s="778">
        <f t="shared" si="54"/>
        <v>16883354</v>
      </c>
      <c r="K295" s="778"/>
      <c r="L295" s="779">
        <f t="shared" si="52"/>
        <v>0</v>
      </c>
      <c r="M295" s="779">
        <f t="shared" si="53"/>
        <v>0</v>
      </c>
      <c r="N295" s="784"/>
      <c r="O295" s="788"/>
      <c r="P295" s="789"/>
      <c r="Q295" s="790"/>
      <c r="R295" s="783"/>
    </row>
    <row r="296" spans="1:18" ht="15" customHeight="1" x14ac:dyDescent="0.2">
      <c r="A296" s="1320"/>
      <c r="B296" s="783" t="s">
        <v>257</v>
      </c>
      <c r="C296" s="784" t="s">
        <v>727</v>
      </c>
      <c r="D296" s="791">
        <f>J296</f>
        <v>11990000</v>
      </c>
      <c r="E296" s="786"/>
      <c r="F296" s="778">
        <v>11990000</v>
      </c>
      <c r="G296" s="786"/>
      <c r="H296" s="787"/>
      <c r="I296" s="786"/>
      <c r="J296" s="778">
        <f t="shared" si="54"/>
        <v>11990000</v>
      </c>
      <c r="K296" s="778"/>
      <c r="L296" s="779">
        <f t="shared" si="52"/>
        <v>0</v>
      </c>
      <c r="M296" s="779">
        <f t="shared" si="53"/>
        <v>0</v>
      </c>
      <c r="N296" s="784"/>
      <c r="O296" s="788"/>
      <c r="P296" s="789"/>
      <c r="Q296" s="790"/>
      <c r="R296" s="783"/>
    </row>
    <row r="297" spans="1:18" x14ac:dyDescent="0.2">
      <c r="A297" s="1320"/>
      <c r="B297" s="783" t="s">
        <v>346</v>
      </c>
      <c r="C297" s="784" t="s">
        <v>915</v>
      </c>
      <c r="D297" s="791">
        <v>65401661.600000001</v>
      </c>
      <c r="E297" s="786"/>
      <c r="F297" s="778">
        <v>32700830.800000001</v>
      </c>
      <c r="G297" s="786">
        <v>32700830.800000001</v>
      </c>
      <c r="H297" s="787"/>
      <c r="I297" s="786"/>
      <c r="J297" s="778">
        <f t="shared" si="54"/>
        <v>65401661.600000001</v>
      </c>
      <c r="K297" s="778"/>
      <c r="L297" s="779">
        <f t="shared" si="52"/>
        <v>0</v>
      </c>
      <c r="M297" s="779">
        <f t="shared" si="53"/>
        <v>0</v>
      </c>
      <c r="N297" s="784"/>
      <c r="O297" s="788"/>
      <c r="P297" s="789"/>
      <c r="Q297" s="790"/>
      <c r="R297" s="783"/>
    </row>
    <row r="298" spans="1:18" x14ac:dyDescent="0.2">
      <c r="A298" s="1320"/>
      <c r="B298" s="783" t="s">
        <v>170</v>
      </c>
      <c r="C298" s="784" t="s">
        <v>171</v>
      </c>
      <c r="D298" s="785"/>
      <c r="E298" s="786">
        <v>25548400</v>
      </c>
      <c r="F298" s="778">
        <v>25548400</v>
      </c>
      <c r="G298" s="786"/>
      <c r="H298" s="787"/>
      <c r="I298" s="786"/>
      <c r="J298" s="778">
        <f t="shared" si="54"/>
        <v>25548400</v>
      </c>
      <c r="K298" s="778"/>
      <c r="L298" s="779">
        <f t="shared" si="52"/>
        <v>0</v>
      </c>
      <c r="M298" s="779">
        <f t="shared" si="53"/>
        <v>0</v>
      </c>
      <c r="N298" s="784"/>
      <c r="O298" s="788"/>
      <c r="P298" s="789"/>
      <c r="Q298" s="790"/>
      <c r="R298" s="783" t="s">
        <v>171</v>
      </c>
    </row>
    <row r="299" spans="1:18" x14ac:dyDescent="0.2">
      <c r="A299" s="1320"/>
      <c r="B299" s="783" t="s">
        <v>916</v>
      </c>
      <c r="C299" s="784" t="s">
        <v>727</v>
      </c>
      <c r="D299" s="791">
        <f>J299</f>
        <v>2350000</v>
      </c>
      <c r="E299" s="786"/>
      <c r="F299" s="778">
        <v>2350000</v>
      </c>
      <c r="G299" s="786"/>
      <c r="H299" s="787"/>
      <c r="I299" s="786"/>
      <c r="J299" s="778">
        <f t="shared" si="54"/>
        <v>2350000</v>
      </c>
      <c r="K299" s="778"/>
      <c r="L299" s="779">
        <f t="shared" si="52"/>
        <v>0</v>
      </c>
      <c r="M299" s="779">
        <f t="shared" si="53"/>
        <v>0</v>
      </c>
      <c r="N299" s="784"/>
      <c r="O299" s="788"/>
      <c r="P299" s="789"/>
      <c r="Q299" s="790"/>
      <c r="R299" s="783"/>
    </row>
    <row r="300" spans="1:18" x14ac:dyDescent="0.2">
      <c r="A300" s="1320"/>
      <c r="B300" s="783" t="s">
        <v>442</v>
      </c>
      <c r="C300" s="784" t="s">
        <v>443</v>
      </c>
      <c r="D300" s="785">
        <v>3200000</v>
      </c>
      <c r="E300" s="786"/>
      <c r="F300" s="778">
        <v>1600000</v>
      </c>
      <c r="G300" s="786"/>
      <c r="H300" s="787"/>
      <c r="I300" s="786"/>
      <c r="J300" s="778">
        <f t="shared" si="54"/>
        <v>1600000</v>
      </c>
      <c r="K300" s="778"/>
      <c r="L300" s="779">
        <f t="shared" si="52"/>
        <v>1600000</v>
      </c>
      <c r="M300" s="779">
        <f t="shared" si="53"/>
        <v>1600000</v>
      </c>
      <c r="N300" s="784"/>
      <c r="O300" s="788"/>
      <c r="P300" s="789"/>
      <c r="Q300" s="790"/>
      <c r="R300" s="783" t="s">
        <v>943</v>
      </c>
    </row>
    <row r="301" spans="1:18" x14ac:dyDescent="0.2">
      <c r="A301" s="1320"/>
      <c r="B301" s="783" t="s">
        <v>394</v>
      </c>
      <c r="C301" s="784" t="s">
        <v>909</v>
      </c>
      <c r="D301" s="791">
        <v>400000</v>
      </c>
      <c r="E301" s="786"/>
      <c r="F301" s="778">
        <v>400000</v>
      </c>
      <c r="G301" s="786"/>
      <c r="H301" s="787"/>
      <c r="I301" s="786"/>
      <c r="J301" s="778">
        <f t="shared" si="54"/>
        <v>400000</v>
      </c>
      <c r="K301" s="778"/>
      <c r="L301" s="779">
        <f t="shared" si="52"/>
        <v>0</v>
      </c>
      <c r="M301" s="779">
        <f t="shared" si="53"/>
        <v>0</v>
      </c>
      <c r="N301" s="784"/>
      <c r="O301" s="788"/>
      <c r="P301" s="789"/>
      <c r="Q301" s="790"/>
      <c r="R301" s="783"/>
    </row>
    <row r="302" spans="1:18" x14ac:dyDescent="0.2">
      <c r="A302" s="1320"/>
      <c r="B302" s="783" t="s">
        <v>917</v>
      </c>
      <c r="C302" s="784" t="s">
        <v>229</v>
      </c>
      <c r="D302" s="785">
        <v>9130000</v>
      </c>
      <c r="E302" s="786"/>
      <c r="F302" s="778">
        <v>9130000</v>
      </c>
      <c r="G302" s="786"/>
      <c r="H302" s="787"/>
      <c r="I302" s="786"/>
      <c r="J302" s="778">
        <f t="shared" si="54"/>
        <v>9130000</v>
      </c>
      <c r="K302" s="778"/>
      <c r="L302" s="779">
        <f t="shared" si="52"/>
        <v>0</v>
      </c>
      <c r="M302" s="779">
        <f t="shared" si="53"/>
        <v>0</v>
      </c>
      <c r="N302" s="784"/>
      <c r="O302" s="788"/>
      <c r="P302" s="789"/>
      <c r="Q302" s="790"/>
      <c r="R302" s="783" t="s">
        <v>943</v>
      </c>
    </row>
    <row r="303" spans="1:18" x14ac:dyDescent="0.2">
      <c r="A303" s="1320"/>
      <c r="B303" s="783" t="s">
        <v>1046</v>
      </c>
      <c r="C303" s="784" t="s">
        <v>1039</v>
      </c>
      <c r="D303" s="785"/>
      <c r="E303" s="786">
        <v>33916000</v>
      </c>
      <c r="F303" s="778">
        <v>33916000</v>
      </c>
      <c r="G303" s="786"/>
      <c r="H303" s="787"/>
      <c r="I303" s="786"/>
      <c r="J303" s="778">
        <f t="shared" si="54"/>
        <v>33916000</v>
      </c>
      <c r="K303" s="778"/>
      <c r="L303" s="779">
        <f>IF(E303="",D303-J303-K303,E303-J303-K303)</f>
        <v>0</v>
      </c>
      <c r="M303" s="779">
        <f>K303+L303</f>
        <v>0</v>
      </c>
      <c r="N303" s="784"/>
      <c r="O303" s="788"/>
      <c r="P303" s="789"/>
      <c r="Q303" s="790"/>
      <c r="R303" s="783"/>
    </row>
    <row r="304" spans="1:18" x14ac:dyDescent="0.2">
      <c r="A304" s="1320"/>
      <c r="B304" s="783" t="s">
        <v>107</v>
      </c>
      <c r="C304" s="784" t="s">
        <v>995</v>
      </c>
      <c r="D304" s="785">
        <v>530000</v>
      </c>
      <c r="E304" s="786"/>
      <c r="F304" s="778">
        <v>530000</v>
      </c>
      <c r="G304" s="786"/>
      <c r="H304" s="787"/>
      <c r="I304" s="786"/>
      <c r="J304" s="778">
        <f t="shared" si="54"/>
        <v>530000</v>
      </c>
      <c r="K304" s="778"/>
      <c r="L304" s="779">
        <f>IF(E304="",D304-J304-K304,E304-J304-K304)</f>
        <v>0</v>
      </c>
      <c r="M304" s="779">
        <f>K304+L304</f>
        <v>0</v>
      </c>
      <c r="N304" s="784"/>
      <c r="O304" s="788"/>
      <c r="P304" s="789"/>
      <c r="Q304" s="790"/>
      <c r="R304" s="783"/>
    </row>
    <row r="305" spans="1:22" x14ac:dyDescent="0.2">
      <c r="A305" s="1320"/>
      <c r="B305" s="783" t="s">
        <v>170</v>
      </c>
      <c r="C305" s="784" t="s">
        <v>171</v>
      </c>
      <c r="D305" s="785"/>
      <c r="E305" s="786"/>
      <c r="F305" s="778">
        <v>333000</v>
      </c>
      <c r="G305" s="786"/>
      <c r="H305" s="787"/>
      <c r="I305" s="786"/>
      <c r="J305" s="778">
        <f t="shared" si="54"/>
        <v>333000</v>
      </c>
      <c r="K305" s="778"/>
      <c r="L305" s="779"/>
      <c r="M305" s="779"/>
      <c r="N305" s="784"/>
      <c r="O305" s="788"/>
      <c r="P305" s="789"/>
      <c r="Q305" s="790"/>
      <c r="R305" s="783"/>
    </row>
    <row r="306" spans="1:22" x14ac:dyDescent="0.2">
      <c r="A306" s="1320"/>
      <c r="B306" s="783" t="s">
        <v>947</v>
      </c>
      <c r="C306" s="784"/>
      <c r="D306" s="785"/>
      <c r="E306" s="786"/>
      <c r="F306" s="778">
        <f>T306</f>
        <v>16310000</v>
      </c>
      <c r="G306" s="786"/>
      <c r="H306" s="787"/>
      <c r="I306" s="786"/>
      <c r="J306" s="778">
        <f t="shared" si="54"/>
        <v>16310000</v>
      </c>
      <c r="K306" s="778"/>
      <c r="L306" s="779">
        <f t="shared" si="52"/>
        <v>-16310000</v>
      </c>
      <c r="M306" s="779">
        <f t="shared" si="53"/>
        <v>-16310000</v>
      </c>
      <c r="N306" s="784"/>
      <c r="O306" s="788"/>
      <c r="P306" s="789"/>
      <c r="Q306" s="790"/>
      <c r="R306" s="783"/>
      <c r="S306" s="751" t="s">
        <v>948</v>
      </c>
      <c r="T306" s="751">
        <f>SUM(T274:T302)</f>
        <v>16310000</v>
      </c>
    </row>
    <row r="307" spans="1:22" s="807" customFormat="1" x14ac:dyDescent="0.2">
      <c r="A307" s="811" t="s">
        <v>949</v>
      </c>
      <c r="B307" s="795" t="s">
        <v>1047</v>
      </c>
      <c r="C307" s="796"/>
      <c r="D307" s="797"/>
      <c r="E307" s="798"/>
      <c r="F307" s="799"/>
      <c r="G307" s="798"/>
      <c r="H307" s="800"/>
      <c r="I307" s="798"/>
      <c r="J307" s="812">
        <f>SUM(J273:J306)</f>
        <v>909048481.60000002</v>
      </c>
      <c r="K307" s="812">
        <f>SUM(K273:K306)</f>
        <v>0</v>
      </c>
      <c r="L307" s="812">
        <f>SUM(L273:L306)</f>
        <v>-7391565</v>
      </c>
      <c r="M307" s="812">
        <f>SUM(M273:M306)</f>
        <v>-7391565</v>
      </c>
      <c r="N307" s="796"/>
      <c r="O307" s="802"/>
      <c r="P307" s="803"/>
      <c r="Q307" s="804"/>
      <c r="R307" s="805"/>
      <c r="S307" s="806"/>
      <c r="T307" s="806"/>
      <c r="U307" s="806"/>
      <c r="V307" s="806"/>
    </row>
    <row r="308" spans="1:22" ht="22.5" x14ac:dyDescent="0.2">
      <c r="A308" s="1321" t="s">
        <v>1048</v>
      </c>
      <c r="B308" s="772" t="s">
        <v>920</v>
      </c>
      <c r="C308" s="861" t="s">
        <v>372</v>
      </c>
      <c r="D308" s="774">
        <v>23304000</v>
      </c>
      <c r="E308" s="775">
        <v>38730000</v>
      </c>
      <c r="F308" s="776">
        <v>6991200</v>
      </c>
      <c r="G308" s="775">
        <v>15000000</v>
      </c>
      <c r="H308" s="777">
        <v>16738800</v>
      </c>
      <c r="I308" s="775"/>
      <c r="J308" s="776">
        <f>SUM(F308:I308)</f>
        <v>38730000</v>
      </c>
      <c r="K308" s="776"/>
      <c r="L308" s="779">
        <f>IF(E308="",D308-J308-K308,E308-J308-K308)</f>
        <v>0</v>
      </c>
      <c r="M308" s="779">
        <f>K308+L308</f>
        <v>0</v>
      </c>
      <c r="N308" s="773"/>
      <c r="O308" s="780"/>
      <c r="P308" s="781"/>
      <c r="Q308" s="782"/>
      <c r="R308" s="772" t="s">
        <v>372</v>
      </c>
      <c r="S308" s="751" t="s">
        <v>1049</v>
      </c>
    </row>
    <row r="309" spans="1:22" x14ac:dyDescent="0.2">
      <c r="A309" s="1320"/>
      <c r="B309" s="783" t="s">
        <v>175</v>
      </c>
      <c r="C309" s="784" t="s">
        <v>416</v>
      </c>
      <c r="D309" s="785">
        <v>1100000</v>
      </c>
      <c r="E309" s="786">
        <v>1100000</v>
      </c>
      <c r="F309" s="778">
        <v>1100000</v>
      </c>
      <c r="G309" s="786"/>
      <c r="H309" s="787"/>
      <c r="I309" s="786"/>
      <c r="J309" s="778">
        <f>SUM(F309:I309)</f>
        <v>1100000</v>
      </c>
      <c r="K309" s="778"/>
      <c r="L309" s="779">
        <f>IF(E309="",D309-J309-K309,E309-J309-K309)</f>
        <v>0</v>
      </c>
      <c r="M309" s="779">
        <f>K309+L309</f>
        <v>0</v>
      </c>
      <c r="N309" s="784"/>
      <c r="O309" s="788"/>
      <c r="P309" s="789"/>
      <c r="Q309" s="790"/>
      <c r="R309" s="783" t="s">
        <v>943</v>
      </c>
    </row>
    <row r="310" spans="1:22" x14ac:dyDescent="0.2">
      <c r="A310" s="1320"/>
      <c r="B310" s="783" t="s">
        <v>346</v>
      </c>
      <c r="C310" s="784" t="s">
        <v>915</v>
      </c>
      <c r="D310" s="785">
        <v>5246880.8</v>
      </c>
      <c r="E310" s="786"/>
      <c r="F310" s="778">
        <v>2623440.4</v>
      </c>
      <c r="G310" s="786">
        <v>2623440.4</v>
      </c>
      <c r="H310" s="787"/>
      <c r="I310" s="786"/>
      <c r="J310" s="778">
        <f>SUM(F310:I310)</f>
        <v>5246880.8</v>
      </c>
      <c r="K310" s="778"/>
      <c r="L310" s="779">
        <f>IF(E310="",D310-J310-K310,E310-J310-K310)</f>
        <v>0</v>
      </c>
      <c r="M310" s="779">
        <f>K310+L310</f>
        <v>0</v>
      </c>
      <c r="N310" s="784"/>
      <c r="O310" s="788"/>
      <c r="P310" s="789"/>
      <c r="Q310" s="790"/>
      <c r="R310" s="783"/>
    </row>
    <row r="311" spans="1:22" x14ac:dyDescent="0.2">
      <c r="A311" s="1320"/>
      <c r="B311" s="783" t="s">
        <v>99</v>
      </c>
      <c r="C311" s="784" t="s">
        <v>100</v>
      </c>
      <c r="D311" s="785"/>
      <c r="E311" s="786">
        <v>32167000</v>
      </c>
      <c r="F311" s="778">
        <v>32167000</v>
      </c>
      <c r="G311" s="786"/>
      <c r="H311" s="787"/>
      <c r="I311" s="786"/>
      <c r="J311" s="778">
        <f>SUM(F311:I311)</f>
        <v>32167000</v>
      </c>
      <c r="K311" s="778"/>
      <c r="L311" s="779">
        <f>IF(E311="",D311-J311-K311,E311-J311-K311)</f>
        <v>0</v>
      </c>
      <c r="M311" s="779">
        <f>K311+L311</f>
        <v>0</v>
      </c>
      <c r="N311" s="784"/>
      <c r="O311" s="788"/>
      <c r="P311" s="789"/>
      <c r="Q311" s="790"/>
      <c r="R311" s="783" t="s">
        <v>943</v>
      </c>
    </row>
    <row r="312" spans="1:22" x14ac:dyDescent="0.2">
      <c r="A312" s="1320"/>
      <c r="B312" s="783" t="s">
        <v>947</v>
      </c>
      <c r="C312" s="784"/>
      <c r="D312" s="785"/>
      <c r="E312" s="786"/>
      <c r="F312" s="778">
        <f>T312</f>
        <v>0</v>
      </c>
      <c r="G312" s="786"/>
      <c r="H312" s="787"/>
      <c r="I312" s="786"/>
      <c r="J312" s="778">
        <f>SUM(F312:I312)</f>
        <v>0</v>
      </c>
      <c r="K312" s="778"/>
      <c r="L312" s="779">
        <f>IF(E312="",D312-J312-K312,E312-J312-K312)</f>
        <v>0</v>
      </c>
      <c r="M312" s="779">
        <f>IF(E312="",D312-J312+K312,E312-J312+K312)</f>
        <v>0</v>
      </c>
      <c r="N312" s="784"/>
      <c r="O312" s="788"/>
      <c r="P312" s="789"/>
      <c r="Q312" s="790"/>
      <c r="R312" s="783"/>
      <c r="S312" s="751" t="s">
        <v>948</v>
      </c>
      <c r="T312" s="751">
        <f>SUM(T309:T311)</f>
        <v>0</v>
      </c>
    </row>
    <row r="313" spans="1:22" s="807" customFormat="1" x14ac:dyDescent="0.2">
      <c r="A313" s="811" t="s">
        <v>949</v>
      </c>
      <c r="B313" s="795" t="s">
        <v>919</v>
      </c>
      <c r="C313" s="796"/>
      <c r="D313" s="797"/>
      <c r="E313" s="798"/>
      <c r="F313" s="799"/>
      <c r="G313" s="798"/>
      <c r="H313" s="800"/>
      <c r="I313" s="798"/>
      <c r="J313" s="812">
        <f>SUM(J308:J312)</f>
        <v>77243880.799999997</v>
      </c>
      <c r="K313" s="812">
        <f>SUM(K308:K312)</f>
        <v>0</v>
      </c>
      <c r="L313" s="812">
        <f>SUM(L308:L312)</f>
        <v>0</v>
      </c>
      <c r="M313" s="812">
        <f>SUM(M308:M312)</f>
        <v>0</v>
      </c>
      <c r="N313" s="796"/>
      <c r="O313" s="802"/>
      <c r="P313" s="803"/>
      <c r="Q313" s="804"/>
      <c r="R313" s="805"/>
      <c r="S313" s="806"/>
      <c r="T313" s="806"/>
      <c r="U313" s="806"/>
      <c r="V313" s="806"/>
    </row>
    <row r="314" spans="1:22" x14ac:dyDescent="0.2">
      <c r="A314" s="1321" t="s">
        <v>1050</v>
      </c>
      <c r="B314" s="772" t="s">
        <v>75</v>
      </c>
      <c r="C314" s="773" t="s">
        <v>397</v>
      </c>
      <c r="D314" s="774">
        <v>338200000</v>
      </c>
      <c r="E314" s="775"/>
      <c r="F314" s="776">
        <v>101460000</v>
      </c>
      <c r="G314" s="775">
        <v>62033100</v>
      </c>
      <c r="H314" s="777"/>
      <c r="I314" s="775"/>
      <c r="J314" s="776">
        <f>SUM(F314:I314)</f>
        <v>163493100</v>
      </c>
      <c r="K314" s="776"/>
      <c r="L314" s="779">
        <f>IF(E314="",D314-J314-K314,E314-J314-K314)</f>
        <v>174706900</v>
      </c>
      <c r="M314" s="779">
        <f>K314+L314</f>
        <v>174706900</v>
      </c>
      <c r="N314" s="773" t="s">
        <v>923</v>
      </c>
      <c r="O314" s="780">
        <v>43816</v>
      </c>
      <c r="P314" s="781"/>
      <c r="Q314" s="782"/>
      <c r="R314" s="772"/>
      <c r="S314" s="751" t="s">
        <v>1051</v>
      </c>
    </row>
    <row r="315" spans="1:22" ht="22.5" x14ac:dyDescent="0.2">
      <c r="A315" s="1320"/>
      <c r="B315" s="783" t="s">
        <v>920</v>
      </c>
      <c r="C315" s="860" t="s">
        <v>372</v>
      </c>
      <c r="D315" s="791">
        <v>36800000</v>
      </c>
      <c r="E315" s="866">
        <v>39800000</v>
      </c>
      <c r="F315" s="778">
        <v>11040000</v>
      </c>
      <c r="G315" s="786">
        <v>14720000</v>
      </c>
      <c r="H315" s="787">
        <v>14040000</v>
      </c>
      <c r="I315" s="786"/>
      <c r="J315" s="778">
        <f>SUM(F315:I315)</f>
        <v>39800000</v>
      </c>
      <c r="K315" s="778"/>
      <c r="L315" s="779">
        <f t="shared" ref="L315:L330" si="55">IF(E315="",D315-J315-K315,E315-J315-K315)</f>
        <v>0</v>
      </c>
      <c r="M315" s="779">
        <f t="shared" ref="M315:M330" si="56">K315+L315</f>
        <v>0</v>
      </c>
      <c r="N315" s="784"/>
      <c r="O315" s="788"/>
      <c r="P315" s="789"/>
      <c r="Q315" s="790"/>
      <c r="R315" s="783"/>
      <c r="S315" s="751" t="s">
        <v>1001</v>
      </c>
      <c r="T315" s="751">
        <v>1800000</v>
      </c>
    </row>
    <row r="316" spans="1:22" x14ac:dyDescent="0.2">
      <c r="A316" s="1320"/>
      <c r="B316" s="783" t="s">
        <v>99</v>
      </c>
      <c r="C316" s="784" t="s">
        <v>100</v>
      </c>
      <c r="D316" s="785">
        <v>227447000.00000003</v>
      </c>
      <c r="E316" s="866">
        <v>236456100</v>
      </c>
      <c r="F316" s="778">
        <v>62033100</v>
      </c>
      <c r="G316" s="786">
        <v>90981880</v>
      </c>
      <c r="H316" s="787">
        <v>70668320</v>
      </c>
      <c r="I316" s="786"/>
      <c r="J316" s="778">
        <f>SUM(F316:I316)</f>
        <v>223683300</v>
      </c>
      <c r="K316" s="778"/>
      <c r="L316" s="779">
        <f t="shared" si="55"/>
        <v>12772800</v>
      </c>
      <c r="M316" s="779">
        <f t="shared" si="56"/>
        <v>12772800</v>
      </c>
      <c r="N316" s="784"/>
      <c r="O316" s="788"/>
      <c r="P316" s="789"/>
      <c r="Q316" s="790"/>
      <c r="R316" s="783" t="s">
        <v>943</v>
      </c>
      <c r="S316" s="751" t="s">
        <v>1018</v>
      </c>
      <c r="T316" s="751">
        <v>6210000</v>
      </c>
      <c r="U316" s="751" t="s">
        <v>1052</v>
      </c>
    </row>
    <row r="317" spans="1:22" x14ac:dyDescent="0.2">
      <c r="A317" s="1320"/>
      <c r="B317" s="783" t="s">
        <v>340</v>
      </c>
      <c r="C317" s="784" t="s">
        <v>906</v>
      </c>
      <c r="D317" s="785">
        <v>500000</v>
      </c>
      <c r="E317" s="786"/>
      <c r="F317" s="778">
        <v>500000</v>
      </c>
      <c r="G317" s="786"/>
      <c r="H317" s="787"/>
      <c r="I317" s="786"/>
      <c r="J317" s="778">
        <f t="shared" ref="J317:J328" si="57">SUM(F317:I317)</f>
        <v>500000</v>
      </c>
      <c r="K317" s="778"/>
      <c r="L317" s="779">
        <f t="shared" si="55"/>
        <v>0</v>
      </c>
      <c r="M317" s="779">
        <f t="shared" si="56"/>
        <v>0</v>
      </c>
      <c r="N317" s="784"/>
      <c r="O317" s="788"/>
      <c r="P317" s="789"/>
      <c r="Q317" s="790"/>
      <c r="R317" s="783" t="s">
        <v>943</v>
      </c>
      <c r="S317" s="751" t="s">
        <v>1016</v>
      </c>
      <c r="T317" s="751">
        <v>120000</v>
      </c>
    </row>
    <row r="318" spans="1:22" ht="22.5" x14ac:dyDescent="0.2">
      <c r="A318" s="1320"/>
      <c r="B318" s="865" t="s">
        <v>926</v>
      </c>
      <c r="C318" s="784" t="s">
        <v>104</v>
      </c>
      <c r="D318" s="785">
        <v>2000000</v>
      </c>
      <c r="E318" s="786"/>
      <c r="F318" s="778">
        <v>2000000</v>
      </c>
      <c r="G318" s="786"/>
      <c r="H318" s="787"/>
      <c r="I318" s="786"/>
      <c r="J318" s="778">
        <f t="shared" si="57"/>
        <v>2000000</v>
      </c>
      <c r="K318" s="778"/>
      <c r="L318" s="779">
        <f t="shared" si="55"/>
        <v>0</v>
      </c>
      <c r="M318" s="779">
        <f t="shared" si="56"/>
        <v>0</v>
      </c>
      <c r="N318" s="784"/>
      <c r="O318" s="788"/>
      <c r="P318" s="789"/>
      <c r="Q318" s="790"/>
      <c r="R318" s="783" t="s">
        <v>104</v>
      </c>
    </row>
    <row r="319" spans="1:22" x14ac:dyDescent="0.2">
      <c r="A319" s="1320"/>
      <c r="B319" s="783" t="s">
        <v>246</v>
      </c>
      <c r="C319" s="784" t="s">
        <v>927</v>
      </c>
      <c r="D319" s="785">
        <v>3300000</v>
      </c>
      <c r="E319" s="786"/>
      <c r="F319" s="778"/>
      <c r="G319" s="786"/>
      <c r="H319" s="787"/>
      <c r="I319" s="786"/>
      <c r="J319" s="778">
        <f t="shared" si="57"/>
        <v>0</v>
      </c>
      <c r="K319" s="778"/>
      <c r="L319" s="779">
        <f t="shared" si="55"/>
        <v>3300000</v>
      </c>
      <c r="M319" s="779">
        <f t="shared" si="56"/>
        <v>3300000</v>
      </c>
      <c r="N319" s="784"/>
      <c r="O319" s="788"/>
      <c r="P319" s="789"/>
      <c r="Q319" s="790"/>
      <c r="R319" s="783" t="s">
        <v>943</v>
      </c>
    </row>
    <row r="320" spans="1:22" ht="22.5" x14ac:dyDescent="0.2">
      <c r="A320" s="1320"/>
      <c r="B320" s="783" t="s">
        <v>913</v>
      </c>
      <c r="C320" s="860" t="s">
        <v>879</v>
      </c>
      <c r="D320" s="791">
        <f>J320</f>
        <v>2000000</v>
      </c>
      <c r="E320" s="786"/>
      <c r="F320" s="778">
        <v>2000000</v>
      </c>
      <c r="G320" s="786"/>
      <c r="H320" s="787"/>
      <c r="I320" s="786"/>
      <c r="J320" s="778">
        <f t="shared" si="57"/>
        <v>2000000</v>
      </c>
      <c r="K320" s="778"/>
      <c r="L320" s="779">
        <f t="shared" si="55"/>
        <v>0</v>
      </c>
      <c r="M320" s="779">
        <f t="shared" si="56"/>
        <v>0</v>
      </c>
      <c r="N320" s="784"/>
      <c r="O320" s="788"/>
      <c r="P320" s="789"/>
      <c r="Q320" s="790"/>
      <c r="R320" s="783"/>
    </row>
    <row r="321" spans="1:22" ht="22.5" x14ac:dyDescent="0.2">
      <c r="A321" s="1320"/>
      <c r="B321" s="783" t="s">
        <v>257</v>
      </c>
      <c r="C321" s="860" t="s">
        <v>879</v>
      </c>
      <c r="D321" s="791">
        <f>J321</f>
        <v>3000000</v>
      </c>
      <c r="E321" s="786"/>
      <c r="F321" s="778">
        <v>3000000</v>
      </c>
      <c r="G321" s="786"/>
      <c r="H321" s="787"/>
      <c r="I321" s="786"/>
      <c r="J321" s="778">
        <f t="shared" si="57"/>
        <v>3000000</v>
      </c>
      <c r="K321" s="778"/>
      <c r="L321" s="779">
        <f t="shared" si="55"/>
        <v>0</v>
      </c>
      <c r="M321" s="779">
        <f t="shared" si="56"/>
        <v>0</v>
      </c>
      <c r="N321" s="784"/>
      <c r="O321" s="788"/>
      <c r="P321" s="789"/>
      <c r="Q321" s="790"/>
      <c r="R321" s="783"/>
    </row>
    <row r="322" spans="1:22" x14ac:dyDescent="0.2">
      <c r="A322" s="1320"/>
      <c r="B322" s="783" t="s">
        <v>175</v>
      </c>
      <c r="C322" s="784" t="s">
        <v>416</v>
      </c>
      <c r="D322" s="785">
        <v>1100000</v>
      </c>
      <c r="E322" s="786">
        <v>1100000</v>
      </c>
      <c r="F322" s="778">
        <v>1100000</v>
      </c>
      <c r="G322" s="786"/>
      <c r="H322" s="787"/>
      <c r="I322" s="786"/>
      <c r="J322" s="778">
        <f t="shared" si="57"/>
        <v>1100000</v>
      </c>
      <c r="K322" s="778"/>
      <c r="L322" s="779">
        <f t="shared" si="55"/>
        <v>0</v>
      </c>
      <c r="M322" s="779">
        <f t="shared" si="56"/>
        <v>0</v>
      </c>
      <c r="N322" s="784"/>
      <c r="O322" s="788"/>
      <c r="P322" s="789"/>
      <c r="Q322" s="790"/>
      <c r="R322" s="783" t="s">
        <v>943</v>
      </c>
    </row>
    <row r="323" spans="1:22" x14ac:dyDescent="0.2">
      <c r="A323" s="1320"/>
      <c r="B323" s="783" t="s">
        <v>929</v>
      </c>
      <c r="C323" s="784" t="s">
        <v>930</v>
      </c>
      <c r="D323" s="791">
        <f>J323</f>
        <v>843000</v>
      </c>
      <c r="E323" s="786"/>
      <c r="F323" s="778">
        <v>843000</v>
      </c>
      <c r="G323" s="786"/>
      <c r="H323" s="787"/>
      <c r="I323" s="786"/>
      <c r="J323" s="778">
        <f t="shared" si="57"/>
        <v>843000</v>
      </c>
      <c r="K323" s="778"/>
      <c r="L323" s="779">
        <f t="shared" si="55"/>
        <v>0</v>
      </c>
      <c r="M323" s="779">
        <f t="shared" si="56"/>
        <v>0</v>
      </c>
      <c r="N323" s="784"/>
      <c r="O323" s="788"/>
      <c r="P323" s="789"/>
      <c r="Q323" s="790"/>
      <c r="R323" s="783"/>
    </row>
    <row r="324" spans="1:22" x14ac:dyDescent="0.2">
      <c r="A324" s="1320"/>
      <c r="B324" s="783" t="s">
        <v>246</v>
      </c>
      <c r="C324" s="784" t="s">
        <v>927</v>
      </c>
      <c r="D324" s="785">
        <v>3300000</v>
      </c>
      <c r="E324" s="786"/>
      <c r="F324" s="778">
        <v>3300000</v>
      </c>
      <c r="G324" s="786"/>
      <c r="H324" s="787"/>
      <c r="I324" s="786"/>
      <c r="J324" s="778">
        <f t="shared" si="57"/>
        <v>3300000</v>
      </c>
      <c r="K324" s="778"/>
      <c r="L324" s="779">
        <f t="shared" si="55"/>
        <v>0</v>
      </c>
      <c r="M324" s="779">
        <f t="shared" si="56"/>
        <v>0</v>
      </c>
      <c r="N324" s="784"/>
      <c r="O324" s="788"/>
      <c r="P324" s="789"/>
      <c r="Q324" s="790"/>
      <c r="R324" s="783" t="s">
        <v>943</v>
      </c>
    </row>
    <row r="325" spans="1:22" x14ac:dyDescent="0.2">
      <c r="A325" s="1320"/>
      <c r="B325" s="783" t="s">
        <v>932</v>
      </c>
      <c r="C325" s="784" t="s">
        <v>341</v>
      </c>
      <c r="D325" s="785">
        <v>4160000</v>
      </c>
      <c r="E325" s="786">
        <v>4760000</v>
      </c>
      <c r="F325" s="778">
        <v>2160000</v>
      </c>
      <c r="G325" s="786">
        <v>2600000</v>
      </c>
      <c r="H325" s="787"/>
      <c r="I325" s="786"/>
      <c r="J325" s="778">
        <f t="shared" si="57"/>
        <v>4760000</v>
      </c>
      <c r="K325" s="778"/>
      <c r="L325" s="779">
        <f t="shared" si="55"/>
        <v>0</v>
      </c>
      <c r="M325" s="779">
        <f t="shared" si="56"/>
        <v>0</v>
      </c>
      <c r="N325" s="784"/>
      <c r="O325" s="788"/>
      <c r="P325" s="789"/>
      <c r="Q325" s="790"/>
      <c r="R325" s="783" t="s">
        <v>341</v>
      </c>
    </row>
    <row r="326" spans="1:22" x14ac:dyDescent="0.2">
      <c r="A326" s="1320"/>
      <c r="B326" s="783" t="s">
        <v>394</v>
      </c>
      <c r="C326" s="784" t="s">
        <v>909</v>
      </c>
      <c r="D326" s="785">
        <v>1200000</v>
      </c>
      <c r="E326" s="786"/>
      <c r="F326" s="778">
        <v>1200000</v>
      </c>
      <c r="G326" s="786"/>
      <c r="H326" s="787"/>
      <c r="I326" s="786"/>
      <c r="J326" s="778">
        <f t="shared" si="57"/>
        <v>1200000</v>
      </c>
      <c r="K326" s="778"/>
      <c r="L326" s="779">
        <f t="shared" si="55"/>
        <v>0</v>
      </c>
      <c r="M326" s="779">
        <f t="shared" si="56"/>
        <v>0</v>
      </c>
      <c r="N326" s="784"/>
      <c r="O326" s="788"/>
      <c r="P326" s="789"/>
      <c r="Q326" s="790"/>
      <c r="R326" s="783" t="s">
        <v>909</v>
      </c>
    </row>
    <row r="327" spans="1:22" x14ac:dyDescent="0.2">
      <c r="A327" s="1320"/>
      <c r="B327" s="783" t="s">
        <v>346</v>
      </c>
      <c r="C327" s="784" t="s">
        <v>915</v>
      </c>
      <c r="D327" s="791">
        <v>18544240</v>
      </c>
      <c r="E327" s="786"/>
      <c r="F327" s="778">
        <v>9272120</v>
      </c>
      <c r="G327" s="786">
        <v>9272120</v>
      </c>
      <c r="H327" s="787"/>
      <c r="I327" s="786"/>
      <c r="J327" s="778">
        <f t="shared" si="57"/>
        <v>18544240</v>
      </c>
      <c r="K327" s="778"/>
      <c r="L327" s="779">
        <f t="shared" si="55"/>
        <v>0</v>
      </c>
      <c r="M327" s="779">
        <f t="shared" si="56"/>
        <v>0</v>
      </c>
      <c r="N327" s="784"/>
      <c r="O327" s="788"/>
      <c r="P327" s="789"/>
      <c r="Q327" s="790"/>
      <c r="R327" s="783"/>
    </row>
    <row r="328" spans="1:22" x14ac:dyDescent="0.2">
      <c r="A328" s="1320"/>
      <c r="B328" s="783" t="s">
        <v>257</v>
      </c>
      <c r="C328" s="784" t="s">
        <v>727</v>
      </c>
      <c r="D328" s="791">
        <f>J328</f>
        <v>3764000</v>
      </c>
      <c r="E328" s="786"/>
      <c r="F328" s="778">
        <v>3764000</v>
      </c>
      <c r="G328" s="786"/>
      <c r="H328" s="787"/>
      <c r="I328" s="786"/>
      <c r="J328" s="778">
        <f t="shared" si="57"/>
        <v>3764000</v>
      </c>
      <c r="K328" s="778"/>
      <c r="L328" s="779">
        <f t="shared" si="55"/>
        <v>0</v>
      </c>
      <c r="M328" s="779">
        <f t="shared" si="56"/>
        <v>0</v>
      </c>
      <c r="N328" s="784"/>
      <c r="O328" s="788"/>
      <c r="P328" s="789"/>
      <c r="Q328" s="790"/>
      <c r="R328" s="783"/>
    </row>
    <row r="329" spans="1:22" ht="22.5" x14ac:dyDescent="0.2">
      <c r="A329" s="1320"/>
      <c r="B329" s="863" t="s">
        <v>1053</v>
      </c>
      <c r="C329" s="784"/>
      <c r="D329" s="791">
        <v>1127641</v>
      </c>
      <c r="E329" s="786"/>
      <c r="F329" s="778">
        <v>1127641</v>
      </c>
      <c r="G329" s="786"/>
      <c r="H329" s="787"/>
      <c r="I329" s="786"/>
      <c r="J329" s="778"/>
      <c r="K329" s="778"/>
      <c r="L329" s="779"/>
      <c r="M329" s="779"/>
      <c r="N329" s="784"/>
      <c r="O329" s="788"/>
      <c r="P329" s="789"/>
      <c r="Q329" s="790"/>
      <c r="R329" s="783"/>
    </row>
    <row r="330" spans="1:22" x14ac:dyDescent="0.2">
      <c r="A330" s="1320"/>
      <c r="B330" s="783" t="s">
        <v>947</v>
      </c>
      <c r="C330" s="784"/>
      <c r="D330" s="785"/>
      <c r="E330" s="786"/>
      <c r="F330" s="778">
        <f>T330</f>
        <v>8130000</v>
      </c>
      <c r="G330" s="786"/>
      <c r="H330" s="787"/>
      <c r="I330" s="786"/>
      <c r="J330" s="778">
        <f>SUM(F330:I330)</f>
        <v>8130000</v>
      </c>
      <c r="K330" s="778"/>
      <c r="L330" s="779">
        <f t="shared" si="55"/>
        <v>-8130000</v>
      </c>
      <c r="M330" s="779">
        <f t="shared" si="56"/>
        <v>-8130000</v>
      </c>
      <c r="N330" s="784"/>
      <c r="O330" s="788"/>
      <c r="P330" s="789"/>
      <c r="Q330" s="790"/>
      <c r="R330" s="783"/>
      <c r="S330" s="751" t="s">
        <v>948</v>
      </c>
      <c r="T330" s="751">
        <f>SUM(T315:T328)</f>
        <v>8130000</v>
      </c>
    </row>
    <row r="331" spans="1:22" s="807" customFormat="1" x14ac:dyDescent="0.2">
      <c r="A331" s="811" t="s">
        <v>997</v>
      </c>
      <c r="B331" s="795" t="s">
        <v>922</v>
      </c>
      <c r="C331" s="796"/>
      <c r="D331" s="797"/>
      <c r="E331" s="798"/>
      <c r="F331" s="799"/>
      <c r="G331" s="798"/>
      <c r="H331" s="800"/>
      <c r="I331" s="798"/>
      <c r="J331" s="812">
        <f>SUM(J314:J330)</f>
        <v>476117640</v>
      </c>
      <c r="K331" s="812">
        <f>SUM(K314:K330)</f>
        <v>0</v>
      </c>
      <c r="L331" s="812">
        <f>SUM(L314:L330)</f>
        <v>182649700</v>
      </c>
      <c r="M331" s="812">
        <f>SUM(M314:M330)</f>
        <v>182649700</v>
      </c>
      <c r="N331" s="796"/>
      <c r="O331" s="802"/>
      <c r="P331" s="803"/>
      <c r="Q331" s="804"/>
      <c r="R331" s="804"/>
      <c r="S331" s="806"/>
      <c r="T331" s="806"/>
      <c r="U331" s="806"/>
      <c r="V331" s="806"/>
    </row>
    <row r="332" spans="1:22" x14ac:dyDescent="0.2">
      <c r="A332" s="1321" t="s">
        <v>1054</v>
      </c>
      <c r="B332" s="783" t="s">
        <v>56</v>
      </c>
      <c r="C332" s="810" t="s">
        <v>57</v>
      </c>
      <c r="D332" s="785">
        <f>15644560+670000</f>
        <v>16314560</v>
      </c>
      <c r="E332" s="786"/>
      <c r="F332" s="825">
        <v>15644560</v>
      </c>
      <c r="G332" s="776">
        <v>670000</v>
      </c>
      <c r="H332" s="787"/>
      <c r="I332" s="786"/>
      <c r="J332" s="778">
        <f t="shared" ref="J332:J337" si="58">SUM(F332:I332)</f>
        <v>16314560</v>
      </c>
      <c r="K332" s="778"/>
      <c r="L332" s="779">
        <f t="shared" ref="L332:L338" si="59">IF(E332="",D332-J332-K332,E332-J332-K332)</f>
        <v>0</v>
      </c>
      <c r="M332" s="779">
        <f t="shared" ref="M332:M338" si="60">K332+L332</f>
        <v>0</v>
      </c>
      <c r="N332" s="784"/>
      <c r="O332" s="788"/>
      <c r="P332" s="789"/>
      <c r="Q332" s="790"/>
      <c r="R332" s="783"/>
      <c r="S332" s="751" t="s">
        <v>1055</v>
      </c>
    </row>
    <row r="333" spans="1:22" x14ac:dyDescent="0.2">
      <c r="A333" s="1320"/>
      <c r="B333" s="783" t="s">
        <v>1056</v>
      </c>
      <c r="C333" s="810" t="s">
        <v>864</v>
      </c>
      <c r="D333" s="785">
        <v>14958000</v>
      </c>
      <c r="E333" s="786"/>
      <c r="F333" s="826">
        <v>14958000</v>
      </c>
      <c r="G333" s="778"/>
      <c r="H333" s="787"/>
      <c r="I333" s="786"/>
      <c r="J333" s="778">
        <f t="shared" si="58"/>
        <v>14958000</v>
      </c>
      <c r="K333" s="778"/>
      <c r="L333" s="779">
        <f t="shared" si="59"/>
        <v>0</v>
      </c>
      <c r="M333" s="779">
        <f t="shared" si="60"/>
        <v>0</v>
      </c>
      <c r="N333" s="784"/>
      <c r="O333" s="788"/>
      <c r="P333" s="789"/>
      <c r="Q333" s="790"/>
      <c r="R333" s="783"/>
      <c r="S333" s="751" t="s">
        <v>961</v>
      </c>
      <c r="T333" s="751">
        <v>1120000</v>
      </c>
    </row>
    <row r="334" spans="1:22" x14ac:dyDescent="0.2">
      <c r="A334" s="1320"/>
      <c r="B334" s="783" t="s">
        <v>1057</v>
      </c>
      <c r="C334" s="784" t="s">
        <v>315</v>
      </c>
      <c r="D334" s="785">
        <v>14539120</v>
      </c>
      <c r="E334" s="786"/>
      <c r="F334" s="826">
        <v>14539120</v>
      </c>
      <c r="G334" s="778"/>
      <c r="H334" s="787"/>
      <c r="I334" s="786"/>
      <c r="J334" s="778">
        <f t="shared" si="58"/>
        <v>14539120</v>
      </c>
      <c r="K334" s="778"/>
      <c r="L334" s="779">
        <f t="shared" si="59"/>
        <v>0</v>
      </c>
      <c r="M334" s="779">
        <f t="shared" si="60"/>
        <v>0</v>
      </c>
      <c r="N334" s="784"/>
      <c r="O334" s="788"/>
      <c r="P334" s="789"/>
      <c r="Q334" s="790"/>
      <c r="R334" s="783"/>
      <c r="S334" s="751" t="s">
        <v>944</v>
      </c>
      <c r="T334" s="751">
        <v>640000</v>
      </c>
    </row>
    <row r="335" spans="1:22" x14ac:dyDescent="0.2">
      <c r="A335" s="1320"/>
      <c r="B335" s="783" t="s">
        <v>1058</v>
      </c>
      <c r="C335" s="784" t="s">
        <v>1012</v>
      </c>
      <c r="D335" s="785">
        <v>2580000</v>
      </c>
      <c r="E335" s="786"/>
      <c r="F335" s="826">
        <v>2580000</v>
      </c>
      <c r="G335" s="778"/>
      <c r="H335" s="787"/>
      <c r="I335" s="786"/>
      <c r="J335" s="778">
        <f t="shared" si="58"/>
        <v>2580000</v>
      </c>
      <c r="K335" s="778"/>
      <c r="L335" s="779">
        <f t="shared" si="59"/>
        <v>0</v>
      </c>
      <c r="M335" s="779">
        <f t="shared" si="60"/>
        <v>0</v>
      </c>
      <c r="N335" s="784"/>
      <c r="O335" s="788"/>
      <c r="P335" s="789"/>
      <c r="Q335" s="790"/>
      <c r="R335" s="783"/>
      <c r="S335" s="751" t="s">
        <v>963</v>
      </c>
      <c r="T335" s="751">
        <v>500000</v>
      </c>
    </row>
    <row r="336" spans="1:22" x14ac:dyDescent="0.2">
      <c r="A336" s="1320"/>
      <c r="B336" s="783" t="s">
        <v>1059</v>
      </c>
      <c r="C336" s="784" t="s">
        <v>173</v>
      </c>
      <c r="D336" s="785">
        <v>5130000</v>
      </c>
      <c r="E336" s="786"/>
      <c r="F336" s="826">
        <v>5130000</v>
      </c>
      <c r="G336" s="778"/>
      <c r="H336" s="787"/>
      <c r="I336" s="786"/>
      <c r="J336" s="778">
        <f t="shared" si="58"/>
        <v>5130000</v>
      </c>
      <c r="K336" s="778"/>
      <c r="L336" s="779">
        <f t="shared" si="59"/>
        <v>0</v>
      </c>
      <c r="M336" s="779">
        <f t="shared" si="60"/>
        <v>0</v>
      </c>
      <c r="N336" s="784"/>
      <c r="O336" s="788"/>
      <c r="P336" s="789"/>
      <c r="Q336" s="790"/>
      <c r="R336" s="783"/>
    </row>
    <row r="337" spans="1:22" x14ac:dyDescent="0.2">
      <c r="A337" s="1320"/>
      <c r="B337" s="783" t="s">
        <v>99</v>
      </c>
      <c r="C337" s="810" t="s">
        <v>1060</v>
      </c>
      <c r="D337" s="785">
        <v>22800000</v>
      </c>
      <c r="E337" s="786"/>
      <c r="F337" s="826">
        <v>22800000</v>
      </c>
      <c r="G337" s="778"/>
      <c r="H337" s="787"/>
      <c r="I337" s="786"/>
      <c r="J337" s="778">
        <f t="shared" si="58"/>
        <v>22800000</v>
      </c>
      <c r="K337" s="778"/>
      <c r="L337" s="779">
        <f t="shared" si="59"/>
        <v>0</v>
      </c>
      <c r="M337" s="779">
        <f t="shared" si="60"/>
        <v>0</v>
      </c>
      <c r="N337" s="784"/>
      <c r="O337" s="788"/>
      <c r="P337" s="789"/>
      <c r="Q337" s="790"/>
      <c r="R337" s="783"/>
    </row>
    <row r="338" spans="1:22" x14ac:dyDescent="0.2">
      <c r="A338" s="1320"/>
      <c r="B338" s="783" t="s">
        <v>947</v>
      </c>
      <c r="C338" s="784"/>
      <c r="D338" s="785"/>
      <c r="E338" s="786"/>
      <c r="F338" s="778">
        <f>T338</f>
        <v>2260000</v>
      </c>
      <c r="G338" s="778"/>
      <c r="H338" s="787"/>
      <c r="I338" s="786"/>
      <c r="J338" s="778">
        <f>SUM(F338:I338)</f>
        <v>2260000</v>
      </c>
      <c r="K338" s="778"/>
      <c r="L338" s="779">
        <f t="shared" si="59"/>
        <v>-2260000</v>
      </c>
      <c r="M338" s="779">
        <f t="shared" si="60"/>
        <v>-2260000</v>
      </c>
      <c r="N338" s="784"/>
      <c r="O338" s="788"/>
      <c r="P338" s="789"/>
      <c r="Q338" s="790"/>
      <c r="R338" s="783"/>
      <c r="S338" s="751" t="s">
        <v>948</v>
      </c>
      <c r="T338" s="751">
        <f>SUM(T333:T337)</f>
        <v>2260000</v>
      </c>
    </row>
    <row r="339" spans="1:22" s="807" customFormat="1" x14ac:dyDescent="0.2">
      <c r="A339" s="811" t="s">
        <v>997</v>
      </c>
      <c r="B339" s="795" t="s">
        <v>1061</v>
      </c>
      <c r="C339" s="796"/>
      <c r="D339" s="797"/>
      <c r="E339" s="798"/>
      <c r="F339" s="827"/>
      <c r="G339" s="799"/>
      <c r="H339" s="800"/>
      <c r="I339" s="798"/>
      <c r="J339" s="812">
        <f>SUM(J332:J338)</f>
        <v>78581680</v>
      </c>
      <c r="K339" s="812">
        <f>SUM(K332:K338)</f>
        <v>0</v>
      </c>
      <c r="L339" s="812">
        <f>SUM(L332:L338)</f>
        <v>-2260000</v>
      </c>
      <c r="M339" s="812">
        <f>SUM(M332:M338)</f>
        <v>-2260000</v>
      </c>
      <c r="N339" s="796"/>
      <c r="O339" s="802"/>
      <c r="P339" s="803"/>
      <c r="Q339" s="804"/>
      <c r="R339" s="804"/>
      <c r="S339" s="806"/>
      <c r="T339" s="806"/>
      <c r="U339" s="806"/>
      <c r="V339" s="806"/>
    </row>
    <row r="340" spans="1:22" x14ac:dyDescent="0.2">
      <c r="A340" s="1318" t="s">
        <v>576</v>
      </c>
      <c r="B340" s="828" t="s">
        <v>1062</v>
      </c>
      <c r="C340" s="829">
        <v>126</v>
      </c>
      <c r="D340" s="830">
        <v>22539100</v>
      </c>
      <c r="E340" s="825"/>
      <c r="F340" s="825">
        <v>9431000</v>
      </c>
      <c r="G340" s="776">
        <v>13108100</v>
      </c>
      <c r="H340" s="831"/>
      <c r="I340" s="825"/>
      <c r="J340" s="778">
        <f>SUM(F340:I340)</f>
        <v>22539100</v>
      </c>
      <c r="K340" s="778"/>
      <c r="L340" s="779">
        <f>IF(E340="",D340-J340-K340,E340-J340-K340)</f>
        <v>0</v>
      </c>
      <c r="M340" s="779">
        <f>K340+L340</f>
        <v>0</v>
      </c>
      <c r="N340" s="772"/>
      <c r="O340" s="832"/>
      <c r="P340" s="825"/>
      <c r="Q340" s="772"/>
      <c r="R340" s="772"/>
    </row>
    <row r="341" spans="1:22" ht="15" customHeight="1" x14ac:dyDescent="0.2">
      <c r="A341" s="1319"/>
      <c r="B341" s="833" t="s">
        <v>1063</v>
      </c>
      <c r="C341" s="834"/>
      <c r="D341" s="830">
        <v>559000</v>
      </c>
      <c r="E341" s="826"/>
      <c r="F341" s="826">
        <v>559000</v>
      </c>
      <c r="G341" s="778"/>
      <c r="H341" s="835"/>
      <c r="I341" s="826"/>
      <c r="J341" s="778">
        <f>SUM(F341:I341)</f>
        <v>559000</v>
      </c>
      <c r="K341" s="778"/>
      <c r="L341" s="779">
        <f>IF(E341="",D341-J341-K341,E341-J341-K341)</f>
        <v>0</v>
      </c>
      <c r="M341" s="779">
        <f>K341+L341</f>
        <v>0</v>
      </c>
      <c r="N341" s="783"/>
      <c r="O341" s="836"/>
      <c r="P341" s="826"/>
      <c r="Q341" s="783"/>
      <c r="R341" s="783"/>
    </row>
    <row r="342" spans="1:22" ht="33.75" x14ac:dyDescent="0.2">
      <c r="A342" s="1319" t="s">
        <v>576</v>
      </c>
      <c r="B342" s="864" t="s">
        <v>1064</v>
      </c>
      <c r="C342" s="834"/>
      <c r="D342" s="837">
        <v>25315000</v>
      </c>
      <c r="E342" s="826"/>
      <c r="F342" s="837">
        <v>25315000</v>
      </c>
      <c r="G342" s="778"/>
      <c r="H342" s="835"/>
      <c r="I342" s="826"/>
      <c r="J342" s="778">
        <f>SUM(F342:I342)</f>
        <v>25315000</v>
      </c>
      <c r="K342" s="778"/>
      <c r="L342" s="779">
        <f>IF(E342="",D342-J342-K342,E342-J342-K342)</f>
        <v>0</v>
      </c>
      <c r="M342" s="779">
        <f>K342+L342</f>
        <v>0</v>
      </c>
      <c r="N342" s="783"/>
      <c r="O342" s="836"/>
      <c r="P342" s="826"/>
      <c r="Q342" s="783"/>
      <c r="R342" s="783"/>
    </row>
    <row r="343" spans="1:22" ht="22.5" x14ac:dyDescent="0.2">
      <c r="A343" s="1319"/>
      <c r="B343" s="833" t="s">
        <v>947</v>
      </c>
      <c r="C343" s="865" t="s">
        <v>1066</v>
      </c>
      <c r="E343" s="826"/>
      <c r="F343" s="826">
        <f>T343</f>
        <v>183451000</v>
      </c>
      <c r="G343" s="778"/>
      <c r="H343" s="835"/>
      <c r="I343" s="826"/>
      <c r="J343" s="778">
        <f>SUM(F343:I343)</f>
        <v>183451000</v>
      </c>
      <c r="K343" s="778"/>
      <c r="L343" s="779">
        <f>IF(E343="",D343-J343-K343,E343-J343-K343)</f>
        <v>-183451000</v>
      </c>
      <c r="M343" s="779">
        <f>K343+L343</f>
        <v>-183451000</v>
      </c>
      <c r="N343" s="783"/>
      <c r="O343" s="836"/>
      <c r="P343" s="826"/>
      <c r="Q343" s="783"/>
      <c r="R343" s="783"/>
      <c r="S343" s="751" t="s">
        <v>948</v>
      </c>
      <c r="T343" s="751">
        <v>183451000</v>
      </c>
    </row>
    <row r="344" spans="1:22" ht="11.25" hidden="1" customHeight="1" x14ac:dyDescent="0.2">
      <c r="A344" s="859"/>
      <c r="B344" s="833"/>
      <c r="C344" s="783"/>
      <c r="E344" s="826"/>
      <c r="F344" s="826">
        <f>T344</f>
        <v>0</v>
      </c>
      <c r="G344" s="778"/>
      <c r="H344" s="835"/>
      <c r="I344" s="826"/>
      <c r="J344" s="778">
        <f>SUM(F344:I344)</f>
        <v>0</v>
      </c>
      <c r="K344" s="778"/>
      <c r="L344" s="779">
        <f>IF(E344="",D344-J344-K344,E344-J344-K344)</f>
        <v>0</v>
      </c>
      <c r="M344" s="779">
        <f>K344+L344</f>
        <v>0</v>
      </c>
      <c r="N344" s="783"/>
      <c r="O344" s="836"/>
      <c r="P344" s="826"/>
      <c r="Q344" s="783"/>
      <c r="R344" s="783"/>
    </row>
    <row r="345" spans="1:22" s="807" customFormat="1" x14ac:dyDescent="0.2">
      <c r="A345" s="794" t="s">
        <v>997</v>
      </c>
      <c r="B345" s="838" t="s">
        <v>1067</v>
      </c>
      <c r="C345" s="805"/>
      <c r="D345" s="839"/>
      <c r="E345" s="827"/>
      <c r="F345" s="827"/>
      <c r="G345" s="799"/>
      <c r="H345" s="840"/>
      <c r="I345" s="827"/>
      <c r="J345" s="841">
        <f>SUM(J340:J344)</f>
        <v>231864100</v>
      </c>
      <c r="K345" s="841">
        <f>SUM(K340:K344)</f>
        <v>0</v>
      </c>
      <c r="L345" s="841">
        <f>SUM(L340:L344)</f>
        <v>-183451000</v>
      </c>
      <c r="M345" s="841">
        <f>SUM(M340:M344)</f>
        <v>-183451000</v>
      </c>
      <c r="N345" s="805"/>
      <c r="O345" s="842"/>
      <c r="P345" s="827"/>
      <c r="Q345" s="805"/>
      <c r="R345" s="805"/>
      <c r="S345" s="806"/>
      <c r="T345" s="806"/>
      <c r="U345" s="806"/>
      <c r="V345" s="806"/>
    </row>
    <row r="346" spans="1:22" x14ac:dyDescent="0.2">
      <c r="A346" s="1321" t="s">
        <v>1068</v>
      </c>
      <c r="B346" s="783" t="s">
        <v>1069</v>
      </c>
      <c r="C346" s="810" t="s">
        <v>1070</v>
      </c>
      <c r="D346" s="785">
        <v>2000000</v>
      </c>
      <c r="E346" s="786"/>
      <c r="F346" s="825">
        <v>2000000</v>
      </c>
      <c r="G346" s="776"/>
      <c r="H346" s="787"/>
      <c r="I346" s="786"/>
      <c r="J346" s="778">
        <f t="shared" ref="J346:J358" si="61">SUM(F346:I346)</f>
        <v>2000000</v>
      </c>
      <c r="K346" s="778"/>
      <c r="L346" s="779">
        <f t="shared" ref="L346:L358" si="62">IF(E346="",D346-J346-K346,E346-J346-K346)</f>
        <v>0</v>
      </c>
      <c r="M346" s="779">
        <f t="shared" ref="M346:M358" si="63">K346+L346</f>
        <v>0</v>
      </c>
      <c r="N346" s="784"/>
      <c r="O346" s="788"/>
      <c r="P346" s="789"/>
      <c r="Q346" s="790"/>
      <c r="S346" s="751" t="s">
        <v>1071</v>
      </c>
      <c r="T346" s="751">
        <v>800000</v>
      </c>
    </row>
    <row r="347" spans="1:22" ht="21" customHeight="1" x14ac:dyDescent="0.2">
      <c r="A347" s="1320"/>
      <c r="B347" s="865" t="s">
        <v>1072</v>
      </c>
      <c r="C347" s="784" t="s">
        <v>1073</v>
      </c>
      <c r="D347" s="785">
        <v>5000000</v>
      </c>
      <c r="E347" s="786"/>
      <c r="F347" s="826">
        <v>5000000</v>
      </c>
      <c r="G347" s="778"/>
      <c r="H347" s="787"/>
      <c r="I347" s="786"/>
      <c r="J347" s="778">
        <f t="shared" si="61"/>
        <v>5000000</v>
      </c>
      <c r="K347" s="778"/>
      <c r="L347" s="779">
        <f t="shared" si="62"/>
        <v>0</v>
      </c>
      <c r="M347" s="779">
        <f t="shared" si="63"/>
        <v>0</v>
      </c>
      <c r="N347" s="784"/>
      <c r="O347" s="788"/>
      <c r="P347" s="789"/>
      <c r="Q347" s="790"/>
      <c r="S347" s="751" t="s">
        <v>1074</v>
      </c>
      <c r="T347" s="751">
        <v>1620000</v>
      </c>
    </row>
    <row r="348" spans="1:22" ht="23.25" customHeight="1" x14ac:dyDescent="0.2">
      <c r="A348" s="1320"/>
      <c r="B348" s="783" t="s">
        <v>175</v>
      </c>
      <c r="C348" s="867" t="s">
        <v>1075</v>
      </c>
      <c r="D348" s="785">
        <v>1100000</v>
      </c>
      <c r="E348" s="786"/>
      <c r="F348" s="785">
        <v>1100000</v>
      </c>
      <c r="G348" s="778"/>
      <c r="H348" s="787"/>
      <c r="I348" s="786"/>
      <c r="J348" s="778">
        <f t="shared" si="61"/>
        <v>1100000</v>
      </c>
      <c r="K348" s="778"/>
      <c r="L348" s="779">
        <f t="shared" si="62"/>
        <v>0</v>
      </c>
      <c r="M348" s="779">
        <f t="shared" si="63"/>
        <v>0</v>
      </c>
      <c r="N348" s="784"/>
      <c r="O348" s="788"/>
      <c r="P348" s="789"/>
      <c r="Q348" s="790"/>
    </row>
    <row r="349" spans="1:22" ht="23.25" customHeight="1" x14ac:dyDescent="0.2">
      <c r="A349" s="1320"/>
      <c r="B349" s="783" t="s">
        <v>823</v>
      </c>
      <c r="C349" s="867" t="s">
        <v>1075</v>
      </c>
      <c r="D349" s="785">
        <v>1584000</v>
      </c>
      <c r="E349" s="786"/>
      <c r="F349" s="843">
        <v>1584000</v>
      </c>
      <c r="G349" s="778"/>
      <c r="H349" s="787"/>
      <c r="I349" s="786"/>
      <c r="J349" s="778">
        <f t="shared" si="61"/>
        <v>1584000</v>
      </c>
      <c r="K349" s="778"/>
      <c r="L349" s="779">
        <f t="shared" si="62"/>
        <v>0</v>
      </c>
      <c r="M349" s="779">
        <f t="shared" si="63"/>
        <v>0</v>
      </c>
      <c r="N349" s="784"/>
      <c r="O349" s="788"/>
      <c r="P349" s="789"/>
      <c r="Q349" s="790"/>
    </row>
    <row r="350" spans="1:22" x14ac:dyDescent="0.2">
      <c r="A350" s="1320"/>
      <c r="B350" s="783" t="s">
        <v>1078</v>
      </c>
      <c r="C350" s="784" t="s">
        <v>1079</v>
      </c>
      <c r="D350" s="785">
        <v>230853099</v>
      </c>
      <c r="E350" s="786"/>
      <c r="F350" s="843">
        <v>69255929</v>
      </c>
      <c r="G350" s="778">
        <v>35783000</v>
      </c>
      <c r="H350" s="787"/>
      <c r="I350" s="786"/>
      <c r="J350" s="778">
        <f t="shared" si="61"/>
        <v>105038929</v>
      </c>
      <c r="K350" s="778"/>
      <c r="L350" s="779">
        <f t="shared" si="62"/>
        <v>125814170</v>
      </c>
      <c r="M350" s="779">
        <f t="shared" si="63"/>
        <v>125814170</v>
      </c>
      <c r="N350" s="784"/>
      <c r="O350" s="788"/>
      <c r="P350" s="789"/>
      <c r="Q350" s="790"/>
    </row>
    <row r="351" spans="1:22" x14ac:dyDescent="0.2">
      <c r="A351" s="1320"/>
      <c r="B351" s="783" t="s">
        <v>1080</v>
      </c>
      <c r="C351" s="784" t="s">
        <v>1081</v>
      </c>
      <c r="D351" s="785">
        <f>3490000+4660000</f>
        <v>8150000</v>
      </c>
      <c r="E351" s="786"/>
      <c r="F351" s="843">
        <v>3490000</v>
      </c>
      <c r="G351" s="778">
        <v>4660000</v>
      </c>
      <c r="H351" s="787"/>
      <c r="I351" s="786"/>
      <c r="J351" s="778">
        <f t="shared" si="61"/>
        <v>8150000</v>
      </c>
      <c r="K351" s="778"/>
      <c r="L351" s="779">
        <f t="shared" si="62"/>
        <v>0</v>
      </c>
      <c r="M351" s="779">
        <f t="shared" si="63"/>
        <v>0</v>
      </c>
      <c r="N351" s="784"/>
      <c r="O351" s="788"/>
      <c r="P351" s="789"/>
      <c r="Q351" s="790"/>
    </row>
    <row r="352" spans="1:22" x14ac:dyDescent="0.2">
      <c r="A352" s="1320"/>
      <c r="B352" s="783" t="s">
        <v>1082</v>
      </c>
      <c r="C352" s="784" t="s">
        <v>1083</v>
      </c>
      <c r="D352" s="791">
        <v>7200000</v>
      </c>
      <c r="E352" s="786"/>
      <c r="F352" s="843">
        <v>7200000</v>
      </c>
      <c r="G352" s="778"/>
      <c r="H352" s="787"/>
      <c r="I352" s="786"/>
      <c r="J352" s="778">
        <f t="shared" si="61"/>
        <v>7200000</v>
      </c>
      <c r="K352" s="778"/>
      <c r="L352" s="779">
        <f t="shared" si="62"/>
        <v>0</v>
      </c>
      <c r="M352" s="779">
        <f t="shared" si="63"/>
        <v>0</v>
      </c>
      <c r="N352" s="784"/>
      <c r="O352" s="788"/>
      <c r="P352" s="789"/>
      <c r="Q352" s="790"/>
    </row>
    <row r="353" spans="1:22" x14ac:dyDescent="0.2">
      <c r="A353" s="1320"/>
      <c r="B353" s="783" t="s">
        <v>394</v>
      </c>
      <c r="C353" s="784" t="s">
        <v>1084</v>
      </c>
      <c r="D353" s="785">
        <v>102780000</v>
      </c>
      <c r="E353" s="786"/>
      <c r="F353" s="843">
        <v>41112000</v>
      </c>
      <c r="G353" s="778"/>
      <c r="H353" s="787"/>
      <c r="I353" s="786"/>
      <c r="J353" s="778">
        <f t="shared" si="61"/>
        <v>41112000</v>
      </c>
      <c r="K353" s="778"/>
      <c r="L353" s="779">
        <f t="shared" si="62"/>
        <v>61668000</v>
      </c>
      <c r="M353" s="779">
        <f t="shared" si="63"/>
        <v>61668000</v>
      </c>
      <c r="N353" s="784"/>
      <c r="O353" s="788"/>
      <c r="P353" s="789"/>
      <c r="Q353" s="790"/>
    </row>
    <row r="354" spans="1:22" x14ac:dyDescent="0.2">
      <c r="A354" s="1320"/>
      <c r="B354" s="783" t="s">
        <v>1085</v>
      </c>
      <c r="C354" s="784" t="s">
        <v>887</v>
      </c>
      <c r="D354" s="791">
        <v>20000000</v>
      </c>
      <c r="E354" s="786"/>
      <c r="F354" s="785">
        <v>20000000</v>
      </c>
      <c r="G354" s="778"/>
      <c r="H354" s="787"/>
      <c r="I354" s="786"/>
      <c r="J354" s="778">
        <f t="shared" si="61"/>
        <v>20000000</v>
      </c>
      <c r="K354" s="778"/>
      <c r="L354" s="779">
        <f t="shared" si="62"/>
        <v>0</v>
      </c>
      <c r="M354" s="779">
        <f t="shared" si="63"/>
        <v>0</v>
      </c>
      <c r="N354" s="784"/>
      <c r="O354" s="788"/>
      <c r="P354" s="789"/>
      <c r="Q354" s="790"/>
    </row>
    <row r="355" spans="1:22" x14ac:dyDescent="0.2">
      <c r="A355" s="1320"/>
      <c r="B355" s="783" t="s">
        <v>1086</v>
      </c>
      <c r="C355" s="810" t="s">
        <v>1060</v>
      </c>
      <c r="D355" s="778">
        <v>20951000</v>
      </c>
      <c r="E355" s="786"/>
      <c r="F355" s="785">
        <v>20951000</v>
      </c>
      <c r="G355" s="778"/>
      <c r="H355" s="787"/>
      <c r="I355" s="786"/>
      <c r="J355" s="778">
        <f t="shared" si="61"/>
        <v>20951000</v>
      </c>
      <c r="K355" s="778"/>
      <c r="L355" s="779">
        <f t="shared" si="62"/>
        <v>0</v>
      </c>
      <c r="M355" s="779">
        <f t="shared" si="63"/>
        <v>0</v>
      </c>
      <c r="N355" s="784"/>
      <c r="O355" s="788"/>
      <c r="P355" s="789"/>
      <c r="Q355" s="790"/>
    </row>
    <row r="356" spans="1:22" x14ac:dyDescent="0.2">
      <c r="A356" s="1320"/>
      <c r="B356" s="783" t="s">
        <v>1087</v>
      </c>
      <c r="C356" s="784" t="s">
        <v>1088</v>
      </c>
      <c r="D356" s="778">
        <v>15246000</v>
      </c>
      <c r="E356" s="786"/>
      <c r="F356" s="778">
        <v>15246000</v>
      </c>
      <c r="G356" s="778"/>
      <c r="H356" s="787"/>
      <c r="I356" s="786"/>
      <c r="J356" s="778">
        <f t="shared" si="61"/>
        <v>15246000</v>
      </c>
      <c r="K356" s="778"/>
      <c r="L356" s="779">
        <f t="shared" si="62"/>
        <v>0</v>
      </c>
      <c r="M356" s="779">
        <f t="shared" si="63"/>
        <v>0</v>
      </c>
      <c r="N356" s="784"/>
      <c r="O356" s="788"/>
      <c r="P356" s="789"/>
      <c r="Q356" s="790"/>
    </row>
    <row r="357" spans="1:22" x14ac:dyDescent="0.2">
      <c r="A357" s="1320"/>
      <c r="B357" s="783" t="s">
        <v>1089</v>
      </c>
      <c r="C357" s="784" t="s">
        <v>1090</v>
      </c>
      <c r="D357" s="785">
        <v>3158000</v>
      </c>
      <c r="E357" s="786"/>
      <c r="F357" s="785">
        <v>3158000</v>
      </c>
      <c r="G357" s="778"/>
      <c r="H357" s="787"/>
      <c r="I357" s="786"/>
      <c r="J357" s="778">
        <f t="shared" si="61"/>
        <v>3158000</v>
      </c>
      <c r="K357" s="778"/>
      <c r="L357" s="779">
        <f t="shared" si="62"/>
        <v>0</v>
      </c>
      <c r="M357" s="779">
        <f t="shared" si="63"/>
        <v>0</v>
      </c>
      <c r="N357" s="784"/>
      <c r="O357" s="788"/>
      <c r="P357" s="789"/>
      <c r="Q357" s="790"/>
    </row>
    <row r="358" spans="1:22" x14ac:dyDescent="0.2">
      <c r="A358" s="1320"/>
      <c r="B358" s="783" t="s">
        <v>947</v>
      </c>
      <c r="C358" s="784"/>
      <c r="D358" s="785"/>
      <c r="E358" s="786"/>
      <c r="F358" s="785"/>
      <c r="G358" s="778"/>
      <c r="H358" s="787"/>
      <c r="I358" s="786"/>
      <c r="J358" s="778">
        <f t="shared" si="61"/>
        <v>0</v>
      </c>
      <c r="K358" s="778"/>
      <c r="L358" s="779">
        <f t="shared" si="62"/>
        <v>0</v>
      </c>
      <c r="M358" s="779">
        <f t="shared" si="63"/>
        <v>0</v>
      </c>
      <c r="N358" s="784"/>
      <c r="O358" s="788"/>
      <c r="P358" s="789"/>
      <c r="Q358" s="790"/>
    </row>
    <row r="359" spans="1:22" s="807" customFormat="1" x14ac:dyDescent="0.2">
      <c r="A359" s="811" t="s">
        <v>997</v>
      </c>
      <c r="B359" s="795" t="s">
        <v>1068</v>
      </c>
      <c r="C359" s="796"/>
      <c r="D359" s="797"/>
      <c r="E359" s="798"/>
      <c r="F359" s="827"/>
      <c r="G359" s="799"/>
      <c r="H359" s="800"/>
      <c r="I359" s="798"/>
      <c r="J359" s="812">
        <f>SUM(J346:J358)</f>
        <v>230539929</v>
      </c>
      <c r="K359" s="812">
        <f>SUM(K346:K358)</f>
        <v>0</v>
      </c>
      <c r="L359" s="812">
        <f>SUM(L346:L358)</f>
        <v>187482170</v>
      </c>
      <c r="M359" s="812">
        <f>SUM(M346:M358)</f>
        <v>187482170</v>
      </c>
      <c r="N359" s="796"/>
      <c r="O359" s="802"/>
      <c r="P359" s="803"/>
      <c r="Q359" s="804"/>
      <c r="R359" s="804"/>
      <c r="S359" s="806"/>
      <c r="T359" s="806"/>
      <c r="U359" s="806"/>
      <c r="V359" s="806"/>
    </row>
    <row r="360" spans="1:22" ht="33.75" x14ac:dyDescent="0.2">
      <c r="A360" s="1321" t="s">
        <v>1096</v>
      </c>
      <c r="B360" s="783" t="s">
        <v>1097</v>
      </c>
      <c r="C360" s="862" t="s">
        <v>1098</v>
      </c>
      <c r="D360" s="785">
        <v>30000000</v>
      </c>
      <c r="E360" s="786"/>
      <c r="F360" s="825">
        <v>30000000</v>
      </c>
      <c r="G360" s="776"/>
      <c r="H360" s="787"/>
      <c r="I360" s="786"/>
      <c r="J360" s="778">
        <f t="shared" ref="J360:J370" si="64">SUM(F360:I360)</f>
        <v>30000000</v>
      </c>
      <c r="K360" s="778"/>
      <c r="L360" s="779">
        <f>IF(E360="",D360-J360-K360,E360-J360-K360)</f>
        <v>0</v>
      </c>
      <c r="M360" s="779">
        <f t="shared" ref="M360:M370" si="65">K360+L360</f>
        <v>0</v>
      </c>
      <c r="N360" s="784"/>
      <c r="O360" s="788"/>
      <c r="P360" s="789"/>
      <c r="Q360" s="790"/>
      <c r="S360" s="751" t="s">
        <v>1074</v>
      </c>
      <c r="T360" s="751">
        <v>840000</v>
      </c>
    </row>
    <row r="361" spans="1:22" x14ac:dyDescent="0.2">
      <c r="A361" s="1320"/>
      <c r="B361" s="783" t="s">
        <v>1099</v>
      </c>
      <c r="C361" s="810" t="s">
        <v>736</v>
      </c>
      <c r="D361" s="785">
        <v>11260004.285714287</v>
      </c>
      <c r="E361" s="786"/>
      <c r="F361" s="826">
        <v>7882003.0000000009</v>
      </c>
      <c r="G361" s="778"/>
      <c r="H361" s="787"/>
      <c r="I361" s="786"/>
      <c r="J361" s="778">
        <f t="shared" si="64"/>
        <v>7882003.0000000009</v>
      </c>
      <c r="K361" s="778"/>
      <c r="L361" s="779">
        <f>IF(E361="",D361-J361-K361,E361-J361-K361)</f>
        <v>3378001.2857142864</v>
      </c>
      <c r="M361" s="779">
        <f t="shared" si="65"/>
        <v>3378001.2857142864</v>
      </c>
      <c r="N361" s="784"/>
      <c r="O361" s="788"/>
      <c r="P361" s="789"/>
      <c r="Q361" s="790"/>
    </row>
    <row r="362" spans="1:22" x14ac:dyDescent="0.2">
      <c r="A362" s="1320"/>
      <c r="B362" s="783" t="s">
        <v>1100</v>
      </c>
      <c r="C362" s="784" t="s">
        <v>1101</v>
      </c>
      <c r="D362" s="791">
        <v>5000000</v>
      </c>
      <c r="E362" s="786"/>
      <c r="F362" s="826">
        <v>5000000</v>
      </c>
      <c r="G362" s="778"/>
      <c r="H362" s="787"/>
      <c r="I362" s="786"/>
      <c r="J362" s="778">
        <f t="shared" si="64"/>
        <v>5000000</v>
      </c>
      <c r="K362" s="778"/>
      <c r="L362" s="779">
        <f>IF(E362="",D362-J362-K362,E362-J362-K362)</f>
        <v>0</v>
      </c>
      <c r="M362" s="779">
        <f t="shared" si="65"/>
        <v>0</v>
      </c>
      <c r="N362" s="784"/>
      <c r="O362" s="788"/>
      <c r="P362" s="789"/>
      <c r="Q362" s="790"/>
    </row>
    <row r="363" spans="1:22" x14ac:dyDescent="0.2">
      <c r="A363" s="1320"/>
      <c r="B363" s="783" t="s">
        <v>1102</v>
      </c>
      <c r="C363" s="810" t="s">
        <v>1060</v>
      </c>
      <c r="D363" s="785">
        <v>1900000</v>
      </c>
      <c r="E363" s="786"/>
      <c r="F363" s="785">
        <v>1900000</v>
      </c>
      <c r="G363" s="778"/>
      <c r="H363" s="787"/>
      <c r="I363" s="786"/>
      <c r="J363" s="778">
        <f t="shared" si="64"/>
        <v>1900000</v>
      </c>
      <c r="K363" s="778"/>
      <c r="L363" s="779">
        <f t="shared" ref="L363:L370" si="66">IF(E363="",D363-J363-K363,E363-J363-K363)</f>
        <v>0</v>
      </c>
      <c r="M363" s="779">
        <f t="shared" si="65"/>
        <v>0</v>
      </c>
      <c r="N363" s="784"/>
      <c r="O363" s="788"/>
      <c r="P363" s="789"/>
      <c r="Q363" s="790"/>
    </row>
    <row r="364" spans="1:22" x14ac:dyDescent="0.2">
      <c r="A364" s="1320"/>
      <c r="B364" s="783" t="s">
        <v>1103</v>
      </c>
      <c r="C364" s="810" t="s">
        <v>1060</v>
      </c>
      <c r="D364" s="785">
        <v>2282000</v>
      </c>
      <c r="E364" s="786"/>
      <c r="F364" s="785">
        <v>2282000</v>
      </c>
      <c r="G364" s="778"/>
      <c r="H364" s="787"/>
      <c r="I364" s="786"/>
      <c r="J364" s="778">
        <f t="shared" si="64"/>
        <v>2282000</v>
      </c>
      <c r="K364" s="778"/>
      <c r="L364" s="779">
        <f t="shared" si="66"/>
        <v>0</v>
      </c>
      <c r="M364" s="779">
        <f t="shared" si="65"/>
        <v>0</v>
      </c>
      <c r="N364" s="784"/>
      <c r="O364" s="788"/>
      <c r="P364" s="789"/>
      <c r="Q364" s="790"/>
    </row>
    <row r="365" spans="1:22" x14ac:dyDescent="0.2">
      <c r="A365" s="1320"/>
      <c r="B365" s="783" t="s">
        <v>1104</v>
      </c>
      <c r="C365" s="844">
        <v>126</v>
      </c>
      <c r="D365" s="785">
        <v>200000000</v>
      </c>
      <c r="E365" s="786"/>
      <c r="F365" s="785">
        <v>200000000</v>
      </c>
      <c r="G365" s="778"/>
      <c r="H365" s="787"/>
      <c r="I365" s="786"/>
      <c r="J365" s="778">
        <f t="shared" si="64"/>
        <v>200000000</v>
      </c>
      <c r="K365" s="778"/>
      <c r="L365" s="779">
        <f t="shared" si="66"/>
        <v>0</v>
      </c>
      <c r="M365" s="779">
        <f t="shared" si="65"/>
        <v>0</v>
      </c>
      <c r="N365" s="784"/>
      <c r="O365" s="788"/>
      <c r="P365" s="789"/>
      <c r="Q365" s="790"/>
    </row>
    <row r="366" spans="1:22" x14ac:dyDescent="0.2">
      <c r="A366" s="1320"/>
      <c r="B366" s="783" t="s">
        <v>1105</v>
      </c>
      <c r="C366" s="784" t="s">
        <v>815</v>
      </c>
      <c r="D366" s="778">
        <v>16108313</v>
      </c>
      <c r="E366" s="786"/>
      <c r="F366" s="785">
        <f>D366</f>
        <v>16108313</v>
      </c>
      <c r="G366" s="778"/>
      <c r="H366" s="787"/>
      <c r="I366" s="786"/>
      <c r="J366" s="778">
        <f t="shared" si="64"/>
        <v>16108313</v>
      </c>
      <c r="K366" s="778"/>
      <c r="L366" s="779">
        <f t="shared" si="66"/>
        <v>0</v>
      </c>
      <c r="M366" s="779">
        <f t="shared" si="65"/>
        <v>0</v>
      </c>
      <c r="N366" s="784"/>
      <c r="O366" s="788"/>
      <c r="P366" s="789"/>
      <c r="Q366" s="790"/>
    </row>
    <row r="367" spans="1:22" x14ac:dyDescent="0.2">
      <c r="A367" s="1320"/>
      <c r="B367" s="783" t="s">
        <v>1106</v>
      </c>
      <c r="C367" s="784" t="s">
        <v>815</v>
      </c>
      <c r="D367" s="778">
        <f>645000</f>
        <v>645000</v>
      </c>
      <c r="E367" s="786"/>
      <c r="F367" s="785">
        <f>D367</f>
        <v>645000</v>
      </c>
      <c r="G367" s="778"/>
      <c r="H367" s="787"/>
      <c r="I367" s="786"/>
      <c r="J367" s="778">
        <f t="shared" si="64"/>
        <v>645000</v>
      </c>
      <c r="K367" s="778"/>
      <c r="L367" s="779">
        <f t="shared" si="66"/>
        <v>0</v>
      </c>
      <c r="M367" s="779">
        <f t="shared" si="65"/>
        <v>0</v>
      </c>
      <c r="N367" s="784"/>
      <c r="O367" s="788"/>
      <c r="P367" s="789"/>
      <c r="Q367" s="790"/>
    </row>
    <row r="368" spans="1:22" x14ac:dyDescent="0.2">
      <c r="A368" s="1320"/>
      <c r="B368" s="783" t="s">
        <v>1107</v>
      </c>
      <c r="C368" s="784" t="s">
        <v>1108</v>
      </c>
      <c r="D368" s="778">
        <v>7488000</v>
      </c>
      <c r="E368" s="786"/>
      <c r="F368" s="778">
        <v>7488000</v>
      </c>
      <c r="G368" s="778"/>
      <c r="H368" s="787"/>
      <c r="I368" s="786"/>
      <c r="J368" s="778">
        <f t="shared" si="64"/>
        <v>7488000</v>
      </c>
      <c r="K368" s="778"/>
      <c r="L368" s="779">
        <f t="shared" si="66"/>
        <v>0</v>
      </c>
      <c r="M368" s="779">
        <f t="shared" si="65"/>
        <v>0</v>
      </c>
      <c r="N368" s="784"/>
      <c r="O368" s="788"/>
      <c r="P368" s="789"/>
      <c r="Q368" s="790"/>
    </row>
    <row r="369" spans="1:17" x14ac:dyDescent="0.2">
      <c r="A369" s="1320"/>
      <c r="B369" s="783" t="s">
        <v>1099</v>
      </c>
      <c r="C369" s="784" t="s">
        <v>1382</v>
      </c>
      <c r="D369" s="778">
        <v>3378000</v>
      </c>
      <c r="E369" s="786"/>
      <c r="F369" s="843">
        <v>3378000</v>
      </c>
      <c r="G369" s="778"/>
      <c r="H369" s="787"/>
      <c r="I369" s="786"/>
      <c r="J369" s="778">
        <f t="shared" si="64"/>
        <v>3378000</v>
      </c>
      <c r="K369" s="778"/>
      <c r="L369" s="779">
        <f t="shared" si="66"/>
        <v>0</v>
      </c>
      <c r="M369" s="779">
        <f t="shared" si="65"/>
        <v>0</v>
      </c>
      <c r="N369" s="784"/>
      <c r="O369" s="788"/>
      <c r="P369" s="789"/>
      <c r="Q369" s="790"/>
    </row>
    <row r="370" spans="1:17" x14ac:dyDescent="0.2">
      <c r="A370" s="1320"/>
      <c r="B370" s="783" t="s">
        <v>947</v>
      </c>
      <c r="C370" s="784"/>
      <c r="D370" s="785"/>
      <c r="E370" s="786"/>
      <c r="F370" s="826"/>
      <c r="G370" s="778"/>
      <c r="H370" s="787"/>
      <c r="I370" s="786"/>
      <c r="J370" s="778">
        <f t="shared" si="64"/>
        <v>0</v>
      </c>
      <c r="K370" s="778"/>
      <c r="L370" s="779">
        <f t="shared" si="66"/>
        <v>0</v>
      </c>
      <c r="M370" s="779">
        <f t="shared" si="65"/>
        <v>0</v>
      </c>
      <c r="N370" s="784"/>
      <c r="O370" s="788"/>
      <c r="P370" s="789"/>
      <c r="Q370" s="790"/>
    </row>
    <row r="371" spans="1:17" x14ac:dyDescent="0.2">
      <c r="A371" s="811" t="s">
        <v>997</v>
      </c>
      <c r="B371" s="795" t="s">
        <v>1096</v>
      </c>
      <c r="C371" s="796"/>
      <c r="D371" s="797"/>
      <c r="E371" s="798"/>
      <c r="F371" s="827"/>
      <c r="G371" s="799"/>
      <c r="H371" s="800"/>
      <c r="I371" s="798"/>
      <c r="J371" s="812">
        <f>SUM(J360:J370)</f>
        <v>274683316</v>
      </c>
      <c r="K371" s="812">
        <f>SUM(K360:K370)</f>
        <v>0</v>
      </c>
      <c r="L371" s="812">
        <f>SUM(L360:L370)</f>
        <v>3378001.2857142864</v>
      </c>
      <c r="M371" s="812">
        <f>SUM(M360:M370)</f>
        <v>3378001.2857142864</v>
      </c>
      <c r="N371" s="796"/>
      <c r="O371" s="802"/>
      <c r="P371" s="803"/>
      <c r="Q371" s="804"/>
    </row>
    <row r="372" spans="1:17" ht="33.75" x14ac:dyDescent="0.2">
      <c r="A372" s="1318" t="s">
        <v>1126</v>
      </c>
      <c r="B372" s="863" t="s">
        <v>1127</v>
      </c>
      <c r="C372" s="784" t="s">
        <v>1108</v>
      </c>
      <c r="D372" s="778">
        <v>5883000</v>
      </c>
      <c r="E372" s="786"/>
      <c r="F372" s="778">
        <v>5883000</v>
      </c>
      <c r="G372" s="776"/>
      <c r="H372" s="787"/>
      <c r="I372" s="786"/>
      <c r="J372" s="778">
        <f>SUM(F372:I372)</f>
        <v>5883000</v>
      </c>
      <c r="K372" s="778"/>
      <c r="L372" s="779">
        <f>IF(E372="",D372-J372-K372,E372-J372-K372)</f>
        <v>0</v>
      </c>
      <c r="M372" s="779">
        <f>K372+L372</f>
        <v>0</v>
      </c>
      <c r="N372" s="784"/>
      <c r="O372" s="788"/>
      <c r="P372" s="789"/>
      <c r="Q372" s="790"/>
    </row>
    <row r="373" spans="1:17" ht="15" customHeight="1" x14ac:dyDescent="0.2">
      <c r="A373" s="1319"/>
      <c r="B373" s="783" t="s">
        <v>1117</v>
      </c>
      <c r="C373" s="810" t="s">
        <v>1118</v>
      </c>
      <c r="D373" s="785">
        <v>47070000</v>
      </c>
      <c r="E373" s="786"/>
      <c r="F373" s="785">
        <v>47070000</v>
      </c>
      <c r="G373" s="778"/>
      <c r="H373" s="787"/>
      <c r="I373" s="786"/>
      <c r="J373" s="778">
        <f>SUM(F373:I373)</f>
        <v>47070000</v>
      </c>
      <c r="K373" s="778"/>
      <c r="L373" s="779">
        <f>IF(E373="",D373-J373-K373,E373-J373-K373)</f>
        <v>0</v>
      </c>
      <c r="M373" s="779">
        <f>K373+L373</f>
        <v>0</v>
      </c>
      <c r="N373" s="784"/>
      <c r="O373" s="788"/>
      <c r="P373" s="789"/>
      <c r="Q373" s="790"/>
    </row>
    <row r="374" spans="1:17" ht="17.25" customHeight="1" x14ac:dyDescent="0.2">
      <c r="A374" s="1319"/>
      <c r="B374" s="783" t="s">
        <v>947</v>
      </c>
      <c r="C374" s="784"/>
      <c r="D374" s="785"/>
      <c r="E374" s="786"/>
      <c r="F374" s="826"/>
      <c r="G374" s="778"/>
      <c r="H374" s="787"/>
      <c r="I374" s="786"/>
      <c r="J374" s="778">
        <f>SUM(F374:I374)</f>
        <v>0</v>
      </c>
      <c r="K374" s="778"/>
      <c r="L374" s="779">
        <f>IF(E374="",D374-J374-K374,E374-J374-K374)</f>
        <v>0</v>
      </c>
      <c r="M374" s="779">
        <f>K374+L374</f>
        <v>0</v>
      </c>
      <c r="N374" s="784"/>
      <c r="O374" s="788"/>
      <c r="P374" s="789"/>
      <c r="Q374" s="790"/>
    </row>
    <row r="375" spans="1:17" x14ac:dyDescent="0.2">
      <c r="A375" s="811" t="s">
        <v>997</v>
      </c>
      <c r="B375" s="795" t="s">
        <v>1126</v>
      </c>
      <c r="C375" s="796"/>
      <c r="D375" s="797"/>
      <c r="E375" s="798"/>
      <c r="F375" s="827"/>
      <c r="G375" s="799"/>
      <c r="H375" s="800"/>
      <c r="I375" s="798"/>
      <c r="J375" s="812">
        <f>SUM(J372:J374)</f>
        <v>52953000</v>
      </c>
      <c r="K375" s="812">
        <f>SUM(K372:K374)</f>
        <v>0</v>
      </c>
      <c r="L375" s="812">
        <f>SUM(L372:L374)</f>
        <v>0</v>
      </c>
      <c r="M375" s="812">
        <f>SUM(M372:M374)</f>
        <v>0</v>
      </c>
      <c r="N375" s="796"/>
      <c r="O375" s="802"/>
      <c r="P375" s="803"/>
      <c r="Q375" s="804"/>
    </row>
    <row r="376" spans="1:17" ht="18" customHeight="1" x14ac:dyDescent="0.2">
      <c r="A376" s="814" t="s">
        <v>585</v>
      </c>
      <c r="B376" s="783" t="s">
        <v>1128</v>
      </c>
      <c r="C376" s="810" t="s">
        <v>1108</v>
      </c>
      <c r="D376" s="785">
        <v>6980000</v>
      </c>
      <c r="E376" s="786"/>
      <c r="F376" s="785">
        <v>6980000</v>
      </c>
      <c r="G376" s="776"/>
      <c r="H376" s="787"/>
      <c r="I376" s="786"/>
      <c r="J376" s="778">
        <f>SUM(F376:I376)</f>
        <v>6980000</v>
      </c>
      <c r="K376" s="778"/>
      <c r="L376" s="779">
        <f>IF(E376="",D376-J376-K376,E376-J376-K376)</f>
        <v>0</v>
      </c>
      <c r="M376" s="779">
        <f>K376+L376</f>
        <v>0</v>
      </c>
      <c r="N376" s="784"/>
      <c r="O376" s="788"/>
      <c r="P376" s="789"/>
      <c r="Q376" s="790"/>
    </row>
    <row r="377" spans="1:17" hidden="1" x14ac:dyDescent="0.2">
      <c r="A377" s="814"/>
      <c r="B377" s="783"/>
      <c r="C377" s="810"/>
      <c r="D377" s="785"/>
      <c r="E377" s="786"/>
      <c r="F377" s="826"/>
      <c r="G377" s="778"/>
      <c r="H377" s="787"/>
      <c r="I377" s="786"/>
      <c r="J377" s="778">
        <f>SUM(F377:I377)</f>
        <v>0</v>
      </c>
      <c r="K377" s="778"/>
      <c r="L377" s="779">
        <f>IF(E377="",D377-J377-K377,E377-J377-K377)</f>
        <v>0</v>
      </c>
      <c r="M377" s="779">
        <f>K377+L377</f>
        <v>0</v>
      </c>
      <c r="N377" s="784"/>
      <c r="O377" s="788"/>
      <c r="P377" s="789"/>
      <c r="Q377" s="790"/>
    </row>
    <row r="378" spans="1:17" hidden="1" x14ac:dyDescent="0.2">
      <c r="A378" s="814"/>
      <c r="B378" s="783"/>
      <c r="C378" s="784"/>
      <c r="D378" s="785"/>
      <c r="E378" s="786"/>
      <c r="F378" s="826"/>
      <c r="G378" s="778"/>
      <c r="H378" s="787"/>
      <c r="I378" s="786"/>
      <c r="J378" s="778">
        <f>SUM(F378:I378)</f>
        <v>0</v>
      </c>
      <c r="K378" s="778"/>
      <c r="L378" s="779">
        <f>IF(E378="",D378-J378-K378,E378-J378-K378)</f>
        <v>0</v>
      </c>
      <c r="M378" s="779">
        <f>K378+L378</f>
        <v>0</v>
      </c>
      <c r="N378" s="784"/>
      <c r="O378" s="788"/>
      <c r="P378" s="789"/>
      <c r="Q378" s="790"/>
    </row>
    <row r="379" spans="1:17" ht="3.75" hidden="1" customHeight="1" x14ac:dyDescent="0.2">
      <c r="A379" s="814"/>
      <c r="B379" s="783"/>
      <c r="C379" s="784"/>
      <c r="D379" s="785"/>
      <c r="E379" s="786"/>
      <c r="F379" s="826"/>
      <c r="G379" s="778"/>
      <c r="H379" s="787"/>
      <c r="I379" s="786"/>
      <c r="J379" s="778">
        <f>SUM(F379:I379)</f>
        <v>0</v>
      </c>
      <c r="K379" s="778"/>
      <c r="L379" s="779">
        <f>IF(E379="",D379-J379-K379,E379-J379-K379)</f>
        <v>0</v>
      </c>
      <c r="M379" s="779">
        <f>K379+L379</f>
        <v>0</v>
      </c>
      <c r="N379" s="784"/>
      <c r="O379" s="788"/>
      <c r="P379" s="789"/>
      <c r="Q379" s="790"/>
    </row>
    <row r="380" spans="1:17" ht="15" customHeight="1" x14ac:dyDescent="0.2">
      <c r="A380" s="811" t="s">
        <v>997</v>
      </c>
      <c r="B380" s="795" t="s">
        <v>585</v>
      </c>
      <c r="C380" s="796"/>
      <c r="D380" s="797"/>
      <c r="E380" s="798"/>
      <c r="F380" s="827"/>
      <c r="G380" s="799"/>
      <c r="H380" s="800"/>
      <c r="I380" s="798"/>
      <c r="J380" s="812">
        <f>SUM(J376:J379)</f>
        <v>6980000</v>
      </c>
      <c r="K380" s="812">
        <f>SUM(K376:K379)</f>
        <v>0</v>
      </c>
      <c r="L380" s="812">
        <f>SUM(L376:L379)</f>
        <v>0</v>
      </c>
      <c r="M380" s="812">
        <f>SUM(M376:M379)</f>
        <v>0</v>
      </c>
      <c r="N380" s="796"/>
      <c r="O380" s="802"/>
      <c r="P380" s="803"/>
      <c r="Q380" s="804"/>
    </row>
    <row r="381" spans="1:17" ht="15" customHeight="1" x14ac:dyDescent="0.2">
      <c r="A381" s="1318" t="s">
        <v>2158</v>
      </c>
      <c r="B381" s="783" t="s">
        <v>1117</v>
      </c>
      <c r="C381" s="810" t="s">
        <v>1118</v>
      </c>
      <c r="D381" s="785">
        <v>31550000</v>
      </c>
      <c r="E381" s="786"/>
      <c r="F381" s="785">
        <v>31550000</v>
      </c>
      <c r="G381" s="776"/>
      <c r="H381" s="787"/>
      <c r="I381" s="786"/>
      <c r="J381" s="778">
        <f>SUM(F381:I381)</f>
        <v>31550000</v>
      </c>
      <c r="K381" s="778"/>
      <c r="L381" s="779">
        <f>IF(E381="",D381-J381-K381,E381-J381-K381)</f>
        <v>0</v>
      </c>
      <c r="M381" s="779">
        <f>K381+L381</f>
        <v>0</v>
      </c>
      <c r="N381" s="784"/>
      <c r="O381" s="788"/>
      <c r="P381" s="789"/>
      <c r="Q381" s="790"/>
    </row>
    <row r="382" spans="1:17" ht="15" customHeight="1" x14ac:dyDescent="0.2">
      <c r="A382" s="1319"/>
      <c r="B382" s="783" t="s">
        <v>947</v>
      </c>
      <c r="C382" s="810"/>
      <c r="D382" s="785"/>
      <c r="E382" s="786"/>
      <c r="F382" s="826"/>
      <c r="G382" s="778"/>
      <c r="H382" s="787"/>
      <c r="I382" s="786"/>
      <c r="J382" s="778">
        <f>SUM(F382:I382)</f>
        <v>0</v>
      </c>
      <c r="K382" s="778"/>
      <c r="L382" s="779">
        <f>IF(E382="",D382-J382-K382,E382-J382-K382)</f>
        <v>0</v>
      </c>
      <c r="M382" s="779">
        <f>K382+L382</f>
        <v>0</v>
      </c>
      <c r="N382" s="784"/>
      <c r="O382" s="788"/>
      <c r="P382" s="789"/>
      <c r="Q382" s="790"/>
    </row>
    <row r="383" spans="1:17" hidden="1" x14ac:dyDescent="0.2">
      <c r="A383" s="814"/>
      <c r="B383" s="783"/>
      <c r="C383" s="784"/>
      <c r="D383" s="785"/>
      <c r="E383" s="786"/>
      <c r="F383" s="826"/>
      <c r="G383" s="778"/>
      <c r="H383" s="787"/>
      <c r="I383" s="786"/>
      <c r="J383" s="778">
        <f>SUM(F383:I383)</f>
        <v>0</v>
      </c>
      <c r="K383" s="778"/>
      <c r="L383" s="779">
        <f>IF(E383="",D383-J383-K383,E383-J383-K383)</f>
        <v>0</v>
      </c>
      <c r="M383" s="779">
        <f>K383+L383</f>
        <v>0</v>
      </c>
      <c r="N383" s="784"/>
      <c r="O383" s="788"/>
      <c r="P383" s="789"/>
      <c r="Q383" s="790"/>
    </row>
    <row r="384" spans="1:17" hidden="1" x14ac:dyDescent="0.2">
      <c r="A384" s="814"/>
      <c r="B384" s="783"/>
      <c r="C384" s="784"/>
      <c r="D384" s="785"/>
      <c r="E384" s="786"/>
      <c r="F384" s="826"/>
      <c r="G384" s="778"/>
      <c r="H384" s="787"/>
      <c r="I384" s="786"/>
      <c r="J384" s="778">
        <f>SUM(F384:I384)</f>
        <v>0</v>
      </c>
      <c r="K384" s="778"/>
      <c r="L384" s="779">
        <f>IF(E384="",D384-J384-K384,E384-J384-K384)</f>
        <v>0</v>
      </c>
      <c r="M384" s="779">
        <f>K384+L384</f>
        <v>0</v>
      </c>
      <c r="N384" s="784"/>
      <c r="O384" s="788"/>
      <c r="P384" s="789"/>
      <c r="Q384" s="790"/>
    </row>
    <row r="385" spans="1:17" x14ac:dyDescent="0.2">
      <c r="A385" s="811" t="s">
        <v>997</v>
      </c>
      <c r="B385" s="795" t="s">
        <v>1130</v>
      </c>
      <c r="C385" s="796"/>
      <c r="D385" s="797"/>
      <c r="E385" s="798"/>
      <c r="F385" s="827"/>
      <c r="G385" s="799"/>
      <c r="H385" s="800"/>
      <c r="I385" s="798"/>
      <c r="J385" s="812">
        <f>SUM(J381:J384)</f>
        <v>31550000</v>
      </c>
      <c r="K385" s="812">
        <f>SUM(K381:K384)</f>
        <v>0</v>
      </c>
      <c r="L385" s="812">
        <f>SUM(L381:L384)</f>
        <v>0</v>
      </c>
      <c r="M385" s="812">
        <f>SUM(M381:M384)</f>
        <v>0</v>
      </c>
      <c r="N385" s="796"/>
      <c r="O385" s="802"/>
      <c r="P385" s="803"/>
      <c r="Q385" s="804"/>
    </row>
    <row r="386" spans="1:17" ht="13.5" customHeight="1" x14ac:dyDescent="0.2">
      <c r="A386" s="1318" t="s">
        <v>2159</v>
      </c>
      <c r="B386" s="783" t="s">
        <v>1117</v>
      </c>
      <c r="C386" s="810" t="s">
        <v>1118</v>
      </c>
      <c r="D386" s="785">
        <v>52330000</v>
      </c>
      <c r="E386" s="786"/>
      <c r="F386" s="785">
        <v>52330000</v>
      </c>
      <c r="G386" s="776"/>
      <c r="H386" s="787"/>
      <c r="I386" s="786"/>
      <c r="J386" s="778">
        <f>SUM(F386:I386)</f>
        <v>52330000</v>
      </c>
      <c r="K386" s="778"/>
      <c r="L386" s="779">
        <f>IF(E386="",D386-J386-K386,E386-J386-K386)</f>
        <v>0</v>
      </c>
      <c r="M386" s="779">
        <f>K386+L386</f>
        <v>0</v>
      </c>
      <c r="N386" s="784"/>
      <c r="O386" s="788"/>
      <c r="P386" s="789"/>
      <c r="Q386" s="790"/>
    </row>
    <row r="387" spans="1:17" ht="13.5" customHeight="1" x14ac:dyDescent="0.2">
      <c r="A387" s="1319"/>
      <c r="B387" s="783" t="s">
        <v>947</v>
      </c>
      <c r="C387" s="810"/>
      <c r="D387" s="785"/>
      <c r="E387" s="786"/>
      <c r="F387" s="826"/>
      <c r="G387" s="778"/>
      <c r="H387" s="787"/>
      <c r="I387" s="786"/>
      <c r="J387" s="778">
        <f>SUM(F387:I387)</f>
        <v>0</v>
      </c>
      <c r="K387" s="778"/>
      <c r="L387" s="779">
        <f>IF(E387="",D387-J387-K387,E387-J387-K387)</f>
        <v>0</v>
      </c>
      <c r="M387" s="779">
        <f>K387+L387</f>
        <v>0</v>
      </c>
      <c r="N387" s="784"/>
      <c r="O387" s="788"/>
      <c r="P387" s="789"/>
      <c r="Q387" s="790"/>
    </row>
    <row r="388" spans="1:17" hidden="1" x14ac:dyDescent="0.2">
      <c r="A388" s="814"/>
      <c r="B388" s="783"/>
      <c r="C388" s="784"/>
      <c r="D388" s="785"/>
      <c r="E388" s="786"/>
      <c r="F388" s="826"/>
      <c r="G388" s="778"/>
      <c r="H388" s="787"/>
      <c r="I388" s="786"/>
      <c r="J388" s="778">
        <f>SUM(F388:I388)</f>
        <v>0</v>
      </c>
      <c r="K388" s="778"/>
      <c r="L388" s="779">
        <f>IF(E388="",D388-J388-K388,E388-J388-K388)</f>
        <v>0</v>
      </c>
      <c r="M388" s="779">
        <f>K388+L388</f>
        <v>0</v>
      </c>
      <c r="N388" s="784"/>
      <c r="O388" s="788"/>
      <c r="P388" s="789"/>
      <c r="Q388" s="790"/>
    </row>
    <row r="389" spans="1:17" hidden="1" x14ac:dyDescent="0.2">
      <c r="A389" s="814"/>
      <c r="B389" s="783"/>
      <c r="C389" s="784"/>
      <c r="D389" s="785"/>
      <c r="E389" s="786"/>
      <c r="F389" s="826"/>
      <c r="G389" s="778"/>
      <c r="H389" s="787"/>
      <c r="I389" s="786"/>
      <c r="J389" s="778">
        <f>SUM(F389:I389)</f>
        <v>0</v>
      </c>
      <c r="K389" s="778"/>
      <c r="L389" s="779">
        <f>IF(E389="",D389-J389-K389,E389-J389-K389)</f>
        <v>0</v>
      </c>
      <c r="M389" s="779">
        <f>K389+L389</f>
        <v>0</v>
      </c>
      <c r="N389" s="784"/>
      <c r="O389" s="788"/>
      <c r="P389" s="789"/>
      <c r="Q389" s="790"/>
    </row>
    <row r="390" spans="1:17" x14ac:dyDescent="0.2">
      <c r="A390" s="811" t="s">
        <v>997</v>
      </c>
      <c r="B390" s="795" t="str">
        <f>A386</f>
        <v>AQUA SONATUS</v>
      </c>
      <c r="C390" s="796"/>
      <c r="D390" s="797"/>
      <c r="E390" s="798"/>
      <c r="F390" s="827"/>
      <c r="G390" s="799"/>
      <c r="H390" s="800"/>
      <c r="I390" s="798"/>
      <c r="J390" s="812">
        <f>SUM(J386:J389)</f>
        <v>52330000</v>
      </c>
      <c r="K390" s="812">
        <f>SUM(K386:K389)</f>
        <v>0</v>
      </c>
      <c r="L390" s="812">
        <f>SUM(L386:L389)</f>
        <v>0</v>
      </c>
      <c r="M390" s="812">
        <f>SUM(M386:M389)</f>
        <v>0</v>
      </c>
      <c r="N390" s="796"/>
      <c r="O390" s="802"/>
      <c r="P390" s="803"/>
      <c r="Q390" s="804"/>
    </row>
    <row r="391" spans="1:17" ht="15" customHeight="1" x14ac:dyDescent="0.2">
      <c r="A391" s="1318" t="s">
        <v>2160</v>
      </c>
      <c r="B391" s="783" t="s">
        <v>215</v>
      </c>
      <c r="C391" s="750" t="s">
        <v>216</v>
      </c>
      <c r="D391" s="837">
        <v>35261625</v>
      </c>
      <c r="E391" s="786"/>
      <c r="F391" s="785">
        <v>35261625</v>
      </c>
      <c r="G391" s="776"/>
      <c r="H391" s="787"/>
      <c r="I391" s="786"/>
      <c r="J391" s="778">
        <f>SUM(F391:I391)</f>
        <v>35261625</v>
      </c>
      <c r="K391" s="778"/>
      <c r="L391" s="779">
        <f>IF(E391="",D391-J391-K391,E391-J391-K391)</f>
        <v>0</v>
      </c>
      <c r="M391" s="779">
        <f>K391+L391</f>
        <v>0</v>
      </c>
      <c r="N391" s="784"/>
      <c r="O391" s="788"/>
      <c r="P391" s="789"/>
      <c r="Q391" s="790"/>
    </row>
    <row r="392" spans="1:17" ht="15" customHeight="1" x14ac:dyDescent="0.2">
      <c r="A392" s="1319"/>
      <c r="B392" s="783" t="s">
        <v>947</v>
      </c>
      <c r="C392" s="810"/>
      <c r="D392" s="785"/>
      <c r="E392" s="786"/>
      <c r="F392" s="826"/>
      <c r="G392" s="778"/>
      <c r="H392" s="787"/>
      <c r="I392" s="786"/>
      <c r="J392" s="778">
        <f>SUM(F392:I392)</f>
        <v>0</v>
      </c>
      <c r="K392" s="778"/>
      <c r="L392" s="779">
        <f>IF(E392="",D392-J392-K392,E392-J392-K392)</f>
        <v>0</v>
      </c>
      <c r="M392" s="779">
        <f>K392+L392</f>
        <v>0</v>
      </c>
      <c r="N392" s="784"/>
      <c r="O392" s="788"/>
      <c r="P392" s="789"/>
      <c r="Q392" s="790"/>
    </row>
    <row r="393" spans="1:17" hidden="1" x14ac:dyDescent="0.2">
      <c r="A393" s="814"/>
      <c r="B393" s="783"/>
      <c r="C393" s="784"/>
      <c r="D393" s="785"/>
      <c r="E393" s="786"/>
      <c r="F393" s="826"/>
      <c r="G393" s="778"/>
      <c r="H393" s="787"/>
      <c r="I393" s="786"/>
      <c r="J393" s="778">
        <f>SUM(F393:I393)</f>
        <v>0</v>
      </c>
      <c r="K393" s="778"/>
      <c r="L393" s="779">
        <f>IF(E393="",D393-J393-K393,E393-J393-K393)</f>
        <v>0</v>
      </c>
      <c r="M393" s="779">
        <f>K393+L393</f>
        <v>0</v>
      </c>
      <c r="N393" s="784"/>
      <c r="O393" s="788"/>
      <c r="P393" s="789"/>
      <c r="Q393" s="790"/>
    </row>
    <row r="394" spans="1:17" hidden="1" x14ac:dyDescent="0.2">
      <c r="A394" s="814"/>
      <c r="B394" s="783"/>
      <c r="C394" s="784"/>
      <c r="D394" s="785"/>
      <c r="E394" s="786"/>
      <c r="F394" s="826"/>
      <c r="G394" s="778"/>
      <c r="H394" s="787"/>
      <c r="I394" s="786"/>
      <c r="J394" s="778">
        <f>SUM(F394:I394)</f>
        <v>0</v>
      </c>
      <c r="K394" s="778"/>
      <c r="L394" s="779">
        <f>IF(E394="",D394-J394-K394,E394-J394-K394)</f>
        <v>0</v>
      </c>
      <c r="M394" s="779">
        <f>K394+L394</f>
        <v>0</v>
      </c>
      <c r="N394" s="784"/>
      <c r="O394" s="788"/>
      <c r="P394" s="789"/>
      <c r="Q394" s="790"/>
    </row>
    <row r="395" spans="1:17" x14ac:dyDescent="0.2">
      <c r="A395" s="811" t="s">
        <v>997</v>
      </c>
      <c r="B395" s="795" t="str">
        <f>A391</f>
        <v>Nam Thuận T19</v>
      </c>
      <c r="C395" s="796"/>
      <c r="D395" s="797"/>
      <c r="E395" s="798"/>
      <c r="F395" s="827"/>
      <c r="G395" s="799"/>
      <c r="H395" s="800"/>
      <c r="I395" s="798"/>
      <c r="J395" s="812">
        <f>SUM(J391:J394)</f>
        <v>35261625</v>
      </c>
      <c r="K395" s="812">
        <f>SUM(K391:K394)</f>
        <v>0</v>
      </c>
      <c r="L395" s="812">
        <f>SUM(L391:L394)</f>
        <v>0</v>
      </c>
      <c r="M395" s="812">
        <f>SUM(M391:M394)</f>
        <v>0</v>
      </c>
      <c r="N395" s="796"/>
      <c r="O395" s="802"/>
      <c r="P395" s="803"/>
      <c r="Q395" s="804"/>
    </row>
    <row r="397" spans="1:17" hidden="1" x14ac:dyDescent="0.2"/>
    <row r="398" spans="1:17" hidden="1" x14ac:dyDescent="0.2"/>
    <row r="399" spans="1:17" hidden="1" x14ac:dyDescent="0.2"/>
    <row r="400" spans="1:17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7" spans="6:14" x14ac:dyDescent="0.2">
      <c r="F417" s="750"/>
      <c r="G417" s="846" t="s">
        <v>1133</v>
      </c>
      <c r="H417" s="847"/>
      <c r="J417" s="848">
        <f>J339+J331+J313+J307+J272+J256+J223+J191+J174+J137+J132+J99+J92+J68+J27+J15+J345+J359+J371+J375+J380+J385+J390+J395</f>
        <v>9245157736.8999996</v>
      </c>
      <c r="K417" s="848">
        <f>K339+K331+K313+K307+K272+K256+K223+K191+K174+K137+K132+K99+K92+K68+K27+K15</f>
        <v>17374000</v>
      </c>
      <c r="L417" s="848">
        <f>L339+L331+L313+L307+L272+L256+L223+L191+L174+L137+L132+L99+L92+L68+L27+L15+L345+L359+L371+L375+L395+L390+L385+L380</f>
        <v>236847740.7857143</v>
      </c>
      <c r="M417" s="848">
        <f>M339+M331+M313+M307+M272+M256+M223+M191+M174+M137+M132+M99+M92+M68+M27+M15+M345+M359+M371+M375+M380+M385+M390+M395</f>
        <v>254221740.7857143</v>
      </c>
    </row>
    <row r="418" spans="6:14" x14ac:dyDescent="0.2">
      <c r="F418" s="750"/>
      <c r="G418" s="849" t="s">
        <v>1134</v>
      </c>
      <c r="H418" s="850"/>
      <c r="I418" s="851"/>
      <c r="J418" s="852">
        <f>SUBTOTAL(9,J6:J395)</f>
        <v>18490315473.799999</v>
      </c>
      <c r="K418" s="852">
        <f>SUBTOTAL(9,K6:K395)</f>
        <v>34748000</v>
      </c>
      <c r="L418" s="852">
        <f>SUBTOTAL(9,L6:L395)</f>
        <v>473695481.57142854</v>
      </c>
      <c r="M418" s="852">
        <f>SUBTOTAL(9,M6:M395)</f>
        <v>508443481.57142854</v>
      </c>
    </row>
    <row r="419" spans="6:14" x14ac:dyDescent="0.2">
      <c r="G419" s="853" t="s">
        <v>1135</v>
      </c>
      <c r="J419" s="855">
        <f>J418/J417</f>
        <v>2</v>
      </c>
      <c r="K419" s="855"/>
      <c r="L419" s="855">
        <f>L418/L417</f>
        <v>1.9999999999999998</v>
      </c>
      <c r="M419" s="855">
        <f>M418/M417</f>
        <v>1.9999999999999998</v>
      </c>
      <c r="N419" s="750" t="s">
        <v>1136</v>
      </c>
    </row>
    <row r="420" spans="6:14" x14ac:dyDescent="0.2">
      <c r="J420" s="856"/>
    </row>
    <row r="421" spans="6:14" x14ac:dyDescent="0.2">
      <c r="J421" s="856"/>
    </row>
    <row r="422" spans="6:14" x14ac:dyDescent="0.2">
      <c r="G422" s="784"/>
      <c r="J422" s="857"/>
    </row>
    <row r="423" spans="6:14" x14ac:dyDescent="0.2">
      <c r="G423" s="858"/>
      <c r="J423" s="857"/>
    </row>
  </sheetData>
  <autoFilter ref="A5:W415"/>
  <mergeCells count="31">
    <mergeCell ref="A391:A392"/>
    <mergeCell ref="A340:A341"/>
    <mergeCell ref="A342:A343"/>
    <mergeCell ref="A175:A190"/>
    <mergeCell ref="A93:A95"/>
    <mergeCell ref="A96:A98"/>
    <mergeCell ref="A346:A358"/>
    <mergeCell ref="A360:A370"/>
    <mergeCell ref="A372:A374"/>
    <mergeCell ref="A381:A382"/>
    <mergeCell ref="A386:A387"/>
    <mergeCell ref="A308:A312"/>
    <mergeCell ref="A314:A330"/>
    <mergeCell ref="A332:A338"/>
    <mergeCell ref="A273:A293"/>
    <mergeCell ref="A294:A306"/>
    <mergeCell ref="A1:Q3"/>
    <mergeCell ref="A16:A25"/>
    <mergeCell ref="A6:A14"/>
    <mergeCell ref="A257:A271"/>
    <mergeCell ref="A195:A222"/>
    <mergeCell ref="A224:A244"/>
    <mergeCell ref="A245:A255"/>
    <mergeCell ref="A69:A90"/>
    <mergeCell ref="A100:A131"/>
    <mergeCell ref="A133:A136"/>
    <mergeCell ref="A28:A48"/>
    <mergeCell ref="A138:A144"/>
    <mergeCell ref="A145:A173"/>
    <mergeCell ref="A192:A194"/>
    <mergeCell ref="A49:A66"/>
  </mergeCells>
  <pageMargins left="0" right="0" top="0" bottom="0" header="0.31496062992125984" footer="0.31496062992125984"/>
  <pageSetup paperSize="9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3" workbookViewId="0">
      <selection activeCell="N34" sqref="N34"/>
    </sheetView>
  </sheetViews>
  <sheetFormatPr defaultRowHeight="15" x14ac:dyDescent="0.25"/>
  <cols>
    <col min="1" max="1" width="54.7109375" customWidth="1"/>
    <col min="2" max="2" width="14.42578125" bestFit="1" customWidth="1"/>
    <col min="4" max="4" width="33" customWidth="1"/>
    <col min="8" max="8" width="11.42578125" style="1080" bestFit="1" customWidth="1"/>
    <col min="9" max="9" width="10.42578125" bestFit="1" customWidth="1"/>
    <col min="10" max="10" width="17.42578125" customWidth="1"/>
    <col min="11" max="11" width="10" bestFit="1" customWidth="1"/>
  </cols>
  <sheetData>
    <row r="1" spans="1:5" x14ac:dyDescent="0.25">
      <c r="A1" s="1033">
        <v>136272583</v>
      </c>
    </row>
    <row r="2" spans="1:5" x14ac:dyDescent="0.25">
      <c r="A2" s="1033">
        <v>46698000</v>
      </c>
    </row>
    <row r="3" spans="1:5" x14ac:dyDescent="0.25">
      <c r="A3" s="1033">
        <v>9900000</v>
      </c>
    </row>
    <row r="4" spans="1:5" x14ac:dyDescent="0.25">
      <c r="A4" s="1033">
        <v>0</v>
      </c>
    </row>
    <row r="5" spans="1:5" x14ac:dyDescent="0.25">
      <c r="A5" s="1033">
        <v>0</v>
      </c>
    </row>
    <row r="6" spans="1:5" x14ac:dyDescent="0.25">
      <c r="A6" s="1033">
        <v>59000000</v>
      </c>
    </row>
    <row r="7" spans="1:5" x14ac:dyDescent="0.25">
      <c r="A7" s="1033">
        <v>0</v>
      </c>
    </row>
    <row r="8" spans="1:5" x14ac:dyDescent="0.25">
      <c r="A8" s="1033">
        <v>0</v>
      </c>
    </row>
    <row r="9" spans="1:5" x14ac:dyDescent="0.25">
      <c r="A9" s="1033">
        <v>0</v>
      </c>
    </row>
    <row r="10" spans="1:5" x14ac:dyDescent="0.25">
      <c r="A10" s="1033">
        <v>-840000</v>
      </c>
    </row>
    <row r="14" spans="1:5" x14ac:dyDescent="0.25">
      <c r="D14" s="1080">
        <v>8000000</v>
      </c>
      <c r="E14" s="1081">
        <v>0.3</v>
      </c>
    </row>
    <row r="15" spans="1:5" x14ac:dyDescent="0.25">
      <c r="D15" s="1080">
        <f>+D14*E15/E14</f>
        <v>26666666.666666668</v>
      </c>
      <c r="E15" s="1081">
        <v>1</v>
      </c>
    </row>
    <row r="16" spans="1:5" x14ac:dyDescent="0.25">
      <c r="D16" s="1080">
        <v>350000</v>
      </c>
      <c r="E16" s="1080"/>
    </row>
    <row r="17" spans="2:11" x14ac:dyDescent="0.25">
      <c r="D17" s="1080">
        <f>SUM(D14:D16)</f>
        <v>35016666.666666672</v>
      </c>
      <c r="E17" s="1080"/>
    </row>
    <row r="18" spans="2:11" x14ac:dyDescent="0.25">
      <c r="B18" s="1105"/>
      <c r="D18" s="1080"/>
      <c r="E18" s="1080"/>
    </row>
    <row r="19" spans="2:11" x14ac:dyDescent="0.25">
      <c r="B19" s="1105"/>
      <c r="D19" s="1080"/>
      <c r="E19" s="1080"/>
    </row>
    <row r="20" spans="2:11" x14ac:dyDescent="0.25">
      <c r="B20" s="684"/>
      <c r="D20" s="1080"/>
      <c r="E20" s="1080"/>
    </row>
    <row r="21" spans="2:11" x14ac:dyDescent="0.25">
      <c r="D21" s="1080">
        <v>20000</v>
      </c>
      <c r="E21" s="1080"/>
      <c r="H21" s="1080">
        <v>80000</v>
      </c>
      <c r="I21" s="1080">
        <v>600000</v>
      </c>
    </row>
    <row r="22" spans="2:11" x14ac:dyDescent="0.25">
      <c r="D22" s="1080">
        <v>92146</v>
      </c>
      <c r="E22" s="1080"/>
      <c r="H22" s="1080">
        <v>75000</v>
      </c>
      <c r="I22" s="1080">
        <v>1100000</v>
      </c>
      <c r="J22" s="1033"/>
    </row>
    <row r="23" spans="2:11" x14ac:dyDescent="0.25">
      <c r="D23" s="1080">
        <v>255130</v>
      </c>
      <c r="E23" s="1080"/>
      <c r="H23" s="1080">
        <v>50000</v>
      </c>
      <c r="I23" s="1080">
        <v>200000</v>
      </c>
      <c r="J23" s="1033">
        <v>4340000</v>
      </c>
    </row>
    <row r="24" spans="2:11" x14ac:dyDescent="0.25">
      <c r="D24" s="1080">
        <v>327424</v>
      </c>
      <c r="E24" s="1080"/>
      <c r="H24" s="1080">
        <v>42000</v>
      </c>
      <c r="I24" s="1080">
        <v>100000</v>
      </c>
      <c r="J24" s="1033">
        <v>19638000</v>
      </c>
    </row>
    <row r="25" spans="2:11" x14ac:dyDescent="0.25">
      <c r="D25" s="1080">
        <v>266986</v>
      </c>
      <c r="E25" s="1080"/>
      <c r="H25" s="1080">
        <v>40000</v>
      </c>
      <c r="I25" s="1080">
        <v>100000</v>
      </c>
      <c r="J25" s="1033">
        <v>900000</v>
      </c>
    </row>
    <row r="26" spans="2:11" x14ac:dyDescent="0.25">
      <c r="D26" s="1080">
        <v>437711</v>
      </c>
      <c r="E26" s="1080"/>
      <c r="H26" s="1080">
        <v>380000</v>
      </c>
      <c r="I26" s="1080">
        <v>100000</v>
      </c>
      <c r="J26" s="1033">
        <f>SUM(J23:J25)</f>
        <v>24878000</v>
      </c>
    </row>
    <row r="27" spans="2:11" x14ac:dyDescent="0.25">
      <c r="D27" s="1080">
        <v>299286</v>
      </c>
      <c r="E27" s="1080"/>
      <c r="H27" s="1080">
        <v>50000</v>
      </c>
      <c r="I27" s="1080">
        <v>100000</v>
      </c>
      <c r="J27" s="1033">
        <v>2487800</v>
      </c>
    </row>
    <row r="28" spans="2:11" x14ac:dyDescent="0.25">
      <c r="D28" s="1080">
        <v>248498</v>
      </c>
      <c r="E28" s="1080"/>
      <c r="H28" s="1080">
        <v>200000</v>
      </c>
      <c r="I28" s="1080">
        <v>100000</v>
      </c>
      <c r="J28" s="1033">
        <f>SUM(J26:J27)</f>
        <v>27365800</v>
      </c>
    </row>
    <row r="29" spans="2:11" x14ac:dyDescent="0.25">
      <c r="D29" s="1080">
        <v>260044</v>
      </c>
      <c r="E29" s="1080"/>
      <c r="H29" s="1080">
        <v>60000</v>
      </c>
      <c r="I29" s="1080">
        <v>100000</v>
      </c>
      <c r="J29" s="1033">
        <v>164313600</v>
      </c>
      <c r="K29">
        <f>+J29/1.1</f>
        <v>149376000</v>
      </c>
    </row>
    <row r="30" spans="2:11" x14ac:dyDescent="0.25">
      <c r="D30" s="1080">
        <v>357241</v>
      </c>
      <c r="H30" s="1080">
        <v>100000</v>
      </c>
      <c r="I30" s="1080"/>
      <c r="J30" s="1033">
        <f>+J29*20%</f>
        <v>32862720</v>
      </c>
      <c r="K30">
        <f>+K29*20%</f>
        <v>29875200</v>
      </c>
    </row>
    <row r="31" spans="2:11" x14ac:dyDescent="0.25">
      <c r="D31" s="1080">
        <v>143636</v>
      </c>
      <c r="H31" s="1080">
        <v>150000</v>
      </c>
      <c r="I31" s="1080"/>
      <c r="J31" s="1033"/>
    </row>
    <row r="32" spans="2:11" x14ac:dyDescent="0.25">
      <c r="D32" s="1080">
        <v>284423</v>
      </c>
      <c r="H32" s="1080">
        <v>200000</v>
      </c>
      <c r="I32" s="1080"/>
      <c r="J32" s="1033"/>
    </row>
    <row r="33" spans="4:10" x14ac:dyDescent="0.25">
      <c r="D33" s="1080">
        <v>136363</v>
      </c>
      <c r="H33" s="1080">
        <v>345000</v>
      </c>
      <c r="I33" s="1080"/>
      <c r="J33" s="1033"/>
    </row>
    <row r="34" spans="4:10" x14ac:dyDescent="0.25">
      <c r="D34" s="1080">
        <v>182332</v>
      </c>
      <c r="H34" s="1080">
        <v>130000</v>
      </c>
      <c r="I34" s="1080"/>
      <c r="J34" s="1033"/>
    </row>
    <row r="35" spans="4:10" x14ac:dyDescent="0.25">
      <c r="D35" s="1080">
        <v>245782</v>
      </c>
      <c r="H35" s="1080">
        <v>60000</v>
      </c>
      <c r="I35" s="1080"/>
      <c r="J35" s="1033"/>
    </row>
    <row r="36" spans="4:10" x14ac:dyDescent="0.25">
      <c r="D36" s="1080">
        <v>314501</v>
      </c>
      <c r="H36" s="1080">
        <v>231000</v>
      </c>
      <c r="I36" s="1080"/>
      <c r="J36" s="1033"/>
    </row>
    <row r="37" spans="4:10" x14ac:dyDescent="0.25">
      <c r="D37" s="1080">
        <v>176363</v>
      </c>
      <c r="H37" s="1080">
        <v>70000</v>
      </c>
      <c r="I37" s="1080"/>
      <c r="J37" s="1033"/>
    </row>
    <row r="38" spans="4:10" x14ac:dyDescent="0.25">
      <c r="D38" s="1080">
        <v>181818</v>
      </c>
      <c r="H38" s="1080">
        <f>SUM(H21:H37)</f>
        <v>2263000</v>
      </c>
      <c r="I38" s="1080">
        <f>SUM(I21:I37)</f>
        <v>2500000</v>
      </c>
      <c r="J38" s="1033">
        <f>+H38+I38</f>
        <v>4763000</v>
      </c>
    </row>
    <row r="39" spans="4:10" x14ac:dyDescent="0.25">
      <c r="D39" s="1080">
        <v>264819</v>
      </c>
      <c r="J39" s="1033"/>
    </row>
    <row r="40" spans="4:10" x14ac:dyDescent="0.25">
      <c r="D40" s="1080">
        <v>131818</v>
      </c>
      <c r="H40" s="1080">
        <v>60700000</v>
      </c>
      <c r="J40" s="1033"/>
    </row>
    <row r="41" spans="4:10" x14ac:dyDescent="0.25">
      <c r="D41" s="1080">
        <v>131818</v>
      </c>
      <c r="H41" s="1080">
        <f>+H40*10%</f>
        <v>6070000</v>
      </c>
      <c r="J41" s="1033"/>
    </row>
    <row r="42" spans="4:10" x14ac:dyDescent="0.25">
      <c r="D42" s="1080">
        <v>86681</v>
      </c>
      <c r="H42" s="1080">
        <f>SUM(H40:H41)</f>
        <v>66770000</v>
      </c>
    </row>
    <row r="43" spans="4:10" x14ac:dyDescent="0.25">
      <c r="D43" s="1080">
        <v>134573</v>
      </c>
      <c r="H43" s="1080">
        <v>665500</v>
      </c>
    </row>
    <row r="44" spans="4:10" x14ac:dyDescent="0.25">
      <c r="D44" s="1137">
        <f>SUM(D21:D43)</f>
        <v>4979393</v>
      </c>
      <c r="H44" s="1080">
        <f>+H42-H43</f>
        <v>66104500</v>
      </c>
    </row>
    <row r="45" spans="4:10" x14ac:dyDescent="0.25">
      <c r="D45" s="1137">
        <v>33611</v>
      </c>
    </row>
    <row r="46" spans="4:10" x14ac:dyDescent="0.25">
      <c r="D46" s="1137">
        <f>+D44-D45</f>
        <v>4945782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4:L28"/>
  <sheetViews>
    <sheetView workbookViewId="0">
      <selection activeCell="E31" sqref="E31"/>
    </sheetView>
  </sheetViews>
  <sheetFormatPr defaultColWidth="9.28515625" defaultRowHeight="16.5" x14ac:dyDescent="0.25"/>
  <cols>
    <col min="1" max="2" width="9.28515625" style="233"/>
    <col min="3" max="3" width="28.7109375" style="233" customWidth="1"/>
    <col min="4" max="4" width="21.140625" style="234" customWidth="1"/>
    <col min="5" max="5" width="21.140625" style="233" customWidth="1"/>
    <col min="6" max="6" width="22.28515625" style="233" customWidth="1"/>
    <col min="7" max="7" width="18.85546875" style="234" customWidth="1"/>
    <col min="8" max="8" width="17.42578125" style="233" customWidth="1"/>
    <col min="9" max="11" width="9.28515625" style="233"/>
    <col min="12" max="12" width="18.42578125" style="233" bestFit="1" customWidth="1"/>
    <col min="13" max="16384" width="9.28515625" style="233"/>
  </cols>
  <sheetData>
    <row r="4" spans="1:8" x14ac:dyDescent="0.25">
      <c r="A4" s="369"/>
    </row>
    <row r="5" spans="1:8" x14ac:dyDescent="0.25">
      <c r="C5" s="233" t="s">
        <v>591</v>
      </c>
      <c r="F5" s="233" t="s">
        <v>192</v>
      </c>
    </row>
    <row r="6" spans="1:8" x14ac:dyDescent="0.25">
      <c r="C6" s="370" t="s">
        <v>592</v>
      </c>
      <c r="D6" s="371" t="s">
        <v>593</v>
      </c>
      <c r="F6" s="233" t="s">
        <v>592</v>
      </c>
      <c r="G6" s="234" t="s">
        <v>593</v>
      </c>
    </row>
    <row r="7" spans="1:8" x14ac:dyDescent="0.25">
      <c r="C7" s="372" t="s">
        <v>594</v>
      </c>
      <c r="D7" s="373">
        <v>814000</v>
      </c>
      <c r="F7" s="233" t="s">
        <v>214</v>
      </c>
      <c r="G7" s="234">
        <v>23860000</v>
      </c>
    </row>
    <row r="8" spans="1:8" x14ac:dyDescent="0.25">
      <c r="C8" s="374" t="s">
        <v>595</v>
      </c>
      <c r="D8" s="375">
        <v>3470000</v>
      </c>
      <c r="F8" s="233" t="s">
        <v>97</v>
      </c>
      <c r="G8" s="234">
        <v>21520000</v>
      </c>
    </row>
    <row r="9" spans="1:8" x14ac:dyDescent="0.25">
      <c r="C9" s="374" t="s">
        <v>595</v>
      </c>
      <c r="D9" s="375">
        <v>8912000</v>
      </c>
      <c r="F9" s="233" t="s">
        <v>101</v>
      </c>
      <c r="G9" s="234">
        <v>15360000</v>
      </c>
    </row>
    <row r="10" spans="1:8" x14ac:dyDescent="0.25">
      <c r="C10" s="374"/>
      <c r="D10" s="375"/>
      <c r="F10" s="233" t="s">
        <v>596</v>
      </c>
      <c r="G10" s="234">
        <v>1450000</v>
      </c>
    </row>
    <row r="11" spans="1:8" x14ac:dyDescent="0.25">
      <c r="C11" s="374"/>
      <c r="D11" s="375"/>
      <c r="F11" s="458" t="s">
        <v>105</v>
      </c>
      <c r="G11" s="234">
        <v>1022000</v>
      </c>
      <c r="H11" s="233" t="s">
        <v>597</v>
      </c>
    </row>
    <row r="12" spans="1:8" x14ac:dyDescent="0.25">
      <c r="C12" s="374"/>
      <c r="D12" s="375"/>
      <c r="F12" s="233" t="s">
        <v>598</v>
      </c>
      <c r="G12" s="234">
        <v>4829000</v>
      </c>
      <c r="H12" s="233" t="s">
        <v>597</v>
      </c>
    </row>
    <row r="13" spans="1:8" x14ac:dyDescent="0.25">
      <c r="C13" s="374"/>
      <c r="D13" s="375"/>
    </row>
    <row r="14" spans="1:8" x14ac:dyDescent="0.25">
      <c r="C14" s="374"/>
      <c r="D14" s="375"/>
      <c r="F14" s="233" t="s">
        <v>599</v>
      </c>
      <c r="G14" s="234">
        <v>3854000</v>
      </c>
      <c r="H14" s="233" t="s">
        <v>597</v>
      </c>
    </row>
    <row r="15" spans="1:8" x14ac:dyDescent="0.25">
      <c r="C15" s="374"/>
      <c r="D15" s="375"/>
      <c r="F15" s="233" t="s">
        <v>600</v>
      </c>
      <c r="G15" s="234">
        <v>2252000</v>
      </c>
      <c r="H15" s="233" t="s">
        <v>597</v>
      </c>
    </row>
    <row r="16" spans="1:8" x14ac:dyDescent="0.25">
      <c r="C16" s="374"/>
      <c r="D16" s="375"/>
    </row>
    <row r="17" spans="3:12" x14ac:dyDescent="0.25">
      <c r="C17" s="374"/>
      <c r="D17" s="375"/>
    </row>
    <row r="18" spans="3:12" x14ac:dyDescent="0.25">
      <c r="C18" s="374"/>
      <c r="D18" s="375"/>
      <c r="L18" s="234"/>
    </row>
    <row r="19" spans="3:12" x14ac:dyDescent="0.25">
      <c r="C19" s="374"/>
      <c r="D19" s="375"/>
    </row>
    <row r="20" spans="3:12" x14ac:dyDescent="0.25">
      <c r="C20" s="374"/>
      <c r="D20" s="375"/>
      <c r="L20" s="682"/>
    </row>
    <row r="21" spans="3:12" x14ac:dyDescent="0.25">
      <c r="C21" s="374"/>
      <c r="D21" s="375"/>
    </row>
    <row r="22" spans="3:12" x14ac:dyDescent="0.25">
      <c r="C22" s="374"/>
      <c r="D22" s="375"/>
    </row>
    <row r="23" spans="3:12" x14ac:dyDescent="0.25">
      <c r="C23" s="374"/>
      <c r="D23" s="375"/>
      <c r="H23" s="233" t="s">
        <v>2</v>
      </c>
    </row>
    <row r="24" spans="3:12" x14ac:dyDescent="0.25">
      <c r="C24" s="374"/>
      <c r="D24" s="375"/>
    </row>
    <row r="25" spans="3:12" x14ac:dyDescent="0.25">
      <c r="C25" s="374"/>
      <c r="D25" s="375"/>
    </row>
    <row r="26" spans="3:12" x14ac:dyDescent="0.25">
      <c r="C26" s="374"/>
      <c r="D26" s="375"/>
    </row>
    <row r="27" spans="3:12" x14ac:dyDescent="0.25">
      <c r="C27" s="374"/>
      <c r="D27" s="375"/>
    </row>
    <row r="28" spans="3:12" x14ac:dyDescent="0.25">
      <c r="C28" s="376"/>
      <c r="D28" s="37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4:I64"/>
  <sheetViews>
    <sheetView topLeftCell="A28" workbookViewId="0">
      <selection activeCell="B61" sqref="B61"/>
    </sheetView>
  </sheetViews>
  <sheetFormatPr defaultColWidth="9.28515625" defaultRowHeight="16.5" x14ac:dyDescent="0.25"/>
  <cols>
    <col min="1" max="1" width="28.7109375" style="435" customWidth="1"/>
    <col min="2" max="2" width="28.5703125" style="612" customWidth="1"/>
    <col min="3" max="3" width="47" style="590" customWidth="1"/>
    <col min="4" max="4" width="23.140625" style="591" customWidth="1"/>
    <col min="5" max="5" width="52.140625" style="591" customWidth="1"/>
    <col min="6" max="6" width="26.140625" style="591" customWidth="1"/>
    <col min="7" max="7" width="44.7109375" style="592" customWidth="1"/>
    <col min="8" max="8" width="12.28515625" style="233" customWidth="1"/>
    <col min="9" max="9" width="18.7109375" style="233" customWidth="1"/>
    <col min="10" max="16384" width="9.28515625" style="233"/>
  </cols>
  <sheetData>
    <row r="4" spans="1:7" x14ac:dyDescent="0.25">
      <c r="A4" s="1251" t="s">
        <v>601</v>
      </c>
      <c r="B4" s="1251"/>
      <c r="C4" s="1251"/>
      <c r="D4" s="1251"/>
      <c r="E4" s="1251"/>
      <c r="F4" s="1251"/>
      <c r="G4" s="1251"/>
    </row>
    <row r="5" spans="1:7" x14ac:dyDescent="0.25">
      <c r="A5" s="1251"/>
      <c r="B5" s="1251"/>
      <c r="C5" s="1251"/>
      <c r="D5" s="1251"/>
      <c r="E5" s="1251"/>
      <c r="F5" s="1251"/>
      <c r="G5" s="1251"/>
    </row>
    <row r="6" spans="1:7" ht="17.25" thickBot="1" x14ac:dyDescent="0.3"/>
    <row r="7" spans="1:7" ht="45" customHeight="1" x14ac:dyDescent="0.25">
      <c r="A7" s="556" t="s">
        <v>4</v>
      </c>
      <c r="B7" s="557" t="s">
        <v>602</v>
      </c>
      <c r="C7" s="558" t="s">
        <v>593</v>
      </c>
      <c r="D7" s="559" t="s">
        <v>603</v>
      </c>
      <c r="E7" s="1048" t="s">
        <v>6</v>
      </c>
      <c r="F7" s="1048" t="s">
        <v>604</v>
      </c>
      <c r="G7" s="597" t="s">
        <v>605</v>
      </c>
    </row>
    <row r="8" spans="1:7" ht="42.75" customHeight="1" x14ac:dyDescent="0.25">
      <c r="A8" s="1166" t="s">
        <v>544</v>
      </c>
      <c r="B8" s="1167" t="s">
        <v>606</v>
      </c>
      <c r="C8" s="1168">
        <v>2000000</v>
      </c>
      <c r="D8" s="1169">
        <v>43844</v>
      </c>
      <c r="E8" s="1049" t="s">
        <v>607</v>
      </c>
      <c r="F8" s="1049"/>
      <c r="G8" s="573"/>
    </row>
    <row r="9" spans="1:7" ht="45" customHeight="1" x14ac:dyDescent="0.25">
      <c r="A9" s="1166" t="s">
        <v>19</v>
      </c>
      <c r="B9" s="1072" t="s">
        <v>608</v>
      </c>
      <c r="C9" s="1073">
        <v>3000000</v>
      </c>
      <c r="D9" s="1169">
        <v>43846</v>
      </c>
      <c r="E9" s="1049" t="s">
        <v>609</v>
      </c>
      <c r="F9" s="1049"/>
      <c r="G9" s="573"/>
    </row>
    <row r="10" spans="1:7" ht="42.75" customHeight="1" x14ac:dyDescent="0.25">
      <c r="A10" s="1166" t="s">
        <v>610</v>
      </c>
      <c r="B10" s="1167" t="s">
        <v>611</v>
      </c>
      <c r="C10" s="1168">
        <v>10000000</v>
      </c>
      <c r="D10" s="1169">
        <v>43847</v>
      </c>
      <c r="E10" s="1049" t="s">
        <v>612</v>
      </c>
      <c r="F10" s="1049"/>
      <c r="G10" s="573"/>
    </row>
    <row r="11" spans="1:7" ht="45" customHeight="1" x14ac:dyDescent="0.25">
      <c r="A11" s="1166" t="s">
        <v>19</v>
      </c>
      <c r="B11" s="1072" t="s">
        <v>608</v>
      </c>
      <c r="C11" s="1073">
        <v>3000000</v>
      </c>
      <c r="D11" s="1169">
        <v>43840</v>
      </c>
      <c r="E11" s="1049" t="s">
        <v>609</v>
      </c>
      <c r="F11" s="1049"/>
      <c r="G11" s="573" t="s">
        <v>613</v>
      </c>
    </row>
    <row r="12" spans="1:7" ht="45" customHeight="1" x14ac:dyDescent="0.25">
      <c r="A12" s="1166" t="s">
        <v>19</v>
      </c>
      <c r="B12" s="1072" t="s">
        <v>608</v>
      </c>
      <c r="C12" s="1073">
        <v>4000000</v>
      </c>
      <c r="D12" s="1169">
        <v>43834</v>
      </c>
      <c r="E12" s="1049" t="s">
        <v>614</v>
      </c>
      <c r="F12" s="1049"/>
      <c r="G12" s="573"/>
    </row>
    <row r="13" spans="1:7" ht="45" customHeight="1" x14ac:dyDescent="0.25">
      <c r="A13" s="1166" t="s">
        <v>615</v>
      </c>
      <c r="B13" s="1167" t="s">
        <v>616</v>
      </c>
      <c r="C13" s="1168">
        <v>3000000</v>
      </c>
      <c r="D13" s="1169">
        <v>43841</v>
      </c>
      <c r="E13" s="1049" t="s">
        <v>617</v>
      </c>
      <c r="F13" s="1049"/>
      <c r="G13" s="573"/>
    </row>
    <row r="14" spans="1:7" ht="45" customHeight="1" x14ac:dyDescent="0.25">
      <c r="A14" s="1166" t="s">
        <v>618</v>
      </c>
      <c r="B14" s="1167" t="s">
        <v>619</v>
      </c>
      <c r="C14" s="1168">
        <v>880000</v>
      </c>
      <c r="D14" s="1169">
        <v>43833</v>
      </c>
      <c r="E14" s="1049" t="s">
        <v>620</v>
      </c>
      <c r="F14" s="1049"/>
      <c r="G14" s="573" t="s">
        <v>621</v>
      </c>
    </row>
    <row r="15" spans="1:7" ht="42.75" customHeight="1" x14ac:dyDescent="0.25">
      <c r="A15" s="1166" t="s">
        <v>622</v>
      </c>
      <c r="B15" s="1167" t="s">
        <v>606</v>
      </c>
      <c r="C15" s="1168">
        <v>2000000</v>
      </c>
      <c r="D15" s="1169">
        <v>43900</v>
      </c>
      <c r="E15" s="1049" t="s">
        <v>623</v>
      </c>
      <c r="F15" s="1049"/>
      <c r="G15" s="573"/>
    </row>
    <row r="16" spans="1:7" ht="42.75" customHeight="1" x14ac:dyDescent="0.25">
      <c r="A16" s="1166" t="s">
        <v>624</v>
      </c>
      <c r="B16" s="1167" t="s">
        <v>611</v>
      </c>
      <c r="C16" s="1168">
        <v>5000000</v>
      </c>
      <c r="D16" s="1169">
        <v>43909</v>
      </c>
      <c r="E16" s="1049" t="s">
        <v>625</v>
      </c>
      <c r="F16" s="1049"/>
      <c r="G16" s="573" t="s">
        <v>626</v>
      </c>
    </row>
    <row r="17" spans="1:9" ht="45" customHeight="1" x14ac:dyDescent="0.25">
      <c r="A17" s="1166" t="s">
        <v>622</v>
      </c>
      <c r="B17" s="1167" t="s">
        <v>606</v>
      </c>
      <c r="C17" s="1168">
        <v>1000000</v>
      </c>
      <c r="D17" s="1169">
        <v>43932</v>
      </c>
      <c r="E17" s="1049" t="s">
        <v>627</v>
      </c>
      <c r="F17" s="1049"/>
      <c r="G17" s="596"/>
    </row>
    <row r="18" spans="1:9" ht="45" customHeight="1" x14ac:dyDescent="0.25">
      <c r="A18" s="1166" t="s">
        <v>628</v>
      </c>
      <c r="B18" s="1167" t="s">
        <v>606</v>
      </c>
      <c r="C18" s="1168">
        <v>2000000</v>
      </c>
      <c r="D18" s="1169">
        <v>43945</v>
      </c>
      <c r="E18" s="1049" t="s">
        <v>629</v>
      </c>
      <c r="F18" s="1049"/>
      <c r="G18" s="596"/>
    </row>
    <row r="19" spans="1:9" s="572" customFormat="1" ht="42.75" customHeight="1" x14ac:dyDescent="0.25">
      <c r="A19" s="1166" t="s">
        <v>622</v>
      </c>
      <c r="B19" s="1167" t="s">
        <v>606</v>
      </c>
      <c r="C19" s="1168">
        <v>2000000</v>
      </c>
      <c r="D19" s="1169">
        <v>43959</v>
      </c>
      <c r="E19" s="1049"/>
      <c r="F19" s="1049"/>
      <c r="G19" s="573" t="s">
        <v>630</v>
      </c>
    </row>
    <row r="20" spans="1:9" ht="42.75" customHeight="1" x14ac:dyDescent="0.25">
      <c r="A20" s="1166" t="s">
        <v>631</v>
      </c>
      <c r="B20" s="1167" t="s">
        <v>611</v>
      </c>
      <c r="C20" s="1168">
        <v>500000</v>
      </c>
      <c r="D20" s="1169">
        <v>43973</v>
      </c>
      <c r="E20" s="1049"/>
      <c r="F20" s="1049"/>
      <c r="G20" s="573" t="s">
        <v>632</v>
      </c>
    </row>
    <row r="21" spans="1:9" ht="45" customHeight="1" x14ac:dyDescent="0.25">
      <c r="A21" s="573"/>
      <c r="B21" s="593"/>
      <c r="C21" s="594"/>
      <c r="D21" s="595"/>
      <c r="E21" s="1049"/>
      <c r="F21" s="1049"/>
      <c r="G21" s="573"/>
    </row>
    <row r="22" spans="1:9" x14ac:dyDescent="0.25">
      <c r="A22" s="573"/>
      <c r="B22" s="593"/>
      <c r="C22" s="594"/>
      <c r="D22" s="595"/>
      <c r="E22" s="595"/>
      <c r="F22" s="595"/>
      <c r="G22" s="596"/>
    </row>
    <row r="23" spans="1:9" x14ac:dyDescent="0.25">
      <c r="A23" s="1092"/>
      <c r="B23" s="1093"/>
      <c r="C23" s="1094"/>
      <c r="D23" s="1095"/>
      <c r="E23" s="1095"/>
      <c r="F23" s="1095"/>
      <c r="G23" s="1096"/>
    </row>
    <row r="24" spans="1:9" x14ac:dyDescent="0.25">
      <c r="A24" s="1092"/>
      <c r="B24" s="1093"/>
      <c r="C24" s="1094"/>
      <c r="D24" s="1095"/>
      <c r="E24" s="1095"/>
      <c r="F24" s="1095"/>
      <c r="G24" s="1096"/>
    </row>
    <row r="25" spans="1:9" x14ac:dyDescent="0.25">
      <c r="A25" s="1092"/>
      <c r="B25" s="1093"/>
      <c r="C25" s="1094"/>
      <c r="D25" s="1095"/>
      <c r="E25" s="1095"/>
      <c r="F25" s="1095"/>
      <c r="G25" s="1096"/>
    </row>
    <row r="26" spans="1:9" x14ac:dyDescent="0.25">
      <c r="A26" s="1092"/>
      <c r="B26" s="1093"/>
      <c r="C26" s="1094"/>
      <c r="D26" s="1095"/>
      <c r="E26" s="1095"/>
      <c r="F26" s="1095"/>
      <c r="G26" s="1096"/>
    </row>
    <row r="27" spans="1:9" x14ac:dyDescent="0.25">
      <c r="A27" s="1092"/>
      <c r="B27" s="1093"/>
      <c r="C27" s="1094"/>
      <c r="D27" s="1095"/>
      <c r="E27" s="1095"/>
      <c r="F27" s="1095"/>
      <c r="G27" s="1096"/>
    </row>
    <row r="28" spans="1:9" x14ac:dyDescent="0.25">
      <c r="A28" s="1092"/>
      <c r="B28" s="1093"/>
      <c r="C28" s="1094"/>
      <c r="D28" s="1095"/>
      <c r="E28" s="1095"/>
      <c r="F28" s="1095"/>
      <c r="G28" s="1096"/>
    </row>
    <row r="30" spans="1:9" s="1051" customFormat="1" ht="20.25" x14ac:dyDescent="0.3">
      <c r="A30" s="1252" t="s">
        <v>633</v>
      </c>
      <c r="B30" s="1252"/>
      <c r="C30" s="1252"/>
      <c r="D30" s="1252"/>
      <c r="E30" s="1252"/>
      <c r="F30" s="1252"/>
      <c r="G30" s="1252"/>
      <c r="H30" s="1252"/>
      <c r="I30" s="1252"/>
    </row>
    <row r="31" spans="1:9" s="1051" customFormat="1" ht="15" x14ac:dyDescent="0.25"/>
    <row r="32" spans="1:9" s="1051" customFormat="1" ht="31.5" x14ac:dyDescent="0.25">
      <c r="A32" s="1052" t="s">
        <v>634</v>
      </c>
      <c r="B32" s="1052" t="s">
        <v>4</v>
      </c>
      <c r="C32" s="1052" t="s">
        <v>635</v>
      </c>
      <c r="D32" s="1053" t="s">
        <v>636</v>
      </c>
      <c r="E32" s="1053" t="s">
        <v>637</v>
      </c>
      <c r="F32" s="1052" t="s">
        <v>603</v>
      </c>
      <c r="G32" s="1053" t="s">
        <v>638</v>
      </c>
      <c r="H32" s="1053" t="s">
        <v>639</v>
      </c>
      <c r="I32" s="1052" t="s">
        <v>605</v>
      </c>
    </row>
    <row r="33" spans="1:9" s="1051" customFormat="1" ht="15" x14ac:dyDescent="0.25">
      <c r="A33" s="1070">
        <v>1</v>
      </c>
      <c r="B33" s="1058" t="s">
        <v>610</v>
      </c>
      <c r="C33" s="1058" t="s">
        <v>640</v>
      </c>
      <c r="D33" s="1084" t="s">
        <v>641</v>
      </c>
      <c r="E33" s="1085">
        <v>200000</v>
      </c>
      <c r="F33" s="1061">
        <v>44056</v>
      </c>
      <c r="G33" s="1060"/>
      <c r="H33" s="1058"/>
      <c r="I33" s="1058" t="s">
        <v>642</v>
      </c>
    </row>
    <row r="34" spans="1:9" s="1051" customFormat="1" ht="15" x14ac:dyDescent="0.25">
      <c r="A34" s="1070">
        <f>1+A33</f>
        <v>2</v>
      </c>
      <c r="B34" s="1058" t="s">
        <v>643</v>
      </c>
      <c r="C34" s="1058" t="s">
        <v>644</v>
      </c>
      <c r="D34" s="1058" t="s">
        <v>645</v>
      </c>
      <c r="E34" s="1059">
        <v>2000000</v>
      </c>
      <c r="F34" s="1061">
        <v>44097</v>
      </c>
      <c r="G34" s="1060"/>
      <c r="H34" s="1058"/>
      <c r="I34" s="1058" t="s">
        <v>646</v>
      </c>
    </row>
    <row r="35" spans="1:9" s="1051" customFormat="1" ht="15" x14ac:dyDescent="0.25">
      <c r="A35" s="1070">
        <f t="shared" ref="A35:A63" si="0">1+A34</f>
        <v>3</v>
      </c>
      <c r="B35" s="1058" t="s">
        <v>647</v>
      </c>
      <c r="C35" s="1058" t="s">
        <v>648</v>
      </c>
      <c r="D35" s="1058" t="s">
        <v>649</v>
      </c>
      <c r="E35" s="1059">
        <v>3000000</v>
      </c>
      <c r="F35" s="1061">
        <v>44104</v>
      </c>
      <c r="G35" s="1060"/>
      <c r="H35" s="1058"/>
      <c r="I35" s="1058" t="s">
        <v>646</v>
      </c>
    </row>
    <row r="36" spans="1:9" s="1051" customFormat="1" ht="15" x14ac:dyDescent="0.25">
      <c r="A36" s="1070">
        <f t="shared" si="0"/>
        <v>4</v>
      </c>
      <c r="B36" s="1058" t="s">
        <v>610</v>
      </c>
      <c r="C36" s="1058" t="s">
        <v>650</v>
      </c>
      <c r="D36" s="1058" t="s">
        <v>651</v>
      </c>
      <c r="E36" s="1059">
        <v>1000000</v>
      </c>
      <c r="F36" s="1061">
        <v>44124</v>
      </c>
      <c r="G36" s="1060"/>
      <c r="H36" s="1058"/>
      <c r="I36" s="1058" t="s">
        <v>642</v>
      </c>
    </row>
    <row r="37" spans="1:9" s="1051" customFormat="1" ht="15" x14ac:dyDescent="0.25">
      <c r="A37" s="1070">
        <f t="shared" si="0"/>
        <v>5</v>
      </c>
      <c r="B37" s="1058" t="s">
        <v>610</v>
      </c>
      <c r="C37" s="1058" t="s">
        <v>652</v>
      </c>
      <c r="D37" s="1058" t="s">
        <v>653</v>
      </c>
      <c r="E37" s="1059">
        <v>2000000</v>
      </c>
      <c r="F37" s="1061">
        <v>44125</v>
      </c>
      <c r="G37" s="1060"/>
      <c r="H37" s="1058"/>
      <c r="I37" s="1058" t="s">
        <v>646</v>
      </c>
    </row>
    <row r="38" spans="1:9" s="1051" customFormat="1" ht="15" x14ac:dyDescent="0.25">
      <c r="A38" s="1070">
        <f t="shared" si="0"/>
        <v>6</v>
      </c>
      <c r="B38" s="1062" t="s">
        <v>654</v>
      </c>
      <c r="C38" s="1062" t="s">
        <v>607</v>
      </c>
      <c r="D38" s="1062" t="s">
        <v>653</v>
      </c>
      <c r="E38" s="1063">
        <v>2000000</v>
      </c>
      <c r="F38" s="1103">
        <v>44140</v>
      </c>
      <c r="G38" s="1064"/>
      <c r="H38" s="1062"/>
      <c r="I38" s="1062" t="s">
        <v>646</v>
      </c>
    </row>
    <row r="39" spans="1:9" s="1051" customFormat="1" ht="15" x14ac:dyDescent="0.25">
      <c r="A39" s="1070">
        <f t="shared" si="0"/>
        <v>7</v>
      </c>
      <c r="B39" s="1062" t="s">
        <v>654</v>
      </c>
      <c r="C39" s="1062" t="s">
        <v>655</v>
      </c>
      <c r="D39" s="1062" t="s">
        <v>653</v>
      </c>
      <c r="E39" s="1063">
        <v>1000000</v>
      </c>
      <c r="F39" s="1103">
        <v>44140</v>
      </c>
      <c r="G39" s="1064"/>
      <c r="H39" s="1062"/>
      <c r="I39" s="1062" t="s">
        <v>656</v>
      </c>
    </row>
    <row r="40" spans="1:9" s="1051" customFormat="1" ht="15" x14ac:dyDescent="0.25">
      <c r="A40" s="1070">
        <f t="shared" si="0"/>
        <v>8</v>
      </c>
      <c r="B40" s="1062" t="s">
        <v>654</v>
      </c>
      <c r="C40" s="1062" t="s">
        <v>657</v>
      </c>
      <c r="D40" s="1062" t="s">
        <v>653</v>
      </c>
      <c r="E40" s="1063">
        <v>1000000</v>
      </c>
      <c r="F40" s="1103">
        <v>44146</v>
      </c>
      <c r="G40" s="1064"/>
      <c r="H40" s="1062"/>
      <c r="I40" s="1062" t="s">
        <v>642</v>
      </c>
    </row>
    <row r="41" spans="1:9" s="1051" customFormat="1" ht="15" x14ac:dyDescent="0.25">
      <c r="A41" s="1070">
        <f t="shared" si="0"/>
        <v>9</v>
      </c>
      <c r="B41" s="1062" t="s">
        <v>658</v>
      </c>
      <c r="C41" s="1062" t="s">
        <v>607</v>
      </c>
      <c r="D41" s="1062" t="s">
        <v>659</v>
      </c>
      <c r="E41" s="1063">
        <v>5000000</v>
      </c>
      <c r="F41" s="1103">
        <v>44148</v>
      </c>
      <c r="G41" s="1064"/>
      <c r="H41" s="1062"/>
      <c r="I41" s="1062" t="s">
        <v>646</v>
      </c>
    </row>
    <row r="42" spans="1:9" s="1051" customFormat="1" ht="15" x14ac:dyDescent="0.25">
      <c r="A42" s="1070">
        <f t="shared" si="0"/>
        <v>10</v>
      </c>
      <c r="B42" s="1058" t="s">
        <v>660</v>
      </c>
      <c r="C42" s="1058" t="s">
        <v>661</v>
      </c>
      <c r="D42" s="1058" t="s">
        <v>662</v>
      </c>
      <c r="E42" s="1059">
        <v>3000000</v>
      </c>
      <c r="F42" s="1061">
        <v>44148</v>
      </c>
      <c r="G42" s="1064"/>
      <c r="H42" s="1062"/>
      <c r="I42" s="1062" t="s">
        <v>663</v>
      </c>
    </row>
    <row r="43" spans="1:9" s="1051" customFormat="1" ht="15" x14ac:dyDescent="0.25">
      <c r="A43" s="1070">
        <f t="shared" si="0"/>
        <v>11</v>
      </c>
      <c r="B43" s="1062" t="s">
        <v>664</v>
      </c>
      <c r="C43" s="1062" t="s">
        <v>665</v>
      </c>
      <c r="D43" s="1062" t="s">
        <v>651</v>
      </c>
      <c r="E43" s="1063">
        <v>2000000</v>
      </c>
      <c r="F43" s="1103">
        <v>44161</v>
      </c>
      <c r="G43" s="1064"/>
      <c r="H43" s="1062"/>
      <c r="I43" s="1062" t="s">
        <v>646</v>
      </c>
    </row>
    <row r="44" spans="1:9" s="1051" customFormat="1" ht="15" x14ac:dyDescent="0.25">
      <c r="A44" s="1070">
        <f t="shared" si="0"/>
        <v>12</v>
      </c>
      <c r="B44" s="1062" t="s">
        <v>666</v>
      </c>
      <c r="C44" s="1062" t="s">
        <v>667</v>
      </c>
      <c r="D44" s="1062" t="s">
        <v>668</v>
      </c>
      <c r="E44" s="1063">
        <v>3000000</v>
      </c>
      <c r="F44" s="1103">
        <v>44170</v>
      </c>
      <c r="G44" s="1064"/>
      <c r="H44" s="1062"/>
      <c r="I44" s="1062" t="s">
        <v>630</v>
      </c>
    </row>
    <row r="45" spans="1:9" s="1051" customFormat="1" ht="15" x14ac:dyDescent="0.25">
      <c r="A45" s="1070">
        <f t="shared" si="0"/>
        <v>13</v>
      </c>
      <c r="B45" s="1062" t="s">
        <v>669</v>
      </c>
      <c r="C45" s="1062" t="s">
        <v>607</v>
      </c>
      <c r="D45" s="1062" t="s">
        <v>670</v>
      </c>
      <c r="E45" s="1063">
        <v>2000000</v>
      </c>
      <c r="F45" s="1103">
        <v>44172</v>
      </c>
      <c r="G45" s="1064"/>
      <c r="H45" s="1062"/>
      <c r="I45" s="1062" t="s">
        <v>630</v>
      </c>
    </row>
    <row r="46" spans="1:9" s="1051" customFormat="1" ht="15" x14ac:dyDescent="0.25">
      <c r="A46" s="1070">
        <f t="shared" si="0"/>
        <v>14</v>
      </c>
      <c r="B46" s="1062" t="s">
        <v>671</v>
      </c>
      <c r="C46" s="1062" t="s">
        <v>607</v>
      </c>
      <c r="D46" s="1062" t="s">
        <v>672</v>
      </c>
      <c r="E46" s="1063">
        <v>2000000</v>
      </c>
      <c r="F46" s="1103">
        <v>44172</v>
      </c>
      <c r="G46" s="1064"/>
      <c r="H46" s="1062"/>
      <c r="I46" s="1062" t="s">
        <v>630</v>
      </c>
    </row>
    <row r="47" spans="1:9" s="1051" customFormat="1" ht="15" x14ac:dyDescent="0.25">
      <c r="A47" s="1070">
        <f t="shared" si="0"/>
        <v>15</v>
      </c>
      <c r="B47" s="1058" t="s">
        <v>658</v>
      </c>
      <c r="C47" s="1058" t="s">
        <v>607</v>
      </c>
      <c r="D47" s="1058" t="s">
        <v>659</v>
      </c>
      <c r="E47" s="1059">
        <v>3000000</v>
      </c>
      <c r="F47" s="1061">
        <v>44172</v>
      </c>
      <c r="G47" s="1060"/>
      <c r="H47" s="1058"/>
      <c r="I47" s="1162" t="s">
        <v>630</v>
      </c>
    </row>
    <row r="48" spans="1:9" s="1051" customFormat="1" ht="15" x14ac:dyDescent="0.25">
      <c r="A48" s="1070">
        <f t="shared" si="0"/>
        <v>16</v>
      </c>
      <c r="B48" s="1058" t="s">
        <v>654</v>
      </c>
      <c r="C48" s="1058" t="s">
        <v>607</v>
      </c>
      <c r="D48" s="1058" t="s">
        <v>653</v>
      </c>
      <c r="E48" s="1059">
        <v>2000000</v>
      </c>
      <c r="F48" s="1061">
        <v>44173</v>
      </c>
      <c r="G48" s="1060"/>
      <c r="H48" s="1058"/>
      <c r="I48" s="1162" t="s">
        <v>642</v>
      </c>
    </row>
    <row r="49" spans="1:9" s="1051" customFormat="1" ht="15" x14ac:dyDescent="0.25">
      <c r="A49" s="1070">
        <f t="shared" si="0"/>
        <v>17</v>
      </c>
      <c r="B49" s="1058" t="s">
        <v>673</v>
      </c>
      <c r="C49" s="1058" t="s">
        <v>607</v>
      </c>
      <c r="D49" s="1058" t="s">
        <v>674</v>
      </c>
      <c r="E49" s="1059">
        <v>5000000</v>
      </c>
      <c r="F49" s="1061">
        <v>44174</v>
      </c>
      <c r="G49" s="1060"/>
      <c r="H49" s="1058"/>
      <c r="I49" s="1162" t="s">
        <v>630</v>
      </c>
    </row>
    <row r="50" spans="1:9" s="1051" customFormat="1" ht="15" x14ac:dyDescent="0.25">
      <c r="A50" s="1070">
        <f t="shared" si="0"/>
        <v>18</v>
      </c>
      <c r="B50" s="1058" t="s">
        <v>76</v>
      </c>
      <c r="C50" s="1058" t="s">
        <v>675</v>
      </c>
      <c r="D50" s="1058" t="s">
        <v>676</v>
      </c>
      <c r="E50" s="1059">
        <v>1000000</v>
      </c>
      <c r="F50" s="1061">
        <v>44175</v>
      </c>
      <c r="G50" s="1060"/>
      <c r="H50" s="1058"/>
      <c r="I50" s="1162" t="s">
        <v>642</v>
      </c>
    </row>
    <row r="51" spans="1:9" s="1051" customFormat="1" ht="15" x14ac:dyDescent="0.25">
      <c r="A51" s="1070">
        <f t="shared" si="0"/>
        <v>19</v>
      </c>
      <c r="B51" s="1062" t="s">
        <v>671</v>
      </c>
      <c r="C51" s="1062" t="s">
        <v>677</v>
      </c>
      <c r="D51" s="1062" t="s">
        <v>672</v>
      </c>
      <c r="E51" s="1059">
        <v>3000000</v>
      </c>
      <c r="F51" s="1061">
        <v>44179</v>
      </c>
      <c r="G51" s="1060"/>
      <c r="H51" s="1058"/>
      <c r="I51" s="1162" t="s">
        <v>646</v>
      </c>
    </row>
    <row r="52" spans="1:9" s="1051" customFormat="1" ht="15" x14ac:dyDescent="0.25">
      <c r="A52" s="1070">
        <f t="shared" si="0"/>
        <v>20</v>
      </c>
      <c r="B52" s="1062" t="s">
        <v>654</v>
      </c>
      <c r="C52" s="1062" t="s">
        <v>678</v>
      </c>
      <c r="D52" s="1062" t="s">
        <v>653</v>
      </c>
      <c r="E52" s="1059">
        <v>1200000</v>
      </c>
      <c r="F52" s="1061">
        <v>44183</v>
      </c>
      <c r="G52" s="1060"/>
      <c r="H52" s="1058"/>
      <c r="I52" s="1162" t="s">
        <v>646</v>
      </c>
    </row>
    <row r="53" spans="1:9" s="1051" customFormat="1" ht="15" x14ac:dyDescent="0.25">
      <c r="A53" s="1070">
        <f t="shared" si="0"/>
        <v>21</v>
      </c>
      <c r="B53" s="1062" t="s">
        <v>654</v>
      </c>
      <c r="C53" s="1062" t="s">
        <v>679</v>
      </c>
      <c r="D53" s="1062" t="s">
        <v>653</v>
      </c>
      <c r="E53" s="1059">
        <v>1360000</v>
      </c>
      <c r="F53" s="1061">
        <v>44183</v>
      </c>
      <c r="G53" s="1060"/>
      <c r="H53" s="1058"/>
      <c r="I53" s="1162" t="s">
        <v>646</v>
      </c>
    </row>
    <row r="54" spans="1:9" s="1051" customFormat="1" ht="15" x14ac:dyDescent="0.25">
      <c r="A54" s="1070">
        <f t="shared" si="0"/>
        <v>22</v>
      </c>
      <c r="B54" s="1062" t="s">
        <v>654</v>
      </c>
      <c r="C54" s="1062" t="s">
        <v>680</v>
      </c>
      <c r="D54" s="1062" t="s">
        <v>653</v>
      </c>
      <c r="E54" s="1059">
        <v>2000000</v>
      </c>
      <c r="F54" s="1061">
        <v>44183</v>
      </c>
      <c r="G54" s="1060"/>
      <c r="H54" s="1058"/>
      <c r="I54" s="1162" t="s">
        <v>646</v>
      </c>
    </row>
    <row r="55" spans="1:9" s="1051" customFormat="1" ht="15" x14ac:dyDescent="0.25">
      <c r="A55" s="1070">
        <f t="shared" si="0"/>
        <v>23</v>
      </c>
      <c r="B55" s="1058" t="s">
        <v>681</v>
      </c>
      <c r="C55" s="1058" t="s">
        <v>607</v>
      </c>
      <c r="D55" s="1058" t="s">
        <v>682</v>
      </c>
      <c r="E55" s="1059">
        <v>2000000</v>
      </c>
      <c r="F55" s="1061">
        <v>44186</v>
      </c>
      <c r="G55" s="1060"/>
      <c r="H55" s="1058"/>
      <c r="I55" s="1162" t="s">
        <v>646</v>
      </c>
    </row>
    <row r="56" spans="1:9" s="1051" customFormat="1" ht="15" x14ac:dyDescent="0.25">
      <c r="A56" s="1070">
        <f t="shared" si="0"/>
        <v>24</v>
      </c>
      <c r="B56" s="1058" t="s">
        <v>658</v>
      </c>
      <c r="C56" s="1058" t="s">
        <v>607</v>
      </c>
      <c r="D56" s="1058" t="s">
        <v>659</v>
      </c>
      <c r="E56" s="1059">
        <v>3000000</v>
      </c>
      <c r="F56" s="1061">
        <v>44188</v>
      </c>
      <c r="G56" s="1060"/>
      <c r="H56" s="1058"/>
      <c r="I56" s="1162" t="s">
        <v>646</v>
      </c>
    </row>
    <row r="57" spans="1:9" s="1051" customFormat="1" ht="15" x14ac:dyDescent="0.25">
      <c r="A57" s="1070">
        <f t="shared" si="0"/>
        <v>25</v>
      </c>
      <c r="B57" s="1058" t="s">
        <v>683</v>
      </c>
      <c r="C57" s="1058" t="s">
        <v>607</v>
      </c>
      <c r="D57" s="1058" t="s">
        <v>684</v>
      </c>
      <c r="E57" s="1059">
        <v>3000000</v>
      </c>
      <c r="F57" s="1061">
        <v>44188</v>
      </c>
      <c r="G57" s="1060"/>
      <c r="H57" s="1058"/>
      <c r="I57" s="1162" t="s">
        <v>646</v>
      </c>
    </row>
    <row r="58" spans="1:9" s="1051" customFormat="1" ht="15" x14ac:dyDescent="0.25">
      <c r="A58" s="1070">
        <f t="shared" si="0"/>
        <v>26</v>
      </c>
      <c r="B58" s="1058" t="s">
        <v>654</v>
      </c>
      <c r="C58" s="1058" t="s">
        <v>685</v>
      </c>
      <c r="D58" s="1058" t="s">
        <v>686</v>
      </c>
      <c r="E58" s="1059">
        <v>3000000</v>
      </c>
      <c r="F58" s="1061">
        <v>44191</v>
      </c>
      <c r="G58" s="1060"/>
      <c r="H58" s="1058"/>
      <c r="I58" s="1162" t="s">
        <v>646</v>
      </c>
    </row>
    <row r="59" spans="1:9" s="1051" customFormat="1" ht="15" x14ac:dyDescent="0.25">
      <c r="A59" s="1070">
        <f t="shared" si="0"/>
        <v>27</v>
      </c>
      <c r="B59" s="1062" t="s">
        <v>669</v>
      </c>
      <c r="C59" s="1062" t="s">
        <v>607</v>
      </c>
      <c r="D59" s="1062" t="s">
        <v>670</v>
      </c>
      <c r="E59" s="1059">
        <v>1000000</v>
      </c>
      <c r="F59" s="1061">
        <v>44195</v>
      </c>
      <c r="G59" s="1060"/>
      <c r="H59" s="1058"/>
      <c r="I59" s="1162" t="s">
        <v>646</v>
      </c>
    </row>
    <row r="60" spans="1:9" s="1051" customFormat="1" ht="15" x14ac:dyDescent="0.25">
      <c r="A60" s="1070">
        <f t="shared" si="0"/>
        <v>28</v>
      </c>
      <c r="B60" s="1062" t="s">
        <v>671</v>
      </c>
      <c r="C60" s="1062" t="s">
        <v>687</v>
      </c>
      <c r="D60" s="1062" t="s">
        <v>672</v>
      </c>
      <c r="E60" s="1059">
        <v>3000000</v>
      </c>
      <c r="F60" s="1061">
        <v>44195</v>
      </c>
      <c r="G60" s="1060"/>
      <c r="H60" s="1058"/>
      <c r="I60" s="1162" t="s">
        <v>646</v>
      </c>
    </row>
    <row r="61" spans="1:9" s="1051" customFormat="1" ht="15" x14ac:dyDescent="0.25">
      <c r="A61" s="1070">
        <f t="shared" si="0"/>
        <v>29</v>
      </c>
      <c r="B61" s="1062" t="s">
        <v>671</v>
      </c>
      <c r="C61" s="1062" t="s">
        <v>607</v>
      </c>
      <c r="D61" s="1062" t="s">
        <v>672</v>
      </c>
      <c r="E61" s="1059">
        <v>1000000</v>
      </c>
      <c r="F61" s="1061">
        <v>44195</v>
      </c>
      <c r="G61" s="1060"/>
      <c r="H61" s="1058"/>
      <c r="I61" s="1162" t="s">
        <v>646</v>
      </c>
    </row>
    <row r="62" spans="1:9" s="1051" customFormat="1" ht="15" x14ac:dyDescent="0.25">
      <c r="A62" s="1070">
        <f t="shared" si="0"/>
        <v>30</v>
      </c>
      <c r="B62" s="1058"/>
      <c r="C62" s="1058"/>
      <c r="D62" s="1058"/>
      <c r="E62" s="1059"/>
      <c r="F62" s="1061"/>
      <c r="G62" s="1060"/>
      <c r="H62" s="1058"/>
      <c r="I62" s="1162"/>
    </row>
    <row r="63" spans="1:9" s="1051" customFormat="1" ht="15" x14ac:dyDescent="0.25">
      <c r="A63" s="1070">
        <f t="shared" si="0"/>
        <v>31</v>
      </c>
      <c r="B63" s="1131"/>
      <c r="C63" s="1131"/>
      <c r="D63" s="1131"/>
      <c r="E63" s="1132"/>
      <c r="F63" s="1133"/>
      <c r="G63" s="1134"/>
      <c r="H63" s="1131"/>
      <c r="I63" s="1163"/>
    </row>
    <row r="64" spans="1:9" s="1051" customFormat="1" ht="15.75" x14ac:dyDescent="0.25">
      <c r="A64" s="1253" t="s">
        <v>688</v>
      </c>
      <c r="B64" s="1253"/>
      <c r="C64" s="1253"/>
      <c r="D64" s="1253"/>
      <c r="E64" s="1065">
        <f>SUM(E33:E63)</f>
        <v>63760000</v>
      </c>
      <c r="F64" s="1066"/>
      <c r="G64" s="1067">
        <f>SUM(G33:G47)</f>
        <v>0</v>
      </c>
      <c r="H64" s="1066"/>
      <c r="I64" s="1066"/>
    </row>
  </sheetData>
  <autoFilter ref="A7:G21"/>
  <mergeCells count="3">
    <mergeCell ref="A4:G5"/>
    <mergeCell ref="A30:I30"/>
    <mergeCell ref="A64:D6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330"/>
  <sheetViews>
    <sheetView view="pageBreakPreview" zoomScale="60" zoomScaleNormal="115" zoomScalePageLayoutView="50" workbookViewId="0">
      <pane xSplit="4" ySplit="5" topLeftCell="E134" activePane="bottomRight" state="frozen"/>
      <selection pane="topRight" activeCell="E1" sqref="E1"/>
      <selection pane="bottomLeft" activeCell="A6" sqref="A6"/>
      <selection pane="bottomRight" activeCell="K116" sqref="K116"/>
    </sheetView>
  </sheetViews>
  <sheetFormatPr defaultRowHeight="16.5" x14ac:dyDescent="0.25"/>
  <cols>
    <col min="1" max="1" width="27.85546875" customWidth="1"/>
    <col min="2" max="2" width="8.140625" style="387" customWidth="1"/>
    <col min="3" max="3" width="38.140625" customWidth="1"/>
    <col min="4" max="4" width="30" customWidth="1"/>
    <col min="5" max="5" width="21.5703125" style="386" customWidth="1"/>
    <col min="6" max="6" width="24.42578125" customWidth="1"/>
    <col min="7" max="7" width="23.28515625" customWidth="1"/>
    <col min="8" max="8" width="19.42578125" customWidth="1"/>
    <col min="9" max="9" width="21.7109375" customWidth="1"/>
    <col min="10" max="10" width="23.42578125" customWidth="1"/>
    <col min="11" max="11" width="35" customWidth="1"/>
    <col min="12" max="12" width="37.140625" customWidth="1"/>
    <col min="13" max="13" width="18" customWidth="1"/>
    <col min="14" max="14" width="40" bestFit="1" customWidth="1"/>
    <col min="15" max="15" width="20.28515625" customWidth="1"/>
    <col min="16" max="16" width="24.7109375" style="344" customWidth="1"/>
    <col min="17" max="17" width="18.42578125" style="344" bestFit="1" customWidth="1"/>
    <col min="18" max="18" width="9.28515625" style="234"/>
  </cols>
  <sheetData>
    <row r="1" spans="1:18" ht="16.5" customHeight="1" x14ac:dyDescent="0.25">
      <c r="A1" s="1267" t="s">
        <v>689</v>
      </c>
      <c r="B1" s="1267"/>
      <c r="C1" s="1267"/>
      <c r="D1" s="1267"/>
      <c r="E1" s="1267"/>
      <c r="F1" s="1267"/>
      <c r="G1" s="1267"/>
      <c r="H1" s="1267"/>
      <c r="I1" s="1267"/>
      <c r="J1" s="1267"/>
      <c r="K1" s="1267"/>
      <c r="L1" s="1267"/>
      <c r="M1" s="351"/>
      <c r="N1" s="351"/>
      <c r="O1" s="351"/>
    </row>
    <row r="2" spans="1:18" ht="16.5" customHeight="1" x14ac:dyDescent="0.25">
      <c r="A2" s="1267"/>
      <c r="B2" s="1267"/>
      <c r="C2" s="1267"/>
      <c r="D2" s="1267"/>
      <c r="E2" s="1267"/>
      <c r="F2" s="1267"/>
      <c r="G2" s="1267"/>
      <c r="H2" s="1267"/>
      <c r="I2" s="1267"/>
      <c r="J2" s="1267"/>
      <c r="K2" s="1267"/>
      <c r="L2" s="1267"/>
      <c r="M2" s="351"/>
      <c r="N2" s="351"/>
      <c r="O2" s="351"/>
    </row>
    <row r="3" spans="1:18" ht="32.25" customHeight="1" x14ac:dyDescent="0.25">
      <c r="A3" s="1267"/>
      <c r="B3" s="1267"/>
      <c r="C3" s="1267"/>
      <c r="D3" s="1267"/>
      <c r="E3" s="1267"/>
      <c r="F3" s="1267"/>
      <c r="G3" s="1267"/>
      <c r="H3" s="1267"/>
      <c r="I3" s="1267"/>
      <c r="J3" s="1267"/>
      <c r="K3" s="1267"/>
      <c r="L3" s="1267"/>
      <c r="M3" s="351"/>
      <c r="N3" s="351"/>
      <c r="O3" s="351"/>
    </row>
    <row r="4" spans="1:18" ht="26.25" thickBot="1" x14ac:dyDescent="0.3">
      <c r="K4" s="436"/>
      <c r="L4" s="437">
        <f>L208+L223+L254+L259+L275+L150+L177+L136+L102+L98+L73+L70+L53+L21+L11</f>
        <v>905768135.5</v>
      </c>
    </row>
    <row r="5" spans="1:18" s="18" customFormat="1" ht="51.75" customHeight="1" thickBot="1" x14ac:dyDescent="0.3">
      <c r="A5" s="661" t="s">
        <v>4</v>
      </c>
      <c r="B5" s="662" t="s">
        <v>5</v>
      </c>
      <c r="C5" s="663" t="s">
        <v>6</v>
      </c>
      <c r="D5" s="664" t="s">
        <v>7</v>
      </c>
      <c r="E5" s="665" t="s">
        <v>8</v>
      </c>
      <c r="F5" s="666" t="s">
        <v>9</v>
      </c>
      <c r="G5" s="667" t="s">
        <v>10</v>
      </c>
      <c r="H5" s="667" t="s">
        <v>11</v>
      </c>
      <c r="I5" s="667" t="s">
        <v>12</v>
      </c>
      <c r="J5" s="667" t="s">
        <v>13</v>
      </c>
      <c r="K5" s="668" t="s">
        <v>14</v>
      </c>
      <c r="L5" s="669" t="s">
        <v>15</v>
      </c>
      <c r="M5" s="670" t="s">
        <v>16</v>
      </c>
      <c r="N5" s="671" t="s">
        <v>17</v>
      </c>
      <c r="O5" s="672" t="s">
        <v>18</v>
      </c>
      <c r="P5" s="345"/>
      <c r="Q5" s="345"/>
      <c r="R5" s="343"/>
    </row>
    <row r="6" spans="1:18" s="18" customFormat="1" ht="24" customHeight="1" x14ac:dyDescent="0.25">
      <c r="A6" s="1288" t="s">
        <v>690</v>
      </c>
      <c r="B6" s="651" t="s">
        <v>194</v>
      </c>
      <c r="C6" s="469" t="s">
        <v>691</v>
      </c>
      <c r="D6" s="394" t="s">
        <v>188</v>
      </c>
      <c r="E6" s="388">
        <v>2240100</v>
      </c>
      <c r="F6" s="470"/>
      <c r="G6" s="471">
        <v>2240100</v>
      </c>
      <c r="H6" s="471"/>
      <c r="I6" s="471"/>
      <c r="J6" s="471"/>
      <c r="K6" s="388">
        <f>SUM(G6:J6)</f>
        <v>2240100</v>
      </c>
      <c r="L6" s="388">
        <f>IF(F6="",E6-K6,F6-K6)</f>
        <v>0</v>
      </c>
      <c r="M6" s="638"/>
      <c r="N6" s="638"/>
      <c r="O6" s="639"/>
      <c r="P6" s="345"/>
      <c r="Q6" s="345"/>
      <c r="R6" s="343"/>
    </row>
    <row r="7" spans="1:18" s="18" customFormat="1" ht="24" customHeight="1" x14ac:dyDescent="0.25">
      <c r="A7" s="1276"/>
      <c r="B7" s="643" t="s">
        <v>196</v>
      </c>
      <c r="C7" s="474" t="s">
        <v>692</v>
      </c>
      <c r="D7" s="400" t="s">
        <v>416</v>
      </c>
      <c r="E7" s="393">
        <v>1100000</v>
      </c>
      <c r="F7" s="475"/>
      <c r="G7" s="476">
        <v>1100000</v>
      </c>
      <c r="H7" s="476"/>
      <c r="I7" s="476"/>
      <c r="J7" s="476"/>
      <c r="K7" s="393">
        <f>SUM(G7:J7)</f>
        <v>1100000</v>
      </c>
      <c r="L7" s="393">
        <f>IF(F7="",E7-K7,F7-K7)</f>
        <v>0</v>
      </c>
      <c r="M7" s="640"/>
      <c r="N7" s="640"/>
      <c r="O7" s="641"/>
      <c r="P7" s="345"/>
      <c r="Q7" s="345"/>
      <c r="R7" s="343"/>
    </row>
    <row r="8" spans="1:18" s="18" customFormat="1" ht="24" customHeight="1" x14ac:dyDescent="0.25">
      <c r="A8" s="1276"/>
      <c r="B8" s="643" t="s">
        <v>20</v>
      </c>
      <c r="C8" s="474" t="s">
        <v>257</v>
      </c>
      <c r="D8" s="400" t="s">
        <v>693</v>
      </c>
      <c r="E8" s="393"/>
      <c r="F8" s="475"/>
      <c r="G8" s="476">
        <v>10597500</v>
      </c>
      <c r="H8" s="476"/>
      <c r="I8" s="476"/>
      <c r="J8" s="476"/>
      <c r="K8" s="393">
        <f>SUM(G8:J8)</f>
        <v>10597500</v>
      </c>
      <c r="L8" s="393"/>
      <c r="M8" s="640"/>
      <c r="N8" s="640"/>
      <c r="O8" s="641"/>
      <c r="P8" s="345"/>
      <c r="Q8" s="345"/>
      <c r="R8" s="343"/>
    </row>
    <row r="9" spans="1:18" s="18" customFormat="1" ht="24" customHeight="1" x14ac:dyDescent="0.25">
      <c r="A9" s="1276"/>
      <c r="B9" s="643">
        <v>4</v>
      </c>
      <c r="C9" s="474" t="s">
        <v>694</v>
      </c>
      <c r="D9" s="400" t="s">
        <v>695</v>
      </c>
      <c r="E9" s="393"/>
      <c r="F9" s="475"/>
      <c r="G9" s="476">
        <v>9075000</v>
      </c>
      <c r="H9" s="476"/>
      <c r="I9" s="476"/>
      <c r="J9" s="476"/>
      <c r="K9" s="393">
        <f>SUM(G9:J9)</f>
        <v>9075000</v>
      </c>
      <c r="L9" s="393">
        <f>IF(F9="",E9-K9,F9-K9)</f>
        <v>-9075000</v>
      </c>
      <c r="M9" s="640"/>
      <c r="N9" s="640"/>
      <c r="O9" s="641"/>
      <c r="P9" s="345"/>
      <c r="Q9" s="345"/>
      <c r="R9" s="343"/>
    </row>
    <row r="10" spans="1:18" s="18" customFormat="1" ht="24" customHeight="1" x14ac:dyDescent="0.25">
      <c r="A10" s="1276"/>
      <c r="B10" s="643">
        <v>5</v>
      </c>
      <c r="C10" s="474"/>
      <c r="D10" s="400"/>
      <c r="E10" s="393"/>
      <c r="F10" s="475"/>
      <c r="G10" s="476"/>
      <c r="H10" s="476"/>
      <c r="I10" s="476"/>
      <c r="J10" s="476"/>
      <c r="K10" s="476"/>
      <c r="L10" s="476"/>
      <c r="M10" s="640"/>
      <c r="N10" s="640"/>
      <c r="O10" s="641"/>
      <c r="P10" s="345"/>
      <c r="Q10" s="345"/>
      <c r="R10" s="343"/>
    </row>
    <row r="11" spans="1:18" s="18" customFormat="1" ht="24" customHeight="1" thickBot="1" x14ac:dyDescent="0.3">
      <c r="A11" s="1277"/>
      <c r="B11" s="644"/>
      <c r="C11" s="575"/>
      <c r="D11" s="576"/>
      <c r="E11" s="574"/>
      <c r="F11" s="577"/>
      <c r="G11" s="578"/>
      <c r="H11" s="578"/>
      <c r="I11" s="578"/>
      <c r="J11" s="578"/>
      <c r="K11" s="432">
        <f>SUM(K6:K10)</f>
        <v>23012600</v>
      </c>
      <c r="L11" s="432">
        <f>SUM(L6:L10)</f>
        <v>-9075000</v>
      </c>
      <c r="M11" s="576"/>
      <c r="N11" s="576"/>
      <c r="O11" s="581"/>
      <c r="P11" s="345"/>
      <c r="Q11" s="345"/>
      <c r="R11" s="343"/>
    </row>
    <row r="12" spans="1:18" s="18" customFormat="1" ht="24" customHeight="1" x14ac:dyDescent="0.25">
      <c r="A12" s="1284" t="s">
        <v>696</v>
      </c>
      <c r="B12" s="645" t="s">
        <v>194</v>
      </c>
      <c r="C12" s="506" t="s">
        <v>692</v>
      </c>
      <c r="D12" s="507" t="s">
        <v>416</v>
      </c>
      <c r="E12" s="505">
        <v>1100000</v>
      </c>
      <c r="F12" s="508"/>
      <c r="G12" s="509">
        <v>1100000</v>
      </c>
      <c r="H12" s="509"/>
      <c r="I12" s="509"/>
      <c r="J12" s="509"/>
      <c r="K12" s="505">
        <f>SUM(G12:J12)</f>
        <v>1100000</v>
      </c>
      <c r="L12" s="505">
        <f>IF(F12="",E12-K12,F12-K12)</f>
        <v>0</v>
      </c>
      <c r="M12" s="507" t="s">
        <v>697</v>
      </c>
      <c r="N12" s="673" t="s">
        <v>698</v>
      </c>
      <c r="O12" s="674">
        <v>43971</v>
      </c>
      <c r="P12" s="609" t="s">
        <v>699</v>
      </c>
      <c r="Q12" s="345"/>
      <c r="R12" s="343"/>
    </row>
    <row r="13" spans="1:18" s="18" customFormat="1" ht="24" customHeight="1" x14ac:dyDescent="0.25">
      <c r="A13" s="1285"/>
      <c r="B13" s="646" t="s">
        <v>196</v>
      </c>
      <c r="C13" s="323" t="s">
        <v>31</v>
      </c>
      <c r="D13" s="511" t="s">
        <v>700</v>
      </c>
      <c r="E13" s="322">
        <v>14425600</v>
      </c>
      <c r="F13" s="512"/>
      <c r="G13" s="322">
        <v>14425600</v>
      </c>
      <c r="H13" s="513"/>
      <c r="I13" s="513"/>
      <c r="J13" s="513"/>
      <c r="K13" s="481">
        <f t="shared" ref="K13:K18" si="0">SUM(G13:J13)</f>
        <v>14425600</v>
      </c>
      <c r="L13" s="481">
        <f t="shared" ref="L13:L18" si="1">IF(F13="",E13-K13,F13-K13)</f>
        <v>0</v>
      </c>
      <c r="M13" s="511" t="s">
        <v>697</v>
      </c>
      <c r="N13" s="511"/>
      <c r="O13" s="514"/>
      <c r="P13" s="467" t="s">
        <v>701</v>
      </c>
      <c r="Q13" s="467">
        <v>240000</v>
      </c>
      <c r="R13" s="343"/>
    </row>
    <row r="14" spans="1:18" s="18" customFormat="1" ht="27" customHeight="1" x14ac:dyDescent="0.25">
      <c r="A14" s="1285"/>
      <c r="B14" s="646" t="s">
        <v>20</v>
      </c>
      <c r="C14" s="323" t="s">
        <v>31</v>
      </c>
      <c r="D14" s="511" t="s">
        <v>700</v>
      </c>
      <c r="E14" s="322">
        <v>3158000</v>
      </c>
      <c r="F14" s="512"/>
      <c r="G14" s="513">
        <v>3158000</v>
      </c>
      <c r="H14" s="513"/>
      <c r="I14" s="513"/>
      <c r="J14" s="513"/>
      <c r="K14" s="481">
        <f t="shared" si="0"/>
        <v>3158000</v>
      </c>
      <c r="L14" s="481">
        <f t="shared" si="1"/>
        <v>0</v>
      </c>
      <c r="M14" s="511" t="s">
        <v>697</v>
      </c>
      <c r="N14" s="511"/>
      <c r="O14" s="514"/>
      <c r="P14" s="467" t="s">
        <v>702</v>
      </c>
      <c r="Q14" s="467">
        <v>876000</v>
      </c>
      <c r="R14" s="343"/>
    </row>
    <row r="15" spans="1:18" s="18" customFormat="1" ht="27" customHeight="1" x14ac:dyDescent="0.25">
      <c r="A15" s="1285"/>
      <c r="B15" s="646" t="s">
        <v>24</v>
      </c>
      <c r="C15" s="323" t="s">
        <v>703</v>
      </c>
      <c r="D15" s="511" t="s">
        <v>704</v>
      </c>
      <c r="E15" s="322">
        <v>7700000</v>
      </c>
      <c r="F15" s="512"/>
      <c r="G15" s="683">
        <v>7700000</v>
      </c>
      <c r="H15" s="513"/>
      <c r="I15" s="513"/>
      <c r="J15" s="513"/>
      <c r="K15" s="481">
        <f t="shared" si="0"/>
        <v>7700000</v>
      </c>
      <c r="L15" s="481">
        <f t="shared" si="1"/>
        <v>0</v>
      </c>
      <c r="M15" s="511"/>
      <c r="N15" s="511"/>
      <c r="O15" s="514"/>
      <c r="P15" s="467" t="s">
        <v>705</v>
      </c>
      <c r="Q15" s="467">
        <v>1370000</v>
      </c>
      <c r="R15" s="343"/>
    </row>
    <row r="16" spans="1:18" s="18" customFormat="1" ht="27" customHeight="1" x14ac:dyDescent="0.25">
      <c r="A16" s="1285"/>
      <c r="B16" s="646" t="s">
        <v>26</v>
      </c>
      <c r="C16" s="323" t="s">
        <v>706</v>
      </c>
      <c r="D16" s="511" t="s">
        <v>104</v>
      </c>
      <c r="E16" s="322">
        <v>10000000</v>
      </c>
      <c r="F16" s="512"/>
      <c r="G16" s="513">
        <v>10000000</v>
      </c>
      <c r="H16" s="513"/>
      <c r="I16" s="513"/>
      <c r="J16" s="513"/>
      <c r="K16" s="481">
        <f t="shared" si="0"/>
        <v>10000000</v>
      </c>
      <c r="L16" s="481">
        <f t="shared" si="1"/>
        <v>0</v>
      </c>
      <c r="M16" s="511"/>
      <c r="N16" s="511"/>
      <c r="O16" s="514"/>
      <c r="P16" s="467"/>
      <c r="Q16" s="467"/>
      <c r="R16" s="343"/>
    </row>
    <row r="17" spans="1:18" s="18" customFormat="1" ht="27" customHeight="1" x14ac:dyDescent="0.25">
      <c r="A17" s="1285"/>
      <c r="B17" s="646" t="s">
        <v>28</v>
      </c>
      <c r="C17" s="547" t="s">
        <v>707</v>
      </c>
      <c r="D17" s="548" t="s">
        <v>708</v>
      </c>
      <c r="E17" s="546">
        <v>2550000</v>
      </c>
      <c r="F17" s="549"/>
      <c r="G17" s="546">
        <v>2550000</v>
      </c>
      <c r="H17" s="550"/>
      <c r="I17" s="550"/>
      <c r="J17" s="550"/>
      <c r="K17" s="481">
        <f t="shared" si="0"/>
        <v>2550000</v>
      </c>
      <c r="L17" s="481">
        <f t="shared" si="1"/>
        <v>0</v>
      </c>
      <c r="M17" s="548"/>
      <c r="N17" s="548"/>
      <c r="O17" s="551"/>
      <c r="P17" s="467"/>
      <c r="Q17" s="467"/>
      <c r="R17" s="343"/>
    </row>
    <row r="18" spans="1:18" s="18" customFormat="1" ht="27" customHeight="1" x14ac:dyDescent="0.25">
      <c r="A18" s="1285"/>
      <c r="B18" s="646" t="s">
        <v>30</v>
      </c>
      <c r="C18" s="547" t="s">
        <v>709</v>
      </c>
      <c r="D18" s="548" t="s">
        <v>168</v>
      </c>
      <c r="E18" s="546">
        <v>10700000</v>
      </c>
      <c r="F18" s="549"/>
      <c r="G18" s="546">
        <v>10700000</v>
      </c>
      <c r="H18" s="550"/>
      <c r="I18" s="550"/>
      <c r="J18" s="550"/>
      <c r="K18" s="481">
        <f t="shared" si="0"/>
        <v>10700000</v>
      </c>
      <c r="L18" s="481">
        <f t="shared" si="1"/>
        <v>0</v>
      </c>
      <c r="M18" s="548"/>
      <c r="N18" s="548"/>
      <c r="O18" s="551"/>
      <c r="P18" s="467"/>
      <c r="Q18" s="467"/>
      <c r="R18" s="343"/>
    </row>
    <row r="19" spans="1:18" s="18" customFormat="1" ht="27" customHeight="1" x14ac:dyDescent="0.25">
      <c r="A19" s="1285"/>
      <c r="B19" s="660">
        <v>8</v>
      </c>
      <c r="C19" s="323" t="s">
        <v>710</v>
      </c>
      <c r="D19" s="548" t="s">
        <v>711</v>
      </c>
      <c r="E19" s="546"/>
      <c r="F19" s="549"/>
      <c r="G19" s="546">
        <v>3800000</v>
      </c>
      <c r="H19" s="550"/>
      <c r="I19" s="550"/>
      <c r="J19" s="550"/>
      <c r="K19" s="481">
        <f>SUM(G19:J19)</f>
        <v>3800000</v>
      </c>
      <c r="L19" s="481">
        <f>IF(F19="",E19-K19,F19-K19)</f>
        <v>-3800000</v>
      </c>
      <c r="M19" s="548"/>
      <c r="N19" s="548"/>
      <c r="O19" s="551"/>
      <c r="P19" s="467"/>
      <c r="Q19" s="467"/>
      <c r="R19" s="343"/>
    </row>
    <row r="20" spans="1:18" s="18" customFormat="1" ht="27" customHeight="1" x14ac:dyDescent="0.25">
      <c r="A20" s="1285"/>
      <c r="B20" s="660">
        <v>9</v>
      </c>
      <c r="C20" s="323" t="s">
        <v>712</v>
      </c>
      <c r="D20" s="548" t="s">
        <v>713</v>
      </c>
      <c r="E20" s="546"/>
      <c r="F20" s="549"/>
      <c r="G20" s="546">
        <v>19004000</v>
      </c>
      <c r="H20" s="550"/>
      <c r="I20" s="550"/>
      <c r="J20" s="550"/>
      <c r="K20" s="481">
        <f>SUM(G20:J20)</f>
        <v>19004000</v>
      </c>
      <c r="L20" s="481">
        <f>IF(F20="",E20-K20,F20-K20)</f>
        <v>-19004000</v>
      </c>
      <c r="M20" s="548"/>
      <c r="N20" s="548"/>
      <c r="O20" s="551"/>
      <c r="P20" s="467"/>
      <c r="Q20" s="467"/>
      <c r="R20" s="343"/>
    </row>
    <row r="21" spans="1:18" s="18" customFormat="1" ht="27" customHeight="1" thickBot="1" x14ac:dyDescent="0.3">
      <c r="A21" s="1286"/>
      <c r="B21" s="647"/>
      <c r="C21" s="603"/>
      <c r="D21" s="603"/>
      <c r="E21" s="603"/>
      <c r="F21" s="603"/>
      <c r="G21" s="603"/>
      <c r="H21" s="603"/>
      <c r="I21" s="603"/>
      <c r="J21" s="603"/>
      <c r="K21" s="434">
        <f>SUM(K12:K20)</f>
        <v>72437600</v>
      </c>
      <c r="L21" s="434">
        <f>SUM(L12:L20)</f>
        <v>-22804000</v>
      </c>
      <c r="M21" s="602"/>
      <c r="N21" s="602"/>
      <c r="O21" s="604"/>
      <c r="P21" s="345"/>
      <c r="Q21" s="345"/>
      <c r="R21" s="343"/>
    </row>
    <row r="22" spans="1:18" s="18" customFormat="1" ht="22.5" customHeight="1" x14ac:dyDescent="0.25">
      <c r="A22" s="1287" t="s">
        <v>714</v>
      </c>
      <c r="B22" s="642" t="s">
        <v>194</v>
      </c>
      <c r="C22" s="598" t="s">
        <v>715</v>
      </c>
      <c r="D22" s="599" t="s">
        <v>716</v>
      </c>
      <c r="E22" s="472">
        <v>34848000</v>
      </c>
      <c r="F22" s="600">
        <v>37950000</v>
      </c>
      <c r="G22" s="601">
        <v>17424000</v>
      </c>
      <c r="H22" s="601">
        <v>20526000</v>
      </c>
      <c r="I22" s="601"/>
      <c r="J22" s="601"/>
      <c r="K22" s="472">
        <f t="shared" ref="K22:K50" si="2">SUM(G22:J22)</f>
        <v>37950000</v>
      </c>
      <c r="L22" s="472">
        <f t="shared" ref="L22:L50" si="3">IF(F22="",E22-K22,F22-K22)</f>
        <v>0</v>
      </c>
      <c r="M22" s="1180" t="s">
        <v>47</v>
      </c>
      <c r="N22" s="599" t="s">
        <v>717</v>
      </c>
      <c r="O22" s="1181">
        <v>43965</v>
      </c>
      <c r="P22" s="609" t="s">
        <v>718</v>
      </c>
      <c r="Q22" s="588"/>
      <c r="R22" s="343"/>
    </row>
    <row r="23" spans="1:18" s="18" customFormat="1" ht="22.5" customHeight="1" x14ac:dyDescent="0.25">
      <c r="A23" s="1276"/>
      <c r="B23" s="643" t="s">
        <v>196</v>
      </c>
      <c r="C23" s="474" t="s">
        <v>31</v>
      </c>
      <c r="D23" s="400" t="s">
        <v>168</v>
      </c>
      <c r="E23" s="393">
        <v>64710000</v>
      </c>
      <c r="F23" s="475"/>
      <c r="G23" s="476">
        <v>19413000</v>
      </c>
      <c r="H23" s="476">
        <v>27534400</v>
      </c>
      <c r="I23" s="476"/>
      <c r="J23" s="476"/>
      <c r="K23" s="393">
        <f t="shared" si="2"/>
        <v>46947400</v>
      </c>
      <c r="L23" s="393">
        <f t="shared" si="3"/>
        <v>17762600</v>
      </c>
      <c r="M23" s="400"/>
      <c r="N23" s="400"/>
      <c r="O23" s="401"/>
      <c r="P23" s="467" t="s">
        <v>719</v>
      </c>
      <c r="Q23" s="467">
        <v>720000</v>
      </c>
      <c r="R23" s="343"/>
    </row>
    <row r="24" spans="1:18" s="18" customFormat="1" ht="22.5" customHeight="1" x14ac:dyDescent="0.25">
      <c r="A24" s="1276"/>
      <c r="B24" s="643" t="s">
        <v>20</v>
      </c>
      <c r="C24" s="474" t="s">
        <v>720</v>
      </c>
      <c r="D24" s="400" t="s">
        <v>721</v>
      </c>
      <c r="E24" s="393">
        <v>10785940</v>
      </c>
      <c r="F24" s="475"/>
      <c r="G24" s="476">
        <v>4347970</v>
      </c>
      <c r="H24" s="476">
        <v>6437970</v>
      </c>
      <c r="I24" s="476"/>
      <c r="J24" s="476"/>
      <c r="K24" s="393">
        <f t="shared" si="2"/>
        <v>10785940</v>
      </c>
      <c r="L24" s="393">
        <f t="shared" si="3"/>
        <v>0</v>
      </c>
      <c r="M24" s="400" t="s">
        <v>722</v>
      </c>
      <c r="N24" s="400"/>
      <c r="O24" s="401"/>
      <c r="P24" s="467" t="s">
        <v>701</v>
      </c>
      <c r="Q24" s="467">
        <v>5076000</v>
      </c>
      <c r="R24" s="343"/>
    </row>
    <row r="25" spans="1:18" s="18" customFormat="1" ht="22.5" customHeight="1" x14ac:dyDescent="0.25">
      <c r="A25" s="1276"/>
      <c r="B25" s="643" t="s">
        <v>24</v>
      </c>
      <c r="C25" s="474" t="s">
        <v>723</v>
      </c>
      <c r="D25" s="400" t="s">
        <v>352</v>
      </c>
      <c r="E25" s="393">
        <v>20033200</v>
      </c>
      <c r="F25" s="475">
        <v>19487226</v>
      </c>
      <c r="G25" s="476">
        <v>10016600</v>
      </c>
      <c r="H25" s="476">
        <v>9470626</v>
      </c>
      <c r="I25" s="476"/>
      <c r="J25" s="476"/>
      <c r="K25" s="393">
        <f t="shared" si="2"/>
        <v>19487226</v>
      </c>
      <c r="L25" s="393">
        <f t="shared" si="3"/>
        <v>0</v>
      </c>
      <c r="M25" s="400" t="s">
        <v>724</v>
      </c>
      <c r="N25" s="400"/>
      <c r="O25" s="401"/>
      <c r="P25" s="467" t="s">
        <v>702</v>
      </c>
      <c r="Q25" s="467">
        <v>2427000</v>
      </c>
      <c r="R25" s="343"/>
    </row>
    <row r="26" spans="1:18" s="18" customFormat="1" ht="22.5" customHeight="1" x14ac:dyDescent="0.25">
      <c r="A26" s="1276"/>
      <c r="B26" s="643" t="s">
        <v>26</v>
      </c>
      <c r="C26" s="474" t="s">
        <v>515</v>
      </c>
      <c r="D26" s="400" t="s">
        <v>229</v>
      </c>
      <c r="E26" s="393">
        <v>68622400</v>
      </c>
      <c r="F26" s="475"/>
      <c r="G26" s="476">
        <v>34300000</v>
      </c>
      <c r="H26" s="476"/>
      <c r="I26" s="476"/>
      <c r="J26" s="476"/>
      <c r="K26" s="393">
        <f t="shared" si="2"/>
        <v>34300000</v>
      </c>
      <c r="L26" s="393">
        <f t="shared" si="3"/>
        <v>34322400</v>
      </c>
      <c r="M26" s="400" t="s">
        <v>47</v>
      </c>
      <c r="N26" s="400" t="s">
        <v>725</v>
      </c>
      <c r="O26" s="401"/>
      <c r="P26" s="467" t="s">
        <v>705</v>
      </c>
      <c r="Q26" s="467">
        <v>4258000</v>
      </c>
      <c r="R26" s="343"/>
    </row>
    <row r="27" spans="1:18" s="18" customFormat="1" ht="30" customHeight="1" x14ac:dyDescent="0.25">
      <c r="A27" s="1276"/>
      <c r="B27" s="643" t="s">
        <v>28</v>
      </c>
      <c r="C27" s="474" t="s">
        <v>726</v>
      </c>
      <c r="D27" s="400" t="s">
        <v>727</v>
      </c>
      <c r="E27" s="393">
        <v>4000000</v>
      </c>
      <c r="F27" s="475"/>
      <c r="G27" s="476">
        <v>4000000</v>
      </c>
      <c r="H27" s="476"/>
      <c r="I27" s="476"/>
      <c r="J27" s="476"/>
      <c r="K27" s="393">
        <f t="shared" si="2"/>
        <v>4000000</v>
      </c>
      <c r="L27" s="393">
        <f t="shared" si="3"/>
        <v>0</v>
      </c>
      <c r="M27" s="400"/>
      <c r="N27" s="400"/>
      <c r="O27" s="401"/>
      <c r="P27" s="467"/>
      <c r="Q27" s="467"/>
      <c r="R27" s="343"/>
    </row>
    <row r="28" spans="1:18" s="18" customFormat="1" ht="30" customHeight="1" x14ac:dyDescent="0.25">
      <c r="A28" s="1276"/>
      <c r="B28" s="643" t="s">
        <v>30</v>
      </c>
      <c r="C28" s="569" t="s">
        <v>692</v>
      </c>
      <c r="D28" s="429" t="s">
        <v>416</v>
      </c>
      <c r="E28" s="423">
        <v>1477872</v>
      </c>
      <c r="F28" s="570"/>
      <c r="G28" s="423">
        <v>1477872</v>
      </c>
      <c r="H28" s="571"/>
      <c r="I28" s="571"/>
      <c r="J28" s="571"/>
      <c r="K28" s="393">
        <f t="shared" si="2"/>
        <v>1477872</v>
      </c>
      <c r="L28" s="393">
        <f t="shared" si="3"/>
        <v>0</v>
      </c>
      <c r="M28" s="429" t="s">
        <v>728</v>
      </c>
      <c r="N28" s="429" t="s">
        <v>729</v>
      </c>
      <c r="O28" s="448">
        <v>43964</v>
      </c>
      <c r="P28" s="467"/>
      <c r="Q28" s="467"/>
      <c r="R28" s="343"/>
    </row>
    <row r="29" spans="1:18" s="18" customFormat="1" ht="24" customHeight="1" x14ac:dyDescent="0.25">
      <c r="A29" s="1276"/>
      <c r="B29" s="643" t="s">
        <v>33</v>
      </c>
      <c r="C29" s="569" t="s">
        <v>99</v>
      </c>
      <c r="D29" s="429" t="s">
        <v>100</v>
      </c>
      <c r="E29" s="423">
        <v>228460000</v>
      </c>
      <c r="F29" s="570"/>
      <c r="G29" s="571">
        <v>68538000</v>
      </c>
      <c r="H29" s="571">
        <v>91384000</v>
      </c>
      <c r="I29" s="571"/>
      <c r="J29" s="571"/>
      <c r="K29" s="393">
        <f t="shared" si="2"/>
        <v>159922000</v>
      </c>
      <c r="L29" s="393">
        <f t="shared" si="3"/>
        <v>68538000</v>
      </c>
      <c r="M29" s="429"/>
      <c r="N29" s="429"/>
      <c r="O29" s="430"/>
      <c r="P29" s="467"/>
      <c r="Q29" s="467"/>
      <c r="R29" s="343"/>
    </row>
    <row r="30" spans="1:18" s="18" customFormat="1" ht="24" customHeight="1" x14ac:dyDescent="0.25">
      <c r="A30" s="1276"/>
      <c r="B30" s="643" t="s">
        <v>39</v>
      </c>
      <c r="C30" s="569" t="s">
        <v>92</v>
      </c>
      <c r="D30" s="429" t="s">
        <v>204</v>
      </c>
      <c r="E30" s="423">
        <v>83430750</v>
      </c>
      <c r="F30" s="570"/>
      <c r="G30" s="571">
        <v>27532147</v>
      </c>
      <c r="H30" s="571">
        <v>36709530</v>
      </c>
      <c r="I30" s="571"/>
      <c r="J30" s="571"/>
      <c r="K30" s="393">
        <f t="shared" si="2"/>
        <v>64241677</v>
      </c>
      <c r="L30" s="393">
        <f t="shared" si="3"/>
        <v>19189073</v>
      </c>
      <c r="M30" s="429"/>
      <c r="N30" s="429"/>
      <c r="O30" s="430"/>
      <c r="P30" s="467"/>
      <c r="Q30" s="467"/>
      <c r="R30" s="343"/>
    </row>
    <row r="31" spans="1:18" s="18" customFormat="1" ht="24" customHeight="1" x14ac:dyDescent="0.25">
      <c r="A31" s="1276"/>
      <c r="B31" s="643" t="s">
        <v>44</v>
      </c>
      <c r="C31" s="569" t="s">
        <v>50</v>
      </c>
      <c r="D31" s="429" t="s">
        <v>730</v>
      </c>
      <c r="E31" s="423">
        <v>82080000</v>
      </c>
      <c r="F31" s="570"/>
      <c r="G31" s="571">
        <v>32832000</v>
      </c>
      <c r="H31" s="571">
        <v>49248000</v>
      </c>
      <c r="I31" s="571"/>
      <c r="J31" s="571"/>
      <c r="K31" s="393">
        <f t="shared" si="2"/>
        <v>82080000</v>
      </c>
      <c r="L31" s="393">
        <f t="shared" si="3"/>
        <v>0</v>
      </c>
      <c r="M31" s="429"/>
      <c r="N31" s="429"/>
      <c r="O31" s="430"/>
      <c r="P31" s="467"/>
      <c r="Q31" s="467"/>
      <c r="R31" s="343"/>
    </row>
    <row r="32" spans="1:18" s="18" customFormat="1" ht="24" customHeight="1" x14ac:dyDescent="0.25">
      <c r="A32" s="1276"/>
      <c r="B32" s="643" t="s">
        <v>49</v>
      </c>
      <c r="C32" s="569" t="s">
        <v>132</v>
      </c>
      <c r="D32" s="429" t="s">
        <v>731</v>
      </c>
      <c r="E32" s="423">
        <v>42487500</v>
      </c>
      <c r="F32" s="570"/>
      <c r="G32" s="571">
        <v>21243750</v>
      </c>
      <c r="H32" s="571">
        <v>21243750</v>
      </c>
      <c r="I32" s="571"/>
      <c r="J32" s="571"/>
      <c r="K32" s="393">
        <f t="shared" si="2"/>
        <v>42487500</v>
      </c>
      <c r="L32" s="393">
        <f t="shared" si="3"/>
        <v>0</v>
      </c>
      <c r="M32" s="429" t="s">
        <v>47</v>
      </c>
      <c r="N32" s="400" t="s">
        <v>725</v>
      </c>
      <c r="O32" s="430"/>
      <c r="P32" s="467"/>
      <c r="Q32" s="467"/>
      <c r="R32" s="343"/>
    </row>
    <row r="33" spans="1:18" s="18" customFormat="1" ht="24" customHeight="1" x14ac:dyDescent="0.25">
      <c r="A33" s="1276"/>
      <c r="B33" s="643" t="s">
        <v>55</v>
      </c>
      <c r="C33" s="569" t="s">
        <v>118</v>
      </c>
      <c r="D33" s="429" t="s">
        <v>315</v>
      </c>
      <c r="E33" s="423">
        <v>32300800</v>
      </c>
      <c r="F33" s="570"/>
      <c r="G33" s="571">
        <v>9690240</v>
      </c>
      <c r="H33" s="571"/>
      <c r="I33" s="571"/>
      <c r="J33" s="571"/>
      <c r="K33" s="393">
        <f t="shared" si="2"/>
        <v>9690240</v>
      </c>
      <c r="L33" s="393">
        <f t="shared" si="3"/>
        <v>22610560</v>
      </c>
      <c r="M33" s="429"/>
      <c r="N33" s="429"/>
      <c r="O33" s="430"/>
      <c r="P33" s="467"/>
      <c r="Q33" s="467"/>
      <c r="R33" s="343"/>
    </row>
    <row r="34" spans="1:18" s="18" customFormat="1" ht="36.75" customHeight="1" x14ac:dyDescent="0.25">
      <c r="A34" s="1276"/>
      <c r="B34" s="643" t="s">
        <v>59</v>
      </c>
      <c r="C34" s="569" t="s">
        <v>732</v>
      </c>
      <c r="D34" s="429" t="s">
        <v>727</v>
      </c>
      <c r="E34" s="423"/>
      <c r="F34" s="570"/>
      <c r="G34" s="571">
        <v>5000000</v>
      </c>
      <c r="H34" s="571"/>
      <c r="I34" s="571"/>
      <c r="J34" s="571"/>
      <c r="K34" s="423">
        <f t="shared" si="2"/>
        <v>5000000</v>
      </c>
      <c r="L34" s="423"/>
      <c r="M34" s="429"/>
      <c r="N34" s="429"/>
      <c r="O34" s="430"/>
      <c r="P34" s="467"/>
      <c r="Q34" s="467"/>
      <c r="R34" s="343"/>
    </row>
    <row r="35" spans="1:18" s="18" customFormat="1" ht="24" customHeight="1" x14ac:dyDescent="0.25">
      <c r="A35" s="1276"/>
      <c r="B35" s="643" t="s">
        <v>63</v>
      </c>
      <c r="C35" s="569" t="s">
        <v>733</v>
      </c>
      <c r="D35" s="429" t="s">
        <v>734</v>
      </c>
      <c r="E35" s="423"/>
      <c r="F35" s="570"/>
      <c r="G35" s="571">
        <v>5000000</v>
      </c>
      <c r="H35" s="571"/>
      <c r="I35" s="571"/>
      <c r="J35" s="571"/>
      <c r="K35" s="423">
        <f t="shared" si="2"/>
        <v>5000000</v>
      </c>
      <c r="L35" s="423"/>
      <c r="M35" s="429"/>
      <c r="N35" s="429"/>
      <c r="O35" s="430"/>
      <c r="P35" s="467"/>
      <c r="Q35" s="467"/>
      <c r="R35" s="343"/>
    </row>
    <row r="36" spans="1:18" s="18" customFormat="1" ht="24" customHeight="1" x14ac:dyDescent="0.25">
      <c r="A36" s="1276"/>
      <c r="B36" s="643" t="s">
        <v>67</v>
      </c>
      <c r="C36" s="569" t="s">
        <v>735</v>
      </c>
      <c r="D36" s="429" t="s">
        <v>736</v>
      </c>
      <c r="E36" s="423">
        <v>35150000</v>
      </c>
      <c r="F36" s="570"/>
      <c r="G36" s="571">
        <v>24605000</v>
      </c>
      <c r="H36" s="571">
        <v>10545000</v>
      </c>
      <c r="I36" s="571"/>
      <c r="J36" s="571"/>
      <c r="K36" s="423">
        <f t="shared" si="2"/>
        <v>35150000</v>
      </c>
      <c r="L36" s="393">
        <f t="shared" si="3"/>
        <v>0</v>
      </c>
      <c r="M36" s="429" t="s">
        <v>737</v>
      </c>
      <c r="N36" s="429"/>
      <c r="O36" s="430"/>
      <c r="P36" s="467"/>
      <c r="Q36" s="467"/>
      <c r="R36" s="343"/>
    </row>
    <row r="37" spans="1:18" s="18" customFormat="1" ht="24" customHeight="1" x14ac:dyDescent="0.25">
      <c r="A37" s="1276"/>
      <c r="B37" s="643" t="s">
        <v>72</v>
      </c>
      <c r="C37" s="569" t="s">
        <v>170</v>
      </c>
      <c r="D37" s="429" t="s">
        <v>738</v>
      </c>
      <c r="E37" s="423"/>
      <c r="F37" s="570"/>
      <c r="G37" s="571">
        <v>9645000</v>
      </c>
      <c r="H37" s="571"/>
      <c r="I37" s="571"/>
      <c r="J37" s="571"/>
      <c r="K37" s="423">
        <f t="shared" si="2"/>
        <v>9645000</v>
      </c>
      <c r="L37" s="423"/>
      <c r="M37" s="429"/>
      <c r="N37" s="429"/>
      <c r="O37" s="430"/>
      <c r="P37" s="467"/>
      <c r="Q37" s="467"/>
      <c r="R37" s="343"/>
    </row>
    <row r="38" spans="1:18" s="18" customFormat="1" ht="24" customHeight="1" x14ac:dyDescent="0.25">
      <c r="A38" s="1276"/>
      <c r="B38" s="643" t="s">
        <v>74</v>
      </c>
      <c r="C38" s="569" t="s">
        <v>292</v>
      </c>
      <c r="D38" s="429" t="s">
        <v>104</v>
      </c>
      <c r="E38" s="423">
        <v>16800000</v>
      </c>
      <c r="F38" s="570"/>
      <c r="G38" s="571">
        <v>11760000</v>
      </c>
      <c r="H38" s="571"/>
      <c r="I38" s="571"/>
      <c r="J38" s="571"/>
      <c r="K38" s="423">
        <f t="shared" si="2"/>
        <v>11760000</v>
      </c>
      <c r="L38" s="393">
        <f t="shared" si="3"/>
        <v>5040000</v>
      </c>
      <c r="M38" s="429"/>
      <c r="N38" s="429"/>
      <c r="O38" s="430"/>
      <c r="P38" s="467"/>
      <c r="Q38" s="467"/>
      <c r="R38" s="343"/>
    </row>
    <row r="39" spans="1:18" s="632" customFormat="1" ht="24" customHeight="1" x14ac:dyDescent="0.25">
      <c r="A39" s="1276"/>
      <c r="B39" s="648" t="s">
        <v>78</v>
      </c>
      <c r="C39" s="419" t="s">
        <v>514</v>
      </c>
      <c r="D39" s="460" t="s">
        <v>114</v>
      </c>
      <c r="E39" s="421">
        <f>3300000/2</f>
        <v>1650000</v>
      </c>
      <c r="F39" s="628"/>
      <c r="G39" s="421">
        <v>1650000</v>
      </c>
      <c r="H39" s="628"/>
      <c r="I39" s="628"/>
      <c r="J39" s="628"/>
      <c r="K39" s="423">
        <f t="shared" si="2"/>
        <v>1650000</v>
      </c>
      <c r="L39" s="393">
        <f t="shared" si="3"/>
        <v>0</v>
      </c>
      <c r="M39" s="460"/>
      <c r="N39" s="460"/>
      <c r="O39" s="629"/>
      <c r="P39" s="630"/>
      <c r="Q39" s="630"/>
      <c r="R39" s="631"/>
    </row>
    <row r="40" spans="1:18" s="632" customFormat="1" ht="24" customHeight="1" x14ac:dyDescent="0.25">
      <c r="A40" s="1276"/>
      <c r="B40" s="648" t="s">
        <v>83</v>
      </c>
      <c r="C40" s="419" t="s">
        <v>340</v>
      </c>
      <c r="D40" s="460" t="s">
        <v>341</v>
      </c>
      <c r="E40" s="421"/>
      <c r="F40" s="628"/>
      <c r="G40" s="421">
        <v>4000000</v>
      </c>
      <c r="H40" s="628">
        <v>7340000</v>
      </c>
      <c r="I40" s="628"/>
      <c r="J40" s="628"/>
      <c r="K40" s="423">
        <f t="shared" si="2"/>
        <v>11340000</v>
      </c>
      <c r="L40" s="393"/>
      <c r="M40" s="460"/>
      <c r="N40" s="460"/>
      <c r="O40" s="629"/>
      <c r="P40" s="630"/>
      <c r="Q40" s="630"/>
      <c r="R40" s="631"/>
    </row>
    <row r="41" spans="1:18" s="635" customFormat="1" ht="24" customHeight="1" x14ac:dyDescent="0.25">
      <c r="A41" s="1276"/>
      <c r="B41" s="648" t="s">
        <v>87</v>
      </c>
      <c r="C41" s="426" t="s">
        <v>739</v>
      </c>
      <c r="D41" s="424" t="s">
        <v>727</v>
      </c>
      <c r="E41" s="422"/>
      <c r="F41" s="570"/>
      <c r="G41" s="422">
        <v>2000000</v>
      </c>
      <c r="H41" s="570"/>
      <c r="I41" s="570"/>
      <c r="J41" s="570"/>
      <c r="K41" s="422">
        <f t="shared" si="2"/>
        <v>2000000</v>
      </c>
      <c r="L41" s="422"/>
      <c r="M41" s="424"/>
      <c r="N41" s="424"/>
      <c r="O41" s="431"/>
      <c r="P41" s="633"/>
      <c r="Q41" s="633"/>
      <c r="R41" s="634"/>
    </row>
    <row r="42" spans="1:18" s="632" customFormat="1" ht="24" customHeight="1" x14ac:dyDescent="0.25">
      <c r="A42" s="1276"/>
      <c r="B42" s="648" t="s">
        <v>91</v>
      </c>
      <c r="C42" s="419" t="s">
        <v>740</v>
      </c>
      <c r="D42" s="460" t="s">
        <v>397</v>
      </c>
      <c r="E42" s="421">
        <v>40174200</v>
      </c>
      <c r="F42" s="628"/>
      <c r="G42" s="421">
        <v>40174200</v>
      </c>
      <c r="H42" s="628"/>
      <c r="I42" s="628"/>
      <c r="J42" s="628"/>
      <c r="K42" s="422">
        <f t="shared" si="2"/>
        <v>40174200</v>
      </c>
      <c r="L42" s="393">
        <f t="shared" si="3"/>
        <v>0</v>
      </c>
      <c r="M42" s="460"/>
      <c r="N42" s="460"/>
      <c r="O42" s="629"/>
      <c r="P42" s="630"/>
      <c r="Q42" s="630"/>
      <c r="R42" s="631"/>
    </row>
    <row r="43" spans="1:18" s="632" customFormat="1" ht="24" customHeight="1" x14ac:dyDescent="0.25">
      <c r="A43" s="1276"/>
      <c r="B43" s="648" t="s">
        <v>95</v>
      </c>
      <c r="C43" s="419" t="s">
        <v>715</v>
      </c>
      <c r="D43" s="460" t="s">
        <v>229</v>
      </c>
      <c r="E43" s="421">
        <v>30254400</v>
      </c>
      <c r="F43" s="628"/>
      <c r="G43" s="421">
        <v>15127200</v>
      </c>
      <c r="H43" s="628"/>
      <c r="I43" s="628"/>
      <c r="J43" s="628"/>
      <c r="K43" s="422">
        <f t="shared" si="2"/>
        <v>15127200</v>
      </c>
      <c r="L43" s="393">
        <f t="shared" si="3"/>
        <v>15127200</v>
      </c>
      <c r="M43" s="460" t="s">
        <v>47</v>
      </c>
      <c r="N43" s="460"/>
      <c r="O43" s="629"/>
      <c r="P43" s="630"/>
      <c r="Q43" s="630"/>
      <c r="R43" s="631"/>
    </row>
    <row r="44" spans="1:18" s="632" customFormat="1" ht="24" customHeight="1" x14ac:dyDescent="0.25">
      <c r="A44" s="1276"/>
      <c r="B44" s="648" t="s">
        <v>98</v>
      </c>
      <c r="C44" s="419" t="s">
        <v>50</v>
      </c>
      <c r="D44" s="460" t="s">
        <v>65</v>
      </c>
      <c r="E44" s="421">
        <v>6300000</v>
      </c>
      <c r="F44" s="628"/>
      <c r="G44" s="421">
        <v>3150000</v>
      </c>
      <c r="H44" s="628"/>
      <c r="I44" s="628"/>
      <c r="J44" s="628"/>
      <c r="K44" s="422">
        <f t="shared" si="2"/>
        <v>3150000</v>
      </c>
      <c r="L44" s="393">
        <f t="shared" si="3"/>
        <v>3150000</v>
      </c>
      <c r="M44" s="460"/>
      <c r="N44" s="460"/>
      <c r="O44" s="629"/>
      <c r="P44" s="630"/>
      <c r="Q44" s="630"/>
      <c r="R44" s="631"/>
    </row>
    <row r="45" spans="1:18" s="632" customFormat="1" ht="24" customHeight="1" x14ac:dyDescent="0.25">
      <c r="A45" s="1276"/>
      <c r="B45" s="648" t="s">
        <v>102</v>
      </c>
      <c r="C45" s="419" t="s">
        <v>363</v>
      </c>
      <c r="D45" s="460" t="s">
        <v>339</v>
      </c>
      <c r="E45" s="421">
        <v>8859200</v>
      </c>
      <c r="F45" s="628"/>
      <c r="G45" s="421">
        <v>8859200</v>
      </c>
      <c r="H45" s="628"/>
      <c r="I45" s="628"/>
      <c r="J45" s="628"/>
      <c r="K45" s="422">
        <f t="shared" si="2"/>
        <v>8859200</v>
      </c>
      <c r="L45" s="393">
        <f t="shared" si="3"/>
        <v>0</v>
      </c>
      <c r="M45" s="460"/>
      <c r="N45" s="460"/>
      <c r="O45" s="629"/>
      <c r="P45" s="630"/>
      <c r="Q45" s="630"/>
      <c r="R45" s="631"/>
    </row>
    <row r="46" spans="1:18" s="632" customFormat="1" ht="24" customHeight="1" x14ac:dyDescent="0.25">
      <c r="A46" s="1276"/>
      <c r="B46" s="648" t="s">
        <v>106</v>
      </c>
      <c r="C46" s="419" t="s">
        <v>741</v>
      </c>
      <c r="D46" s="460" t="s">
        <v>742</v>
      </c>
      <c r="E46" s="421">
        <v>5880000</v>
      </c>
      <c r="F46" s="628"/>
      <c r="G46" s="421">
        <v>2940000</v>
      </c>
      <c r="H46" s="628">
        <v>2940000</v>
      </c>
      <c r="I46" s="628"/>
      <c r="J46" s="628"/>
      <c r="K46" s="422">
        <f t="shared" si="2"/>
        <v>5880000</v>
      </c>
      <c r="L46" s="423">
        <f t="shared" si="3"/>
        <v>0</v>
      </c>
      <c r="M46" s="460"/>
      <c r="N46" s="460"/>
      <c r="O46" s="629"/>
      <c r="P46" s="630"/>
      <c r="Q46" s="630"/>
      <c r="R46" s="631"/>
    </row>
    <row r="47" spans="1:18" s="632" customFormat="1" ht="24" customHeight="1" x14ac:dyDescent="0.25">
      <c r="A47" s="1276"/>
      <c r="B47" s="648" t="s">
        <v>109</v>
      </c>
      <c r="C47" s="419" t="s">
        <v>743</v>
      </c>
      <c r="D47" s="460" t="s">
        <v>744</v>
      </c>
      <c r="E47" s="421">
        <v>3800000</v>
      </c>
      <c r="F47" s="628"/>
      <c r="G47" s="421">
        <v>3800000</v>
      </c>
      <c r="H47" s="628"/>
      <c r="I47" s="628"/>
      <c r="J47" s="628"/>
      <c r="K47" s="422">
        <f t="shared" si="2"/>
        <v>3800000</v>
      </c>
      <c r="L47" s="423">
        <f t="shared" si="3"/>
        <v>0</v>
      </c>
      <c r="M47" s="460"/>
      <c r="N47" s="460"/>
      <c r="O47" s="629"/>
      <c r="P47" s="630"/>
      <c r="Q47" s="630"/>
      <c r="R47" s="631"/>
    </row>
    <row r="48" spans="1:18" s="632" customFormat="1" ht="24" customHeight="1" x14ac:dyDescent="0.25">
      <c r="A48" s="1276"/>
      <c r="B48" s="648" t="s">
        <v>112</v>
      </c>
      <c r="C48" s="419" t="s">
        <v>158</v>
      </c>
      <c r="D48" s="460" t="s">
        <v>441</v>
      </c>
      <c r="E48" s="421">
        <v>3850000</v>
      </c>
      <c r="F48" s="628"/>
      <c r="G48" s="421">
        <v>3850000</v>
      </c>
      <c r="H48" s="628"/>
      <c r="I48" s="628"/>
      <c r="J48" s="628"/>
      <c r="K48" s="422">
        <f t="shared" si="2"/>
        <v>3850000</v>
      </c>
      <c r="L48" s="423">
        <f t="shared" si="3"/>
        <v>0</v>
      </c>
      <c r="M48" s="460"/>
      <c r="N48" s="460"/>
      <c r="O48" s="629"/>
      <c r="P48" s="630"/>
      <c r="Q48" s="630"/>
      <c r="R48" s="631"/>
    </row>
    <row r="49" spans="1:18" s="632" customFormat="1" ht="24" customHeight="1" x14ac:dyDescent="0.25">
      <c r="A49" s="1276"/>
      <c r="B49" s="648" t="s">
        <v>115</v>
      </c>
      <c r="C49" s="419" t="s">
        <v>745</v>
      </c>
      <c r="D49" s="460" t="s">
        <v>746</v>
      </c>
      <c r="E49" s="421">
        <v>27885000</v>
      </c>
      <c r="F49" s="628"/>
      <c r="G49" s="421">
        <v>27885000</v>
      </c>
      <c r="H49" s="628"/>
      <c r="I49" s="628"/>
      <c r="J49" s="628"/>
      <c r="K49" s="422">
        <f t="shared" si="2"/>
        <v>27885000</v>
      </c>
      <c r="L49" s="423">
        <f t="shared" si="3"/>
        <v>0</v>
      </c>
      <c r="M49" s="460"/>
      <c r="N49" s="460"/>
      <c r="O49" s="629"/>
      <c r="P49" s="630"/>
      <c r="Q49" s="630"/>
      <c r="R49" s="631"/>
    </row>
    <row r="50" spans="1:18" s="632" customFormat="1" ht="24" customHeight="1" x14ac:dyDescent="0.25">
      <c r="A50" s="1276"/>
      <c r="B50" s="681">
        <v>29</v>
      </c>
      <c r="C50" s="419" t="s">
        <v>747</v>
      </c>
      <c r="D50" s="460" t="s">
        <v>146</v>
      </c>
      <c r="E50" s="421">
        <v>1330000</v>
      </c>
      <c r="F50" s="628"/>
      <c r="G50" s="421">
        <v>1330000</v>
      </c>
      <c r="H50" s="628"/>
      <c r="I50" s="628"/>
      <c r="J50" s="628"/>
      <c r="K50" s="422">
        <f t="shared" si="2"/>
        <v>1330000</v>
      </c>
      <c r="L50" s="423">
        <f t="shared" si="3"/>
        <v>0</v>
      </c>
      <c r="M50" s="460"/>
      <c r="N50" s="460"/>
      <c r="O50" s="629"/>
      <c r="P50" s="630"/>
      <c r="Q50" s="630"/>
      <c r="R50" s="631"/>
    </row>
    <row r="51" spans="1:18" s="632" customFormat="1" ht="24" customHeight="1" x14ac:dyDescent="0.25">
      <c r="A51" s="1276"/>
      <c r="B51" s="681">
        <v>30</v>
      </c>
      <c r="C51" s="419" t="s">
        <v>748</v>
      </c>
      <c r="D51" s="460" t="s">
        <v>57</v>
      </c>
      <c r="E51" s="421"/>
      <c r="F51" s="628"/>
      <c r="G51" s="421">
        <v>2760000</v>
      </c>
      <c r="H51" s="628"/>
      <c r="I51" s="628"/>
      <c r="J51" s="628"/>
      <c r="K51" s="422">
        <f>SUM(G51:J51)</f>
        <v>2760000</v>
      </c>
      <c r="L51" s="423">
        <f>IF(F51="",E51-K51,F51-K51)</f>
        <v>-2760000</v>
      </c>
      <c r="M51" s="460"/>
      <c r="N51" s="460"/>
      <c r="O51" s="629"/>
      <c r="P51" s="630"/>
      <c r="Q51" s="630"/>
      <c r="R51" s="631"/>
    </row>
    <row r="52" spans="1:18" s="632" customFormat="1" ht="41.25" customHeight="1" x14ac:dyDescent="0.25">
      <c r="A52" s="1276"/>
      <c r="B52" s="681">
        <v>31</v>
      </c>
      <c r="C52" s="419" t="s">
        <v>749</v>
      </c>
      <c r="D52" s="460" t="s">
        <v>750</v>
      </c>
      <c r="E52" s="421">
        <v>29551609</v>
      </c>
      <c r="F52" s="628">
        <v>29551609</v>
      </c>
      <c r="G52" s="421"/>
      <c r="H52" s="628"/>
      <c r="I52" s="628"/>
      <c r="J52" s="628"/>
      <c r="K52" s="422">
        <f>SUM(G52:J52)</f>
        <v>0</v>
      </c>
      <c r="L52" s="423">
        <f>IF(F52="",E52-K52,F52-K52)</f>
        <v>29551609</v>
      </c>
      <c r="M52" s="460"/>
      <c r="N52" s="460"/>
      <c r="O52" s="629"/>
      <c r="P52" s="630"/>
      <c r="Q52" s="630"/>
      <c r="R52" s="631"/>
    </row>
    <row r="53" spans="1:18" s="18" customFormat="1" ht="22.5" customHeight="1" thickBot="1" x14ac:dyDescent="0.3">
      <c r="A53" s="1277"/>
      <c r="B53" s="649"/>
      <c r="C53" s="478"/>
      <c r="D53" s="405"/>
      <c r="E53" s="477"/>
      <c r="F53" s="479"/>
      <c r="G53" s="480"/>
      <c r="H53" s="480"/>
      <c r="I53" s="480"/>
      <c r="J53" s="480"/>
      <c r="K53" s="432">
        <f>SUM(K22:K52)</f>
        <v>707730455</v>
      </c>
      <c r="L53" s="432">
        <f>SUM(L22:L52)</f>
        <v>212531442</v>
      </c>
      <c r="M53" s="405"/>
      <c r="N53" s="405"/>
      <c r="O53" s="406"/>
      <c r="P53" s="467"/>
      <c r="Q53" s="467"/>
      <c r="R53" s="343"/>
    </row>
    <row r="54" spans="1:18" s="18" customFormat="1" ht="22.5" customHeight="1" x14ac:dyDescent="0.25">
      <c r="A54" s="1284" t="s">
        <v>751</v>
      </c>
      <c r="B54" s="645" t="s">
        <v>194</v>
      </c>
      <c r="C54" s="506" t="s">
        <v>752</v>
      </c>
      <c r="D54" s="507" t="s">
        <v>526</v>
      </c>
      <c r="E54" s="505"/>
      <c r="F54" s="508"/>
      <c r="G54" s="509">
        <v>5000000</v>
      </c>
      <c r="H54" s="509"/>
      <c r="I54" s="509"/>
      <c r="J54" s="509"/>
      <c r="K54" s="505">
        <f t="shared" ref="K54:K68" si="4">SUM(G54:J54)</f>
        <v>5000000</v>
      </c>
      <c r="L54" s="505"/>
      <c r="M54" s="507"/>
      <c r="N54" s="507"/>
      <c r="O54" s="510"/>
      <c r="P54" s="588" t="s">
        <v>753</v>
      </c>
      <c r="Q54" s="587"/>
      <c r="R54" s="343"/>
    </row>
    <row r="55" spans="1:18" s="18" customFormat="1" ht="20.25" customHeight="1" x14ac:dyDescent="0.25">
      <c r="A55" s="1285"/>
      <c r="B55" s="646" t="s">
        <v>196</v>
      </c>
      <c r="C55" s="323" t="s">
        <v>50</v>
      </c>
      <c r="D55" s="511" t="s">
        <v>323</v>
      </c>
      <c r="E55" s="322">
        <v>19428000</v>
      </c>
      <c r="F55" s="512"/>
      <c r="G55" s="513">
        <v>9714000</v>
      </c>
      <c r="H55" s="513">
        <v>9714000</v>
      </c>
      <c r="I55" s="513"/>
      <c r="J55" s="513"/>
      <c r="K55" s="322">
        <f t="shared" si="4"/>
        <v>19428000</v>
      </c>
      <c r="L55" s="322">
        <f t="shared" ref="L55:L68" si="5">IF(F55="",E55-K55,F55-K55)</f>
        <v>0</v>
      </c>
      <c r="M55" s="511"/>
      <c r="N55" s="511"/>
      <c r="O55" s="514"/>
      <c r="P55" s="467" t="s">
        <v>719</v>
      </c>
      <c r="Q55" s="467">
        <v>640000</v>
      </c>
      <c r="R55" s="343"/>
    </row>
    <row r="56" spans="1:18" s="18" customFormat="1" ht="20.25" customHeight="1" x14ac:dyDescent="0.25">
      <c r="A56" s="1285"/>
      <c r="B56" s="646" t="s">
        <v>20</v>
      </c>
      <c r="C56" s="323" t="s">
        <v>50</v>
      </c>
      <c r="D56" s="511" t="s">
        <v>754</v>
      </c>
      <c r="E56" s="322">
        <v>3500000</v>
      </c>
      <c r="F56" s="512"/>
      <c r="G56" s="513">
        <v>1750000</v>
      </c>
      <c r="H56" s="513">
        <v>1750000</v>
      </c>
      <c r="I56" s="513"/>
      <c r="J56" s="513"/>
      <c r="K56" s="322">
        <f t="shared" si="4"/>
        <v>3500000</v>
      </c>
      <c r="L56" s="322">
        <f t="shared" si="5"/>
        <v>0</v>
      </c>
      <c r="M56" s="511"/>
      <c r="N56" s="511"/>
      <c r="O56" s="514"/>
      <c r="P56" s="467" t="s">
        <v>701</v>
      </c>
      <c r="Q56" s="467">
        <v>1371000</v>
      </c>
      <c r="R56" s="343"/>
    </row>
    <row r="57" spans="1:18" s="18" customFormat="1" ht="20.25" customHeight="1" x14ac:dyDescent="0.25">
      <c r="A57" s="1285"/>
      <c r="B57" s="646" t="s">
        <v>24</v>
      </c>
      <c r="C57" s="323" t="s">
        <v>755</v>
      </c>
      <c r="D57" s="511" t="s">
        <v>756</v>
      </c>
      <c r="E57" s="322">
        <v>2150000</v>
      </c>
      <c r="F57" s="512"/>
      <c r="G57" s="513">
        <v>2150000</v>
      </c>
      <c r="H57" s="513"/>
      <c r="I57" s="513"/>
      <c r="J57" s="513"/>
      <c r="K57" s="322">
        <f t="shared" si="4"/>
        <v>2150000</v>
      </c>
      <c r="L57" s="322">
        <f t="shared" si="5"/>
        <v>0</v>
      </c>
      <c r="M57" s="511"/>
      <c r="N57" s="511"/>
      <c r="O57" s="514"/>
      <c r="P57" s="467" t="s">
        <v>702</v>
      </c>
      <c r="Q57" s="467">
        <v>3996000</v>
      </c>
      <c r="R57" s="343"/>
    </row>
    <row r="58" spans="1:18" s="18" customFormat="1" ht="20.25" customHeight="1" x14ac:dyDescent="0.25">
      <c r="A58" s="1285"/>
      <c r="B58" s="646" t="s">
        <v>26</v>
      </c>
      <c r="C58" s="323" t="s">
        <v>99</v>
      </c>
      <c r="D58" s="511" t="s">
        <v>100</v>
      </c>
      <c r="E58" s="322">
        <v>112180000</v>
      </c>
      <c r="F58" s="512"/>
      <c r="G58" s="513">
        <v>33645000</v>
      </c>
      <c r="H58" s="513">
        <v>44870000</v>
      </c>
      <c r="I58" s="513"/>
      <c r="J58" s="513"/>
      <c r="K58" s="322">
        <f t="shared" si="4"/>
        <v>78515000</v>
      </c>
      <c r="L58" s="322">
        <f t="shared" si="5"/>
        <v>33665000</v>
      </c>
      <c r="M58" s="511"/>
      <c r="N58" s="511"/>
      <c r="O58" s="514"/>
      <c r="P58" s="467" t="s">
        <v>705</v>
      </c>
      <c r="Q58" s="467">
        <v>1700000</v>
      </c>
      <c r="R58" s="343"/>
    </row>
    <row r="59" spans="1:18" s="18" customFormat="1" ht="20.25" customHeight="1" x14ac:dyDescent="0.25">
      <c r="A59" s="1285"/>
      <c r="B59" s="646" t="s">
        <v>28</v>
      </c>
      <c r="C59" s="323" t="s">
        <v>107</v>
      </c>
      <c r="D59" s="511" t="s">
        <v>156</v>
      </c>
      <c r="E59" s="322">
        <v>21640000</v>
      </c>
      <c r="F59" s="512"/>
      <c r="G59" s="513">
        <v>6000000</v>
      </c>
      <c r="H59" s="513">
        <v>12000000</v>
      </c>
      <c r="I59" s="513"/>
      <c r="J59" s="513"/>
      <c r="K59" s="322">
        <f t="shared" si="4"/>
        <v>18000000</v>
      </c>
      <c r="L59" s="322">
        <f t="shared" si="5"/>
        <v>3640000</v>
      </c>
      <c r="M59" s="511"/>
      <c r="N59" s="511"/>
      <c r="O59" s="514"/>
      <c r="P59" s="467"/>
      <c r="Q59" s="467"/>
      <c r="R59" s="343"/>
    </row>
    <row r="60" spans="1:18" s="18" customFormat="1" ht="20.25" customHeight="1" x14ac:dyDescent="0.25">
      <c r="A60" s="1285"/>
      <c r="B60" s="646" t="s">
        <v>30</v>
      </c>
      <c r="C60" s="547" t="s">
        <v>515</v>
      </c>
      <c r="D60" s="548" t="s">
        <v>229</v>
      </c>
      <c r="E60" s="546">
        <v>51584330</v>
      </c>
      <c r="F60" s="549"/>
      <c r="G60" s="550">
        <v>25750000</v>
      </c>
      <c r="H60" s="550"/>
      <c r="I60" s="550"/>
      <c r="J60" s="550"/>
      <c r="K60" s="322">
        <f t="shared" si="4"/>
        <v>25750000</v>
      </c>
      <c r="L60" s="322">
        <f t="shared" si="5"/>
        <v>25834330</v>
      </c>
      <c r="M60" s="548" t="s">
        <v>47</v>
      </c>
      <c r="N60" s="400" t="s">
        <v>725</v>
      </c>
      <c r="O60" s="551"/>
      <c r="P60" s="467"/>
      <c r="Q60" s="467"/>
      <c r="R60" s="343"/>
    </row>
    <row r="61" spans="1:18" s="18" customFormat="1" ht="20.25" customHeight="1" x14ac:dyDescent="0.25">
      <c r="A61" s="1285"/>
      <c r="B61" s="646" t="s">
        <v>33</v>
      </c>
      <c r="C61" s="547" t="s">
        <v>132</v>
      </c>
      <c r="D61" s="548" t="s">
        <v>731</v>
      </c>
      <c r="E61" s="546">
        <v>15273880</v>
      </c>
      <c r="F61" s="549"/>
      <c r="G61" s="550">
        <v>7636940</v>
      </c>
      <c r="H61" s="550">
        <v>7636940</v>
      </c>
      <c r="I61" s="550"/>
      <c r="J61" s="550"/>
      <c r="K61" s="322">
        <f t="shared" si="4"/>
        <v>15273880</v>
      </c>
      <c r="L61" s="322">
        <f t="shared" si="5"/>
        <v>0</v>
      </c>
      <c r="M61" s="548" t="s">
        <v>47</v>
      </c>
      <c r="N61" s="400" t="s">
        <v>725</v>
      </c>
      <c r="O61" s="551"/>
      <c r="P61" s="467"/>
      <c r="Q61" s="467"/>
      <c r="R61" s="343"/>
    </row>
    <row r="62" spans="1:18" s="18" customFormat="1" ht="20.25" customHeight="1" x14ac:dyDescent="0.25">
      <c r="A62" s="1285"/>
      <c r="B62" s="646" t="s">
        <v>39</v>
      </c>
      <c r="C62" s="547" t="s">
        <v>292</v>
      </c>
      <c r="D62" s="548" t="s">
        <v>104</v>
      </c>
      <c r="E62" s="546">
        <v>5250000</v>
      </c>
      <c r="F62" s="549"/>
      <c r="G62" s="546">
        <v>5250000</v>
      </c>
      <c r="H62" s="550"/>
      <c r="I62" s="550"/>
      <c r="J62" s="550"/>
      <c r="K62" s="322">
        <f t="shared" si="4"/>
        <v>5250000</v>
      </c>
      <c r="L62" s="322">
        <f t="shared" si="5"/>
        <v>0</v>
      </c>
      <c r="M62" s="548"/>
      <c r="N62" s="429"/>
      <c r="O62" s="551"/>
      <c r="P62" s="467"/>
      <c r="Q62" s="467"/>
      <c r="R62" s="343"/>
    </row>
    <row r="63" spans="1:18" s="18" customFormat="1" ht="20.25" customHeight="1" x14ac:dyDescent="0.25">
      <c r="A63" s="1285"/>
      <c r="B63" s="646" t="s">
        <v>44</v>
      </c>
      <c r="C63" s="547" t="s">
        <v>514</v>
      </c>
      <c r="D63" s="548" t="s">
        <v>114</v>
      </c>
      <c r="E63" s="546">
        <f>3300000/2</f>
        <v>1650000</v>
      </c>
      <c r="F63" s="549"/>
      <c r="G63" s="546">
        <v>1650000</v>
      </c>
      <c r="H63" s="550"/>
      <c r="I63" s="550"/>
      <c r="J63" s="550"/>
      <c r="K63" s="322">
        <f t="shared" si="4"/>
        <v>1650000</v>
      </c>
      <c r="L63" s="322">
        <f t="shared" si="5"/>
        <v>0</v>
      </c>
      <c r="M63" s="548"/>
      <c r="N63" s="429"/>
      <c r="O63" s="551"/>
      <c r="P63" s="467"/>
      <c r="Q63" s="467"/>
      <c r="R63" s="343"/>
    </row>
    <row r="64" spans="1:18" s="18" customFormat="1" ht="20.25" customHeight="1" x14ac:dyDescent="0.25">
      <c r="A64" s="1285"/>
      <c r="B64" s="646" t="s">
        <v>49</v>
      </c>
      <c r="C64" s="547" t="s">
        <v>346</v>
      </c>
      <c r="D64" s="548" t="s">
        <v>757</v>
      </c>
      <c r="E64" s="546">
        <v>25363286</v>
      </c>
      <c r="F64" s="549"/>
      <c r="G64" s="550">
        <v>12681643</v>
      </c>
      <c r="H64" s="550"/>
      <c r="I64" s="550"/>
      <c r="J64" s="550"/>
      <c r="K64" s="322">
        <f t="shared" si="4"/>
        <v>12681643</v>
      </c>
      <c r="L64" s="322">
        <f t="shared" si="5"/>
        <v>12681643</v>
      </c>
      <c r="M64" s="548"/>
      <c r="N64" s="429"/>
      <c r="O64" s="551"/>
      <c r="P64" s="467"/>
      <c r="Q64" s="467"/>
      <c r="R64" s="343"/>
    </row>
    <row r="65" spans="1:18" s="18" customFormat="1" ht="20.25" customHeight="1" x14ac:dyDescent="0.25">
      <c r="A65" s="1285"/>
      <c r="B65" s="646" t="s">
        <v>55</v>
      </c>
      <c r="C65" s="547" t="s">
        <v>740</v>
      </c>
      <c r="D65" s="548" t="s">
        <v>397</v>
      </c>
      <c r="E65" s="546">
        <v>3423750</v>
      </c>
      <c r="F65" s="549"/>
      <c r="G65" s="550">
        <v>3423750</v>
      </c>
      <c r="H65" s="550"/>
      <c r="I65" s="550"/>
      <c r="J65" s="550"/>
      <c r="K65" s="322">
        <f t="shared" si="4"/>
        <v>3423750</v>
      </c>
      <c r="L65" s="322">
        <f t="shared" si="5"/>
        <v>0</v>
      </c>
      <c r="M65" s="548"/>
      <c r="N65" s="429"/>
      <c r="O65" s="551"/>
      <c r="P65" s="467"/>
      <c r="Q65" s="467"/>
      <c r="R65" s="343"/>
    </row>
    <row r="66" spans="1:18" s="18" customFormat="1" ht="20.25" customHeight="1" x14ac:dyDescent="0.25">
      <c r="A66" s="1285"/>
      <c r="B66" s="646" t="s">
        <v>59</v>
      </c>
      <c r="C66" s="547" t="s">
        <v>363</v>
      </c>
      <c r="D66" s="548" t="s">
        <v>339</v>
      </c>
      <c r="E66" s="546">
        <v>2350000</v>
      </c>
      <c r="F66" s="549"/>
      <c r="G66" s="550">
        <v>2350000</v>
      </c>
      <c r="H66" s="550"/>
      <c r="I66" s="550"/>
      <c r="J66" s="550"/>
      <c r="K66" s="546">
        <f t="shared" si="4"/>
        <v>2350000</v>
      </c>
      <c r="L66" s="546">
        <f t="shared" si="5"/>
        <v>0</v>
      </c>
      <c r="M66" s="548"/>
      <c r="N66" s="429"/>
      <c r="O66" s="551"/>
      <c r="P66" s="467"/>
      <c r="Q66" s="467"/>
      <c r="R66" s="343"/>
    </row>
    <row r="67" spans="1:18" s="18" customFormat="1" ht="20.25" customHeight="1" x14ac:dyDescent="0.25">
      <c r="A67" s="1285"/>
      <c r="B67" s="646" t="s">
        <v>63</v>
      </c>
      <c r="C67" s="547" t="s">
        <v>164</v>
      </c>
      <c r="D67" s="548" t="s">
        <v>173</v>
      </c>
      <c r="E67" s="546">
        <v>22641000</v>
      </c>
      <c r="F67" s="549"/>
      <c r="G67" s="546">
        <v>22641000</v>
      </c>
      <c r="H67" s="550"/>
      <c r="I67" s="550"/>
      <c r="J67" s="550"/>
      <c r="K67" s="546">
        <f t="shared" si="4"/>
        <v>22641000</v>
      </c>
      <c r="L67" s="546">
        <f t="shared" si="5"/>
        <v>0</v>
      </c>
      <c r="M67" s="548"/>
      <c r="N67" s="429"/>
      <c r="O67" s="551"/>
      <c r="P67" s="467"/>
      <c r="Q67" s="467"/>
      <c r="R67" s="343"/>
    </row>
    <row r="68" spans="1:18" s="18" customFormat="1" ht="20.25" customHeight="1" x14ac:dyDescent="0.25">
      <c r="A68" s="1285"/>
      <c r="B68" s="646" t="s">
        <v>67</v>
      </c>
      <c r="C68" s="547" t="s">
        <v>118</v>
      </c>
      <c r="D68" s="548" t="s">
        <v>301</v>
      </c>
      <c r="E68" s="546">
        <v>28517050</v>
      </c>
      <c r="F68" s="549"/>
      <c r="G68" s="546">
        <v>28517050</v>
      </c>
      <c r="H68" s="546"/>
      <c r="I68" s="550"/>
      <c r="J68" s="550"/>
      <c r="K68" s="546">
        <f t="shared" si="4"/>
        <v>28517050</v>
      </c>
      <c r="L68" s="546">
        <f t="shared" si="5"/>
        <v>0</v>
      </c>
      <c r="M68" s="548"/>
      <c r="N68" s="429"/>
      <c r="O68" s="551"/>
      <c r="P68" s="467"/>
      <c r="Q68" s="467"/>
      <c r="R68" s="343"/>
    </row>
    <row r="69" spans="1:18" s="18" customFormat="1" ht="20.25" customHeight="1" x14ac:dyDescent="0.25">
      <c r="A69" s="1285"/>
      <c r="B69" s="646">
        <v>16</v>
      </c>
      <c r="C69" s="547" t="s">
        <v>532</v>
      </c>
      <c r="D69" s="548" t="s">
        <v>204</v>
      </c>
      <c r="E69" s="546"/>
      <c r="F69" s="549"/>
      <c r="G69" s="546">
        <v>26858900</v>
      </c>
      <c r="H69" s="546"/>
      <c r="I69" s="550"/>
      <c r="J69" s="550"/>
      <c r="K69" s="546">
        <f>SUM(G69:J69)</f>
        <v>26858900</v>
      </c>
      <c r="L69" s="546">
        <f>IF(F69="",E69-K69,F69-K69)</f>
        <v>-26858900</v>
      </c>
      <c r="M69" s="548"/>
      <c r="N69" s="429"/>
      <c r="O69" s="551"/>
      <c r="P69" s="467"/>
      <c r="Q69" s="467"/>
      <c r="R69" s="343"/>
    </row>
    <row r="70" spans="1:18" s="18" customFormat="1" ht="20.25" customHeight="1" thickBot="1" x14ac:dyDescent="0.3">
      <c r="A70" s="1286"/>
      <c r="B70" s="650"/>
      <c r="C70" s="515"/>
      <c r="D70" s="278"/>
      <c r="E70" s="360"/>
      <c r="F70" s="516"/>
      <c r="G70" s="517"/>
      <c r="H70" s="517"/>
      <c r="I70" s="517"/>
      <c r="J70" s="517"/>
      <c r="K70" s="434">
        <f>SUM(K54:K69)</f>
        <v>270989223</v>
      </c>
      <c r="L70" s="434">
        <f>SUM(L54:L69)</f>
        <v>48962073</v>
      </c>
      <c r="M70" s="278"/>
      <c r="N70" s="278"/>
      <c r="O70" s="282"/>
      <c r="P70" s="467"/>
      <c r="Q70" s="467"/>
      <c r="R70" s="343"/>
    </row>
    <row r="71" spans="1:18" s="563" customFormat="1" ht="20.25" customHeight="1" x14ac:dyDescent="0.3">
      <c r="A71" s="1282" t="s">
        <v>758</v>
      </c>
      <c r="B71" s="651" t="s">
        <v>194</v>
      </c>
      <c r="C71" s="675" t="s">
        <v>759</v>
      </c>
      <c r="D71" s="390" t="s">
        <v>695</v>
      </c>
      <c r="E71" s="676" t="s">
        <v>2</v>
      </c>
      <c r="F71" s="676">
        <v>164113574</v>
      </c>
      <c r="G71" s="677">
        <v>44758247</v>
      </c>
      <c r="H71" s="677">
        <v>119335327</v>
      </c>
      <c r="I71" s="677"/>
      <c r="J71" s="677"/>
      <c r="K71" s="388">
        <f>SUM(G71:J71)</f>
        <v>164093574</v>
      </c>
      <c r="L71" s="388">
        <f>IF(F71="",E71-K71,F71-K71)</f>
        <v>20000</v>
      </c>
      <c r="M71" s="1263" t="s">
        <v>47</v>
      </c>
      <c r="N71" s="1263" t="s">
        <v>760</v>
      </c>
      <c r="O71" s="1265">
        <v>43913</v>
      </c>
      <c r="P71" s="564"/>
      <c r="Q71" s="564"/>
      <c r="R71" s="565"/>
    </row>
    <row r="72" spans="1:18" s="566" customFormat="1" ht="20.25" customHeight="1" x14ac:dyDescent="0.3">
      <c r="A72" s="1270"/>
      <c r="B72" s="643" t="s">
        <v>196</v>
      </c>
      <c r="C72" s="419" t="s">
        <v>761</v>
      </c>
      <c r="D72" s="397" t="s">
        <v>695</v>
      </c>
      <c r="E72" s="422">
        <v>334041823</v>
      </c>
      <c r="F72" s="422"/>
      <c r="G72" s="421">
        <v>91102316</v>
      </c>
      <c r="H72" s="421"/>
      <c r="I72" s="421"/>
      <c r="J72" s="421"/>
      <c r="K72" s="393">
        <f>SUM(G72:J72)</f>
        <v>91102316</v>
      </c>
      <c r="L72" s="393">
        <f>IF(F72="",E72-K72,F72-K72)</f>
        <v>242939507</v>
      </c>
      <c r="M72" s="1264"/>
      <c r="N72" s="1264"/>
      <c r="O72" s="1266"/>
      <c r="P72" s="567"/>
      <c r="Q72" s="567"/>
      <c r="R72" s="568"/>
    </row>
    <row r="73" spans="1:18" s="566" customFormat="1" ht="22.5" customHeight="1" thickBot="1" x14ac:dyDescent="0.3">
      <c r="A73" s="1283"/>
      <c r="B73" s="644"/>
      <c r="C73" s="575"/>
      <c r="D73" s="576"/>
      <c r="E73" s="574"/>
      <c r="F73" s="577"/>
      <c r="G73" s="578"/>
      <c r="H73" s="578"/>
      <c r="I73" s="578"/>
      <c r="J73" s="578"/>
      <c r="K73" s="432">
        <f>SUM(K71:K72)</f>
        <v>255195890</v>
      </c>
      <c r="L73" s="432">
        <f>SUM(L71:L72)</f>
        <v>242959507</v>
      </c>
      <c r="M73" s="579"/>
      <c r="N73" s="580"/>
      <c r="O73" s="581"/>
      <c r="P73" s="567"/>
      <c r="Q73" s="567"/>
      <c r="R73" s="568"/>
    </row>
    <row r="74" spans="1:18" s="9" customFormat="1" ht="21" customHeight="1" x14ac:dyDescent="0.25">
      <c r="A74" s="1278" t="s">
        <v>762</v>
      </c>
      <c r="B74" s="652">
        <v>1</v>
      </c>
      <c r="C74" s="506" t="s">
        <v>201</v>
      </c>
      <c r="D74" s="507" t="s">
        <v>200</v>
      </c>
      <c r="E74" s="505">
        <v>49280572</v>
      </c>
      <c r="F74" s="508"/>
      <c r="G74" s="509">
        <v>24640286</v>
      </c>
      <c r="H74" s="509">
        <v>19712229</v>
      </c>
      <c r="I74" s="509"/>
      <c r="J74" s="509"/>
      <c r="K74" s="505">
        <f t="shared" ref="K74:K95" si="6">SUM(G74:J74)</f>
        <v>44352515</v>
      </c>
      <c r="L74" s="505">
        <f t="shared" ref="L74:L97" si="7">IF(F74="",E74-K74,F74-K74)</f>
        <v>4928057</v>
      </c>
      <c r="M74" s="518" t="s">
        <v>47</v>
      </c>
      <c r="N74" s="507"/>
      <c r="O74" s="510"/>
      <c r="P74" s="455" t="s">
        <v>763</v>
      </c>
      <c r="Q74" s="467"/>
      <c r="R74" s="468"/>
    </row>
    <row r="75" spans="1:18" s="9" customFormat="1" ht="21" customHeight="1" x14ac:dyDescent="0.25">
      <c r="A75" s="1279"/>
      <c r="B75" s="653">
        <v>2</v>
      </c>
      <c r="C75" s="521" t="s">
        <v>764</v>
      </c>
      <c r="D75" s="511" t="s">
        <v>200</v>
      </c>
      <c r="E75" s="322">
        <v>20600000</v>
      </c>
      <c r="F75" s="512"/>
      <c r="G75" s="513">
        <v>20600000</v>
      </c>
      <c r="H75" s="513"/>
      <c r="I75" s="513"/>
      <c r="J75" s="513"/>
      <c r="K75" s="322">
        <f t="shared" si="6"/>
        <v>20600000</v>
      </c>
      <c r="L75" s="322">
        <f t="shared" si="7"/>
        <v>0</v>
      </c>
      <c r="M75" s="519"/>
      <c r="N75" s="511"/>
      <c r="O75" s="514"/>
      <c r="P75" s="345" t="s">
        <v>765</v>
      </c>
      <c r="Q75" s="467">
        <v>1118000</v>
      </c>
      <c r="R75" s="468"/>
    </row>
    <row r="76" spans="1:18" s="9" customFormat="1" ht="21" customHeight="1" x14ac:dyDescent="0.25">
      <c r="A76" s="1279"/>
      <c r="B76" s="653">
        <v>3</v>
      </c>
      <c r="C76" s="323" t="s">
        <v>31</v>
      </c>
      <c r="D76" s="511" t="s">
        <v>385</v>
      </c>
      <c r="E76" s="322">
        <v>52050039</v>
      </c>
      <c r="F76" s="512">
        <v>68065463</v>
      </c>
      <c r="G76" s="513">
        <v>15615000</v>
      </c>
      <c r="H76" s="513">
        <v>52450463</v>
      </c>
      <c r="I76" s="513"/>
      <c r="J76" s="513"/>
      <c r="K76" s="322">
        <f t="shared" si="6"/>
        <v>68065463</v>
      </c>
      <c r="L76" s="322">
        <f t="shared" si="7"/>
        <v>0</v>
      </c>
      <c r="M76" s="519"/>
      <c r="N76" s="511"/>
      <c r="O76" s="514"/>
      <c r="P76" s="467" t="s">
        <v>599</v>
      </c>
      <c r="Q76" s="467">
        <v>2138000</v>
      </c>
      <c r="R76" s="468"/>
    </row>
    <row r="77" spans="1:18" s="9" customFormat="1" ht="21" customHeight="1" x14ac:dyDescent="0.25">
      <c r="A77" s="1279"/>
      <c r="B77" s="653">
        <v>4</v>
      </c>
      <c r="C77" s="323" t="s">
        <v>215</v>
      </c>
      <c r="D77" s="511" t="s">
        <v>216</v>
      </c>
      <c r="E77" s="322">
        <v>110176769</v>
      </c>
      <c r="F77" s="512"/>
      <c r="G77" s="513">
        <v>40064280</v>
      </c>
      <c r="H77" s="513">
        <v>40064280</v>
      </c>
      <c r="I77" s="513"/>
      <c r="J77" s="513"/>
      <c r="K77" s="322">
        <f t="shared" si="6"/>
        <v>80128560</v>
      </c>
      <c r="L77" s="322">
        <f t="shared" si="7"/>
        <v>30048209</v>
      </c>
      <c r="M77" s="519" t="s">
        <v>47</v>
      </c>
      <c r="N77" s="511"/>
      <c r="O77" s="514"/>
      <c r="P77" s="467" t="s">
        <v>600</v>
      </c>
      <c r="Q77" s="467">
        <v>3280000</v>
      </c>
      <c r="R77" s="468"/>
    </row>
    <row r="78" spans="1:18" s="9" customFormat="1" ht="21" customHeight="1" x14ac:dyDescent="0.25">
      <c r="A78" s="1280"/>
      <c r="B78" s="654">
        <v>5</v>
      </c>
      <c r="C78" s="547" t="s">
        <v>50</v>
      </c>
      <c r="D78" s="548" t="s">
        <v>323</v>
      </c>
      <c r="E78" s="546">
        <v>30676800</v>
      </c>
      <c r="F78" s="549"/>
      <c r="G78" s="550">
        <v>19521600</v>
      </c>
      <c r="H78" s="550"/>
      <c r="I78" s="550"/>
      <c r="J78" s="550"/>
      <c r="K78" s="322">
        <f t="shared" si="6"/>
        <v>19521600</v>
      </c>
      <c r="L78" s="322">
        <f t="shared" si="7"/>
        <v>11155200</v>
      </c>
      <c r="M78" s="519" t="s">
        <v>766</v>
      </c>
      <c r="N78" s="548" t="s">
        <v>767</v>
      </c>
      <c r="O78" s="678">
        <v>43941</v>
      </c>
      <c r="P78" s="467" t="s">
        <v>719</v>
      </c>
      <c r="Q78" s="467">
        <v>2546000</v>
      </c>
      <c r="R78" s="468"/>
    </row>
    <row r="79" spans="1:18" s="9" customFormat="1" ht="21" customHeight="1" x14ac:dyDescent="0.25">
      <c r="A79" s="1280"/>
      <c r="B79" s="653">
        <v>6</v>
      </c>
      <c r="C79" s="547" t="s">
        <v>99</v>
      </c>
      <c r="D79" s="548" t="s">
        <v>100</v>
      </c>
      <c r="E79" s="546">
        <v>230040000</v>
      </c>
      <c r="F79" s="549">
        <v>230330000</v>
      </c>
      <c r="G79" s="550">
        <v>69012000</v>
      </c>
      <c r="H79" s="550">
        <v>149801500</v>
      </c>
      <c r="I79" s="550"/>
      <c r="J79" s="550"/>
      <c r="K79" s="322">
        <f t="shared" si="6"/>
        <v>218813500</v>
      </c>
      <c r="L79" s="322">
        <f t="shared" si="7"/>
        <v>11516500</v>
      </c>
      <c r="M79" s="552"/>
      <c r="N79" s="548"/>
      <c r="O79" s="551"/>
      <c r="P79" s="467" t="s">
        <v>701</v>
      </c>
      <c r="Q79" s="467">
        <v>460000</v>
      </c>
      <c r="R79" s="468"/>
    </row>
    <row r="80" spans="1:18" s="9" customFormat="1" ht="21" customHeight="1" x14ac:dyDescent="0.25">
      <c r="A80" s="1280"/>
      <c r="B80" s="654">
        <v>7</v>
      </c>
      <c r="C80" s="547" t="s">
        <v>692</v>
      </c>
      <c r="D80" s="548" t="s">
        <v>176</v>
      </c>
      <c r="E80" s="546">
        <v>6845234</v>
      </c>
      <c r="F80" s="549"/>
      <c r="G80" s="546">
        <v>6845234</v>
      </c>
      <c r="H80" s="550"/>
      <c r="I80" s="550"/>
      <c r="J80" s="550"/>
      <c r="K80" s="322">
        <f t="shared" si="6"/>
        <v>6845234</v>
      </c>
      <c r="L80" s="322">
        <f t="shared" si="7"/>
        <v>0</v>
      </c>
      <c r="M80" s="552"/>
      <c r="N80" s="548"/>
      <c r="O80" s="551"/>
      <c r="P80" s="467"/>
      <c r="Q80" s="467"/>
      <c r="R80" s="468"/>
    </row>
    <row r="81" spans="1:18" s="9" customFormat="1" ht="21" customHeight="1" x14ac:dyDescent="0.25">
      <c r="A81" s="1280"/>
      <c r="B81" s="653">
        <v>8</v>
      </c>
      <c r="C81" s="547" t="s">
        <v>34</v>
      </c>
      <c r="D81" s="548" t="s">
        <v>204</v>
      </c>
      <c r="E81" s="546">
        <v>55505340</v>
      </c>
      <c r="F81" s="549">
        <v>52345480</v>
      </c>
      <c r="G81" s="550">
        <v>15137820</v>
      </c>
      <c r="H81" s="550">
        <v>20183760</v>
      </c>
      <c r="I81" s="550">
        <v>17023900</v>
      </c>
      <c r="J81" s="550"/>
      <c r="K81" s="322">
        <f t="shared" si="6"/>
        <v>52345480</v>
      </c>
      <c r="L81" s="322">
        <f t="shared" si="7"/>
        <v>0</v>
      </c>
      <c r="M81" s="552" t="s">
        <v>47</v>
      </c>
      <c r="N81" s="548" t="s">
        <v>768</v>
      </c>
      <c r="O81" s="561">
        <v>43942</v>
      </c>
      <c r="P81" s="467"/>
      <c r="Q81" s="467"/>
      <c r="R81" s="468"/>
    </row>
    <row r="82" spans="1:18" s="9" customFormat="1" ht="21" customHeight="1" x14ac:dyDescent="0.25">
      <c r="A82" s="1280"/>
      <c r="B82" s="654">
        <v>9</v>
      </c>
      <c r="C82" s="547" t="s">
        <v>118</v>
      </c>
      <c r="D82" s="548" t="s">
        <v>315</v>
      </c>
      <c r="E82" s="546">
        <v>28216000</v>
      </c>
      <c r="F82" s="549">
        <f>28698000-411600</f>
        <v>28286400</v>
      </c>
      <c r="G82" s="550">
        <v>11286400</v>
      </c>
      <c r="H82" s="550">
        <v>17000000</v>
      </c>
      <c r="I82" s="550"/>
      <c r="J82" s="550"/>
      <c r="K82" s="322">
        <f t="shared" si="6"/>
        <v>28286400</v>
      </c>
      <c r="L82" s="322">
        <f t="shared" si="7"/>
        <v>0</v>
      </c>
      <c r="M82" s="552"/>
      <c r="N82" s="548"/>
      <c r="O82" s="551"/>
      <c r="P82" s="467"/>
      <c r="Q82" s="467"/>
      <c r="R82" s="468"/>
    </row>
    <row r="83" spans="1:18" s="9" customFormat="1" ht="21" customHeight="1" x14ac:dyDescent="0.25">
      <c r="A83" s="1280"/>
      <c r="B83" s="653">
        <v>10</v>
      </c>
      <c r="C83" s="547" t="s">
        <v>769</v>
      </c>
      <c r="D83" s="548" t="s">
        <v>229</v>
      </c>
      <c r="E83" s="546">
        <v>33258500</v>
      </c>
      <c r="F83" s="549"/>
      <c r="G83" s="550">
        <v>16629000</v>
      </c>
      <c r="H83" s="550"/>
      <c r="I83" s="550"/>
      <c r="J83" s="550"/>
      <c r="K83" s="322">
        <f t="shared" si="6"/>
        <v>16629000</v>
      </c>
      <c r="L83" s="322">
        <f t="shared" si="7"/>
        <v>16629500</v>
      </c>
      <c r="M83" s="552" t="s">
        <v>47</v>
      </c>
      <c r="N83" s="548"/>
      <c r="O83" s="551"/>
      <c r="P83" s="467"/>
      <c r="Q83" s="467"/>
      <c r="R83" s="468"/>
    </row>
    <row r="84" spans="1:18" s="9" customFormat="1" ht="21" customHeight="1" x14ac:dyDescent="0.25">
      <c r="A84" s="1280"/>
      <c r="B84" s="654">
        <v>11</v>
      </c>
      <c r="C84" s="547" t="s">
        <v>257</v>
      </c>
      <c r="D84" s="548" t="s">
        <v>286</v>
      </c>
      <c r="E84" s="546"/>
      <c r="F84" s="549"/>
      <c r="G84" s="550">
        <v>6875000</v>
      </c>
      <c r="H84" s="550"/>
      <c r="I84" s="550"/>
      <c r="J84" s="550"/>
      <c r="K84" s="322">
        <f t="shared" si="6"/>
        <v>6875000</v>
      </c>
      <c r="L84" s="322"/>
      <c r="M84" s="552"/>
      <c r="N84" s="548"/>
      <c r="O84" s="551"/>
      <c r="P84" s="467"/>
      <c r="Q84" s="467"/>
      <c r="R84" s="468"/>
    </row>
    <row r="85" spans="1:18" s="9" customFormat="1" ht="21" customHeight="1" x14ac:dyDescent="0.25">
      <c r="A85" s="1280"/>
      <c r="B85" s="653">
        <v>12</v>
      </c>
      <c r="C85" s="547" t="s">
        <v>170</v>
      </c>
      <c r="D85" s="562" t="s">
        <v>171</v>
      </c>
      <c r="E85" s="546">
        <v>10220430</v>
      </c>
      <c r="F85" s="549"/>
      <c r="G85" s="546">
        <v>10220430</v>
      </c>
      <c r="H85" s="550"/>
      <c r="I85" s="550"/>
      <c r="J85" s="550"/>
      <c r="K85" s="322">
        <f t="shared" si="6"/>
        <v>10220430</v>
      </c>
      <c r="L85" s="322">
        <f t="shared" si="7"/>
        <v>0</v>
      </c>
      <c r="M85" s="552"/>
      <c r="N85" s="548"/>
      <c r="O85" s="551"/>
      <c r="P85" s="467"/>
      <c r="Q85" s="467"/>
      <c r="R85" s="468"/>
    </row>
    <row r="86" spans="1:18" s="9" customFormat="1" ht="21" customHeight="1" x14ac:dyDescent="0.25">
      <c r="A86" s="1280"/>
      <c r="B86" s="654">
        <v>13</v>
      </c>
      <c r="C86" s="547" t="s">
        <v>514</v>
      </c>
      <c r="D86" s="562" t="s">
        <v>114</v>
      </c>
      <c r="E86" s="546">
        <v>13612000</v>
      </c>
      <c r="F86" s="549"/>
      <c r="G86" s="546">
        <v>13612000</v>
      </c>
      <c r="H86" s="550"/>
      <c r="I86" s="550"/>
      <c r="J86" s="550"/>
      <c r="K86" s="322">
        <f t="shared" si="6"/>
        <v>13612000</v>
      </c>
      <c r="L86" s="322">
        <f t="shared" si="7"/>
        <v>0</v>
      </c>
      <c r="M86" s="552"/>
      <c r="N86" s="548"/>
      <c r="O86" s="551"/>
      <c r="P86" s="467"/>
      <c r="Q86" s="467"/>
      <c r="R86" s="468"/>
    </row>
    <row r="87" spans="1:18" s="9" customFormat="1" ht="21" customHeight="1" x14ac:dyDescent="0.25">
      <c r="A87" s="1280"/>
      <c r="B87" s="653">
        <v>14</v>
      </c>
      <c r="C87" s="547" t="s">
        <v>50</v>
      </c>
      <c r="D87" s="562" t="s">
        <v>65</v>
      </c>
      <c r="E87" s="546">
        <v>7260000</v>
      </c>
      <c r="F87" s="549"/>
      <c r="G87" s="546">
        <v>2178000</v>
      </c>
      <c r="H87" s="550">
        <v>5082000</v>
      </c>
      <c r="I87" s="550"/>
      <c r="J87" s="550"/>
      <c r="K87" s="322">
        <f t="shared" si="6"/>
        <v>7260000</v>
      </c>
      <c r="L87" s="322">
        <f t="shared" si="7"/>
        <v>0</v>
      </c>
      <c r="M87" s="552" t="s">
        <v>770</v>
      </c>
      <c r="N87" s="548"/>
      <c r="O87" s="551"/>
      <c r="P87" s="467"/>
      <c r="Q87" s="467"/>
      <c r="R87" s="468"/>
    </row>
    <row r="88" spans="1:18" s="9" customFormat="1" ht="21" customHeight="1" x14ac:dyDescent="0.25">
      <c r="A88" s="1280"/>
      <c r="B88" s="654">
        <v>15</v>
      </c>
      <c r="C88" s="547" t="s">
        <v>34</v>
      </c>
      <c r="D88" s="562" t="s">
        <v>695</v>
      </c>
      <c r="E88" s="546">
        <v>5115000</v>
      </c>
      <c r="F88" s="549"/>
      <c r="G88" s="546">
        <v>5115000</v>
      </c>
      <c r="H88" s="550"/>
      <c r="I88" s="550"/>
      <c r="J88" s="550"/>
      <c r="K88" s="322">
        <f t="shared" si="6"/>
        <v>5115000</v>
      </c>
      <c r="L88" s="322">
        <f t="shared" si="7"/>
        <v>0</v>
      </c>
      <c r="M88" s="552" t="s">
        <v>47</v>
      </c>
      <c r="N88" s="548"/>
      <c r="O88" s="551"/>
      <c r="P88" s="467"/>
      <c r="Q88" s="467"/>
      <c r="R88" s="468"/>
    </row>
    <row r="89" spans="1:18" s="9" customFormat="1" ht="21" customHeight="1" x14ac:dyDescent="0.25">
      <c r="A89" s="1280"/>
      <c r="B89" s="653">
        <v>16</v>
      </c>
      <c r="C89" s="547" t="s">
        <v>107</v>
      </c>
      <c r="D89" s="562" t="s">
        <v>341</v>
      </c>
      <c r="E89" s="546"/>
      <c r="F89" s="549">
        <f>8140000+500000</f>
        <v>8640000</v>
      </c>
      <c r="G89" s="546">
        <v>4000000</v>
      </c>
      <c r="H89" s="550">
        <v>4640000</v>
      </c>
      <c r="I89" s="550"/>
      <c r="J89" s="550"/>
      <c r="K89" s="322">
        <f t="shared" si="6"/>
        <v>8640000</v>
      </c>
      <c r="L89" s="322">
        <f t="shared" si="7"/>
        <v>0</v>
      </c>
      <c r="M89" s="552"/>
      <c r="N89" s="548"/>
      <c r="O89" s="551"/>
      <c r="P89" s="467"/>
      <c r="Q89" s="467"/>
      <c r="R89" s="468"/>
    </row>
    <row r="90" spans="1:18" s="9" customFormat="1" ht="21" customHeight="1" x14ac:dyDescent="0.25">
      <c r="A90" s="1280"/>
      <c r="B90" s="654">
        <v>17</v>
      </c>
      <c r="C90" s="547" t="s">
        <v>771</v>
      </c>
      <c r="D90" s="562" t="s">
        <v>772</v>
      </c>
      <c r="E90" s="546">
        <v>550000</v>
      </c>
      <c r="F90" s="549"/>
      <c r="G90" s="546">
        <v>550000</v>
      </c>
      <c r="H90" s="550"/>
      <c r="I90" s="550"/>
      <c r="J90" s="550"/>
      <c r="K90" s="546">
        <f t="shared" si="6"/>
        <v>550000</v>
      </c>
      <c r="L90" s="322">
        <f t="shared" si="7"/>
        <v>0</v>
      </c>
      <c r="M90" s="552"/>
      <c r="N90" s="548"/>
      <c r="O90" s="551"/>
      <c r="P90" s="467"/>
      <c r="Q90" s="467"/>
      <c r="R90" s="468"/>
    </row>
    <row r="91" spans="1:18" s="9" customFormat="1" ht="21" customHeight="1" x14ac:dyDescent="0.25">
      <c r="A91" s="1280"/>
      <c r="B91" s="653">
        <v>18</v>
      </c>
      <c r="C91" s="547" t="s">
        <v>773</v>
      </c>
      <c r="D91" s="562"/>
      <c r="E91" s="546">
        <v>15480000</v>
      </c>
      <c r="F91" s="549"/>
      <c r="G91" s="546">
        <v>15480000</v>
      </c>
      <c r="H91" s="550"/>
      <c r="I91" s="550"/>
      <c r="J91" s="550"/>
      <c r="K91" s="546">
        <f t="shared" si="6"/>
        <v>15480000</v>
      </c>
      <c r="L91" s="322">
        <f t="shared" si="7"/>
        <v>0</v>
      </c>
      <c r="M91" s="552" t="s">
        <v>728</v>
      </c>
      <c r="N91" s="548"/>
      <c r="O91" s="551"/>
      <c r="P91" s="467"/>
      <c r="Q91" s="467"/>
      <c r="R91" s="468"/>
    </row>
    <row r="92" spans="1:18" s="9" customFormat="1" ht="21" customHeight="1" x14ac:dyDescent="0.25">
      <c r="A92" s="1280"/>
      <c r="B92" s="654">
        <v>19</v>
      </c>
      <c r="C92" s="547" t="s">
        <v>158</v>
      </c>
      <c r="D92" s="562" t="s">
        <v>247</v>
      </c>
      <c r="E92" s="546">
        <v>4875000</v>
      </c>
      <c r="F92" s="549"/>
      <c r="G92" s="546">
        <v>4875000</v>
      </c>
      <c r="H92" s="550"/>
      <c r="I92" s="550"/>
      <c r="J92" s="550"/>
      <c r="K92" s="546">
        <f t="shared" si="6"/>
        <v>4875000</v>
      </c>
      <c r="L92" s="322">
        <f t="shared" si="7"/>
        <v>0</v>
      </c>
      <c r="M92" s="552"/>
      <c r="N92" s="548"/>
      <c r="O92" s="551"/>
      <c r="P92" s="467"/>
      <c r="Q92" s="467"/>
      <c r="R92" s="468"/>
    </row>
    <row r="93" spans="1:18" s="9" customFormat="1" ht="21" customHeight="1" x14ac:dyDescent="0.25">
      <c r="A93" s="1280"/>
      <c r="B93" s="653">
        <v>20</v>
      </c>
      <c r="C93" s="547" t="s">
        <v>774</v>
      </c>
      <c r="D93" s="562" t="s">
        <v>229</v>
      </c>
      <c r="E93" s="546">
        <v>126060000</v>
      </c>
      <c r="F93" s="549"/>
      <c r="G93" s="546">
        <v>126060000</v>
      </c>
      <c r="H93" s="550"/>
      <c r="I93" s="550"/>
      <c r="J93" s="550"/>
      <c r="K93" s="546">
        <f t="shared" si="6"/>
        <v>126060000</v>
      </c>
      <c r="L93" s="322">
        <f t="shared" si="7"/>
        <v>0</v>
      </c>
      <c r="M93" s="552" t="s">
        <v>47</v>
      </c>
      <c r="N93" s="548" t="s">
        <v>775</v>
      </c>
      <c r="O93" s="561">
        <v>43978</v>
      </c>
      <c r="P93" s="467"/>
      <c r="Q93" s="467"/>
      <c r="R93" s="468"/>
    </row>
    <row r="94" spans="1:18" s="9" customFormat="1" ht="21" customHeight="1" x14ac:dyDescent="0.25">
      <c r="A94" s="1280"/>
      <c r="B94" s="654">
        <v>21</v>
      </c>
      <c r="C94" s="547" t="s">
        <v>776</v>
      </c>
      <c r="D94" s="562" t="s">
        <v>229</v>
      </c>
      <c r="E94" s="546">
        <v>64878000</v>
      </c>
      <c r="F94" s="549"/>
      <c r="G94" s="546">
        <v>32439000</v>
      </c>
      <c r="H94" s="550"/>
      <c r="I94" s="550"/>
      <c r="J94" s="550"/>
      <c r="K94" s="546">
        <f t="shared" si="6"/>
        <v>32439000</v>
      </c>
      <c r="L94" s="322">
        <f t="shared" si="7"/>
        <v>32439000</v>
      </c>
      <c r="M94" s="552" t="s">
        <v>47</v>
      </c>
      <c r="N94" s="548" t="s">
        <v>775</v>
      </c>
      <c r="O94" s="561">
        <v>43978</v>
      </c>
      <c r="P94" s="467"/>
      <c r="Q94" s="467"/>
      <c r="R94" s="468"/>
    </row>
    <row r="95" spans="1:18" s="9" customFormat="1" ht="21" customHeight="1" x14ac:dyDescent="0.25">
      <c r="A95" s="1280"/>
      <c r="B95" s="654">
        <v>22</v>
      </c>
      <c r="C95" s="547" t="s">
        <v>161</v>
      </c>
      <c r="D95" s="562" t="s">
        <v>162</v>
      </c>
      <c r="E95" s="546">
        <v>31600000</v>
      </c>
      <c r="F95" s="549"/>
      <c r="G95" s="546">
        <v>31600000</v>
      </c>
      <c r="H95" s="550"/>
      <c r="I95" s="550"/>
      <c r="J95" s="550"/>
      <c r="K95" s="546">
        <f t="shared" si="6"/>
        <v>31600000</v>
      </c>
      <c r="L95" s="322">
        <f t="shared" si="7"/>
        <v>0</v>
      </c>
      <c r="M95" s="552"/>
      <c r="N95" s="548"/>
      <c r="O95" s="561"/>
      <c r="P95" s="467"/>
      <c r="Q95" s="467"/>
      <c r="R95" s="468"/>
    </row>
    <row r="96" spans="1:18" s="9" customFormat="1" ht="21" customHeight="1" x14ac:dyDescent="0.25">
      <c r="A96" s="1280"/>
      <c r="B96" s="654">
        <v>23</v>
      </c>
      <c r="C96" s="547" t="s">
        <v>777</v>
      </c>
      <c r="D96" s="562" t="s">
        <v>778</v>
      </c>
      <c r="E96" s="546"/>
      <c r="F96" s="549"/>
      <c r="G96" s="546">
        <v>5328400</v>
      </c>
      <c r="H96" s="550"/>
      <c r="I96" s="550"/>
      <c r="J96" s="550"/>
      <c r="K96" s="546">
        <f>SUM(G96:J96)</f>
        <v>5328400</v>
      </c>
      <c r="L96" s="322">
        <f t="shared" si="7"/>
        <v>-5328400</v>
      </c>
      <c r="M96" s="552"/>
      <c r="N96" s="548"/>
      <c r="O96" s="561"/>
      <c r="P96" s="467"/>
      <c r="Q96" s="467"/>
      <c r="R96" s="468"/>
    </row>
    <row r="97" spans="1:18" s="9" customFormat="1" ht="21" customHeight="1" x14ac:dyDescent="0.25">
      <c r="A97" s="1280"/>
      <c r="B97" s="654">
        <v>24</v>
      </c>
      <c r="C97" s="547" t="s">
        <v>779</v>
      </c>
      <c r="D97" s="562" t="s">
        <v>780</v>
      </c>
      <c r="E97" s="546"/>
      <c r="F97" s="549"/>
      <c r="G97" s="546">
        <v>46500000</v>
      </c>
      <c r="H97" s="550"/>
      <c r="I97" s="550"/>
      <c r="J97" s="550"/>
      <c r="K97" s="546">
        <f>SUM(G97:J97)</f>
        <v>46500000</v>
      </c>
      <c r="L97" s="322">
        <f t="shared" si="7"/>
        <v>-46500000</v>
      </c>
      <c r="M97" s="552"/>
      <c r="N97" s="548"/>
      <c r="O97" s="561"/>
      <c r="P97" s="467"/>
      <c r="Q97" s="467"/>
      <c r="R97" s="468"/>
    </row>
    <row r="98" spans="1:18" s="9" customFormat="1" ht="27" customHeight="1" thickBot="1" x14ac:dyDescent="0.3">
      <c r="A98" s="1281"/>
      <c r="B98" s="650"/>
      <c r="C98" s="547"/>
      <c r="D98" s="562"/>
      <c r="E98" s="360"/>
      <c r="F98" s="516"/>
      <c r="G98" s="546"/>
      <c r="H98" s="517"/>
      <c r="I98" s="517"/>
      <c r="J98" s="517"/>
      <c r="K98" s="434">
        <f>SUM(K74:K97)</f>
        <v>870142582</v>
      </c>
      <c r="L98" s="434">
        <f>SUM(L74:L97)</f>
        <v>54888066</v>
      </c>
      <c r="M98" s="520"/>
      <c r="N98" s="278"/>
      <c r="O98" s="282"/>
      <c r="P98" s="467"/>
      <c r="Q98" s="467"/>
      <c r="R98" s="468"/>
    </row>
    <row r="99" spans="1:18" s="9" customFormat="1" ht="19.5" customHeight="1" x14ac:dyDescent="0.25">
      <c r="A99" s="1275" t="s">
        <v>781</v>
      </c>
      <c r="B99" s="651" t="s">
        <v>194</v>
      </c>
      <c r="C99" s="469" t="s">
        <v>340</v>
      </c>
      <c r="D99" s="394" t="s">
        <v>341</v>
      </c>
      <c r="E99" s="388">
        <v>500000</v>
      </c>
      <c r="F99" s="470"/>
      <c r="G99" s="471">
        <v>500000</v>
      </c>
      <c r="H99" s="471"/>
      <c r="I99" s="471"/>
      <c r="J99" s="471"/>
      <c r="K99" s="388">
        <f>SUM(G99:J99)</f>
        <v>500000</v>
      </c>
      <c r="L99" s="388">
        <f>IF(F99="",E99-K99,F99-K99)</f>
        <v>0</v>
      </c>
      <c r="M99" s="394"/>
      <c r="N99" s="394"/>
      <c r="O99" s="473"/>
      <c r="P99" s="467"/>
      <c r="Q99" s="467"/>
      <c r="R99" s="468"/>
    </row>
    <row r="100" spans="1:18" s="9" customFormat="1" ht="19.5" customHeight="1" x14ac:dyDescent="0.25">
      <c r="A100" s="1276"/>
      <c r="B100" s="643" t="s">
        <v>196</v>
      </c>
      <c r="C100" s="474" t="s">
        <v>99</v>
      </c>
      <c r="D100" s="400" t="s">
        <v>100</v>
      </c>
      <c r="E100" s="393">
        <v>14800000</v>
      </c>
      <c r="F100" s="475"/>
      <c r="G100" s="476">
        <v>14800000</v>
      </c>
      <c r="H100" s="476"/>
      <c r="I100" s="476"/>
      <c r="J100" s="476"/>
      <c r="K100" s="472">
        <f>SUM(G100:J100)</f>
        <v>14800000</v>
      </c>
      <c r="L100" s="472">
        <f>IF(F100="",E100-K100,F100-K100)</f>
        <v>0</v>
      </c>
      <c r="M100" s="400"/>
      <c r="N100" s="400"/>
      <c r="O100" s="401"/>
      <c r="P100" s="467"/>
      <c r="Q100" s="467"/>
      <c r="R100" s="468"/>
    </row>
    <row r="101" spans="1:18" s="9" customFormat="1" ht="19.5" customHeight="1" x14ac:dyDescent="0.25">
      <c r="A101" s="1276"/>
      <c r="B101" s="643" t="s">
        <v>20</v>
      </c>
      <c r="C101" s="569" t="s">
        <v>118</v>
      </c>
      <c r="D101" s="429" t="s">
        <v>301</v>
      </c>
      <c r="E101" s="423">
        <v>1259000</v>
      </c>
      <c r="F101" s="570"/>
      <c r="G101" s="571">
        <v>1259000</v>
      </c>
      <c r="H101" s="571"/>
      <c r="I101" s="571"/>
      <c r="J101" s="571"/>
      <c r="K101" s="472">
        <f>SUM(G101:J101)</f>
        <v>1259000</v>
      </c>
      <c r="L101" s="472">
        <f>IF(F101="",E101-K101,F101-K101)</f>
        <v>0</v>
      </c>
      <c r="M101" s="429"/>
      <c r="N101" s="429"/>
      <c r="O101" s="430"/>
      <c r="P101" s="467"/>
      <c r="Q101" s="467"/>
      <c r="R101" s="468"/>
    </row>
    <row r="102" spans="1:18" s="9" customFormat="1" ht="19.5" customHeight="1" thickBot="1" x14ac:dyDescent="0.3">
      <c r="A102" s="1277"/>
      <c r="B102" s="649"/>
      <c r="C102" s="478"/>
      <c r="D102" s="405"/>
      <c r="E102" s="477"/>
      <c r="F102" s="479"/>
      <c r="G102" s="480"/>
      <c r="H102" s="480"/>
      <c r="I102" s="480"/>
      <c r="J102" s="480"/>
      <c r="K102" s="432">
        <f>SUM(K99:K101)</f>
        <v>16559000</v>
      </c>
      <c r="L102" s="432">
        <f>SUM(L99:L101)</f>
        <v>0</v>
      </c>
      <c r="M102" s="405"/>
      <c r="N102" s="405"/>
      <c r="O102" s="406"/>
      <c r="P102" s="467"/>
      <c r="Q102" s="467"/>
      <c r="R102" s="468"/>
    </row>
    <row r="103" spans="1:18" s="18" customFormat="1" ht="18.75" customHeight="1" x14ac:dyDescent="0.3">
      <c r="A103" s="1271" t="s">
        <v>782</v>
      </c>
      <c r="B103" s="652" t="s">
        <v>194</v>
      </c>
      <c r="C103" s="249" t="s">
        <v>31</v>
      </c>
      <c r="D103" s="303" t="s">
        <v>168</v>
      </c>
      <c r="E103" s="251">
        <v>72650000</v>
      </c>
      <c r="F103" s="252">
        <v>86709000</v>
      </c>
      <c r="G103" s="251">
        <v>21795000</v>
      </c>
      <c r="H103" s="251">
        <v>29060000</v>
      </c>
      <c r="I103" s="251">
        <v>35854000</v>
      </c>
      <c r="J103" s="251"/>
      <c r="K103" s="248">
        <f t="shared" ref="K103:K134" si="8">SUM(G103:J103)</f>
        <v>86709000</v>
      </c>
      <c r="L103" s="248">
        <f t="shared" ref="L103:L135" si="9">IF(F103="",E103-K103,F103-K103)</f>
        <v>0</v>
      </c>
      <c r="M103" s="253"/>
      <c r="N103" s="253"/>
      <c r="O103" s="268"/>
      <c r="P103" s="455" t="s">
        <v>783</v>
      </c>
      <c r="Q103" s="456"/>
      <c r="R103" s="343"/>
    </row>
    <row r="104" spans="1:18" s="18" customFormat="1" ht="18.75" customHeight="1" x14ac:dyDescent="0.3">
      <c r="A104" s="1272"/>
      <c r="B104" s="653" t="s">
        <v>196</v>
      </c>
      <c r="C104" s="255" t="s">
        <v>492</v>
      </c>
      <c r="D104" s="256" t="s">
        <v>784</v>
      </c>
      <c r="E104" s="257">
        <v>174999000</v>
      </c>
      <c r="F104" s="243">
        <v>174999000</v>
      </c>
      <c r="G104" s="257">
        <v>122499300</v>
      </c>
      <c r="H104" s="257">
        <v>52499700</v>
      </c>
      <c r="I104" s="257"/>
      <c r="J104" s="257"/>
      <c r="K104" s="240">
        <f t="shared" si="8"/>
        <v>174999000</v>
      </c>
      <c r="L104" s="240">
        <f t="shared" si="9"/>
        <v>0</v>
      </c>
      <c r="M104" s="244" t="s">
        <v>47</v>
      </c>
      <c r="N104" s="244"/>
      <c r="O104" s="258"/>
      <c r="P104" s="589" t="s">
        <v>101</v>
      </c>
      <c r="Q104" s="589">
        <v>465000</v>
      </c>
      <c r="R104" s="343"/>
    </row>
    <row r="105" spans="1:18" s="18" customFormat="1" ht="18.75" customHeight="1" x14ac:dyDescent="0.3">
      <c r="A105" s="1272"/>
      <c r="B105" s="653" t="s">
        <v>20</v>
      </c>
      <c r="C105" s="255" t="s">
        <v>257</v>
      </c>
      <c r="D105" s="256" t="s">
        <v>258</v>
      </c>
      <c r="E105" s="257"/>
      <c r="F105" s="545" t="s">
        <v>23</v>
      </c>
      <c r="G105" s="257">
        <v>15068277</v>
      </c>
      <c r="H105" s="257"/>
      <c r="I105" s="257"/>
      <c r="J105" s="257"/>
      <c r="K105" s="240">
        <f t="shared" si="8"/>
        <v>15068277</v>
      </c>
      <c r="L105" s="240"/>
      <c r="M105" s="260"/>
      <c r="N105" s="260"/>
      <c r="O105" s="258"/>
      <c r="P105" s="589" t="s">
        <v>596</v>
      </c>
      <c r="Q105" s="589">
        <v>2100000</v>
      </c>
      <c r="R105" s="343"/>
    </row>
    <row r="106" spans="1:18" s="586" customFormat="1" ht="18.75" customHeight="1" x14ac:dyDescent="0.3">
      <c r="A106" s="1272"/>
      <c r="B106" s="655" t="s">
        <v>24</v>
      </c>
      <c r="C106" s="440" t="s">
        <v>691</v>
      </c>
      <c r="D106" s="583"/>
      <c r="E106" s="243">
        <v>41434195</v>
      </c>
      <c r="F106" s="243"/>
      <c r="G106" s="257">
        <f>E106/2</f>
        <v>20717097.5</v>
      </c>
      <c r="H106" s="584"/>
      <c r="I106" s="243"/>
      <c r="J106" s="243"/>
      <c r="K106" s="243">
        <f t="shared" si="8"/>
        <v>20717097.5</v>
      </c>
      <c r="L106" s="243">
        <f t="shared" si="9"/>
        <v>20717097.5</v>
      </c>
      <c r="M106" s="260"/>
      <c r="N106" s="260"/>
      <c r="O106" s="442"/>
      <c r="P106" s="589" t="s">
        <v>105</v>
      </c>
      <c r="Q106" s="589">
        <v>2150500</v>
      </c>
      <c r="R106" s="585"/>
    </row>
    <row r="107" spans="1:18" s="586" customFormat="1" ht="18.75" customHeight="1" x14ac:dyDescent="0.3">
      <c r="A107" s="1273"/>
      <c r="B107" s="627"/>
      <c r="C107" s="605" t="s">
        <v>785</v>
      </c>
      <c r="D107" s="626"/>
      <c r="E107" s="301"/>
      <c r="F107" s="301"/>
      <c r="G107" s="300">
        <v>5000000</v>
      </c>
      <c r="H107" s="301">
        <v>5000000</v>
      </c>
      <c r="I107" s="301"/>
      <c r="J107" s="301"/>
      <c r="K107" s="243">
        <f t="shared" si="8"/>
        <v>10000000</v>
      </c>
      <c r="L107" s="243"/>
      <c r="M107" s="317"/>
      <c r="N107" s="260"/>
      <c r="O107" s="607"/>
      <c r="P107" s="589"/>
      <c r="Q107" s="589"/>
      <c r="R107" s="585"/>
    </row>
    <row r="108" spans="1:18" s="18" customFormat="1" ht="18.75" customHeight="1" x14ac:dyDescent="0.3">
      <c r="A108" s="1273"/>
      <c r="B108" s="653" t="s">
        <v>26</v>
      </c>
      <c r="C108" s="315" t="s">
        <v>34</v>
      </c>
      <c r="D108" s="349" t="s">
        <v>204</v>
      </c>
      <c r="E108" s="300">
        <v>146799840</v>
      </c>
      <c r="F108" s="301">
        <v>150106000</v>
      </c>
      <c r="G108" s="300">
        <v>40036320</v>
      </c>
      <c r="H108" s="300">
        <v>53381760</v>
      </c>
      <c r="I108" s="300">
        <v>56687920</v>
      </c>
      <c r="J108" s="300"/>
      <c r="K108" s="240">
        <f t="shared" si="8"/>
        <v>150106000</v>
      </c>
      <c r="L108" s="240">
        <f t="shared" si="9"/>
        <v>0</v>
      </c>
      <c r="M108" s="317" t="s">
        <v>786</v>
      </c>
      <c r="N108" s="319" t="s">
        <v>768</v>
      </c>
      <c r="O108" s="449">
        <v>43913</v>
      </c>
      <c r="P108" s="589" t="s">
        <v>598</v>
      </c>
      <c r="Q108" s="589">
        <v>1036000</v>
      </c>
      <c r="R108" s="343"/>
    </row>
    <row r="109" spans="1:18" s="18" customFormat="1" ht="18.75" customHeight="1" x14ac:dyDescent="0.3">
      <c r="A109" s="1273"/>
      <c r="B109" s="653" t="s">
        <v>28</v>
      </c>
      <c r="C109" s="315" t="s">
        <v>787</v>
      </c>
      <c r="D109" s="349" t="s">
        <v>352</v>
      </c>
      <c r="E109" s="300">
        <v>29119200</v>
      </c>
      <c r="F109" s="301">
        <v>29442523</v>
      </c>
      <c r="G109" s="300">
        <v>13236000</v>
      </c>
      <c r="H109" s="300">
        <v>16206523</v>
      </c>
      <c r="I109" s="300"/>
      <c r="J109" s="300"/>
      <c r="K109" s="240">
        <f t="shared" si="8"/>
        <v>29442523</v>
      </c>
      <c r="L109" s="240">
        <f t="shared" si="9"/>
        <v>0</v>
      </c>
      <c r="M109" s="317" t="s">
        <v>47</v>
      </c>
      <c r="N109" s="319" t="s">
        <v>788</v>
      </c>
      <c r="O109" s="449">
        <v>43915</v>
      </c>
      <c r="P109" s="589" t="s">
        <v>789</v>
      </c>
      <c r="Q109" s="589">
        <v>1826000</v>
      </c>
      <c r="R109" s="343"/>
    </row>
    <row r="110" spans="1:18" s="18" customFormat="1" ht="18.75" customHeight="1" x14ac:dyDescent="0.3">
      <c r="A110" s="1273"/>
      <c r="B110" s="653" t="s">
        <v>30</v>
      </c>
      <c r="C110" s="315" t="s">
        <v>769</v>
      </c>
      <c r="D110" s="349" t="s">
        <v>229</v>
      </c>
      <c r="E110" s="300"/>
      <c r="F110" s="301">
        <v>39602750</v>
      </c>
      <c r="G110" s="300">
        <v>35553650</v>
      </c>
      <c r="H110" s="300">
        <v>4049100</v>
      </c>
      <c r="I110" s="300"/>
      <c r="J110" s="300"/>
      <c r="K110" s="240">
        <f t="shared" si="8"/>
        <v>39602750</v>
      </c>
      <c r="L110" s="240">
        <f t="shared" si="9"/>
        <v>0</v>
      </c>
      <c r="M110" s="317" t="s">
        <v>790</v>
      </c>
      <c r="N110" s="450"/>
      <c r="O110" s="449"/>
      <c r="P110" s="589" t="s">
        <v>765</v>
      </c>
      <c r="Q110" s="589">
        <v>1630000</v>
      </c>
      <c r="R110" s="343"/>
    </row>
    <row r="111" spans="1:18" s="18" customFormat="1" ht="18.75" customHeight="1" x14ac:dyDescent="0.3">
      <c r="A111" s="1273"/>
      <c r="B111" s="653" t="s">
        <v>39</v>
      </c>
      <c r="C111" s="315" t="s">
        <v>791</v>
      </c>
      <c r="D111" s="349" t="s">
        <v>104</v>
      </c>
      <c r="E111" s="300">
        <v>8000000</v>
      </c>
      <c r="F111" s="301"/>
      <c r="G111" s="300">
        <v>8000000</v>
      </c>
      <c r="H111" s="300"/>
      <c r="I111" s="300"/>
      <c r="J111" s="300"/>
      <c r="K111" s="240">
        <f t="shared" si="8"/>
        <v>8000000</v>
      </c>
      <c r="L111" s="240">
        <f t="shared" si="9"/>
        <v>0</v>
      </c>
      <c r="M111" s="317"/>
      <c r="N111" s="450"/>
      <c r="O111" s="449"/>
      <c r="P111" s="589"/>
      <c r="Q111" s="589"/>
      <c r="R111" s="343"/>
    </row>
    <row r="112" spans="1:18" s="18" customFormat="1" ht="18.75" customHeight="1" x14ac:dyDescent="0.3">
      <c r="A112" s="1273"/>
      <c r="B112" s="653" t="s">
        <v>44</v>
      </c>
      <c r="C112" s="315" t="s">
        <v>239</v>
      </c>
      <c r="D112" s="349" t="s">
        <v>792</v>
      </c>
      <c r="E112" s="300">
        <v>2860000</v>
      </c>
      <c r="F112" s="301"/>
      <c r="G112" s="300">
        <v>1100000</v>
      </c>
      <c r="H112" s="300">
        <v>1760000</v>
      </c>
      <c r="I112" s="300"/>
      <c r="J112" s="300"/>
      <c r="K112" s="240">
        <f t="shared" si="8"/>
        <v>2860000</v>
      </c>
      <c r="L112" s="240">
        <f t="shared" si="9"/>
        <v>0</v>
      </c>
      <c r="M112" s="317" t="s">
        <v>793</v>
      </c>
      <c r="N112" s="450"/>
      <c r="O112" s="449"/>
      <c r="P112" s="345"/>
      <c r="Q112" s="345"/>
      <c r="R112" s="343"/>
    </row>
    <row r="113" spans="1:18" s="18" customFormat="1" ht="18.75" customHeight="1" x14ac:dyDescent="0.3">
      <c r="A113" s="1273"/>
      <c r="B113" s="653" t="s">
        <v>49</v>
      </c>
      <c r="C113" s="315" t="s">
        <v>99</v>
      </c>
      <c r="D113" s="349" t="s">
        <v>100</v>
      </c>
      <c r="E113" s="300"/>
      <c r="F113" s="301">
        <v>299315000</v>
      </c>
      <c r="G113" s="300">
        <v>86594970</v>
      </c>
      <c r="H113" s="300">
        <v>115459960</v>
      </c>
      <c r="I113" s="300">
        <v>82295570</v>
      </c>
      <c r="J113" s="300"/>
      <c r="K113" s="240">
        <f t="shared" si="8"/>
        <v>284350500</v>
      </c>
      <c r="L113" s="608">
        <f t="shared" si="9"/>
        <v>14964500</v>
      </c>
      <c r="M113" s="605" t="s">
        <v>794</v>
      </c>
      <c r="N113" s="582"/>
      <c r="O113" s="449"/>
      <c r="P113" s="345"/>
      <c r="Q113" s="345"/>
      <c r="R113" s="343"/>
    </row>
    <row r="114" spans="1:18" s="18" customFormat="1" ht="18.75" customHeight="1" x14ac:dyDescent="0.3">
      <c r="A114" s="1273"/>
      <c r="B114" s="653" t="s">
        <v>55</v>
      </c>
      <c r="C114" s="315" t="s">
        <v>514</v>
      </c>
      <c r="D114" s="349" t="s">
        <v>114</v>
      </c>
      <c r="E114" s="300">
        <v>20082000</v>
      </c>
      <c r="F114" s="301"/>
      <c r="G114" s="300">
        <v>20082000</v>
      </c>
      <c r="H114" s="300"/>
      <c r="I114" s="300"/>
      <c r="J114" s="300"/>
      <c r="K114" s="240">
        <f t="shared" si="8"/>
        <v>20082000</v>
      </c>
      <c r="L114" s="240">
        <f t="shared" si="9"/>
        <v>0</v>
      </c>
      <c r="M114" s="317"/>
      <c r="N114" s="450"/>
      <c r="O114" s="449"/>
      <c r="P114" s="345"/>
      <c r="Q114" s="345"/>
      <c r="R114" s="343"/>
    </row>
    <row r="115" spans="1:18" s="18" customFormat="1" ht="18.75" customHeight="1" x14ac:dyDescent="0.3">
      <c r="A115" s="1273"/>
      <c r="B115" s="653" t="s">
        <v>59</v>
      </c>
      <c r="C115" s="315" t="s">
        <v>795</v>
      </c>
      <c r="D115" s="349"/>
      <c r="E115" s="300">
        <v>600000</v>
      </c>
      <c r="F115" s="301"/>
      <c r="G115" s="300">
        <v>600000</v>
      </c>
      <c r="H115" s="300"/>
      <c r="I115" s="300"/>
      <c r="J115" s="300"/>
      <c r="K115" s="316">
        <f t="shared" si="8"/>
        <v>600000</v>
      </c>
      <c r="L115" s="316">
        <f t="shared" si="9"/>
        <v>0</v>
      </c>
      <c r="M115" s="317"/>
      <c r="N115" s="450"/>
      <c r="O115" s="449"/>
      <c r="P115" s="345"/>
      <c r="Q115" s="345"/>
      <c r="R115" s="343"/>
    </row>
    <row r="116" spans="1:18" s="18" customFormat="1" ht="18.75" customHeight="1" x14ac:dyDescent="0.3">
      <c r="A116" s="1273"/>
      <c r="B116" s="653" t="s">
        <v>63</v>
      </c>
      <c r="C116" s="315" t="s">
        <v>515</v>
      </c>
      <c r="D116" s="349" t="s">
        <v>229</v>
      </c>
      <c r="E116" s="300">
        <v>35160000</v>
      </c>
      <c r="F116" s="301">
        <v>38936700</v>
      </c>
      <c r="G116" s="300">
        <v>19338000</v>
      </c>
      <c r="H116" s="300">
        <v>19598700</v>
      </c>
      <c r="I116" s="300"/>
      <c r="J116" s="300"/>
      <c r="K116" s="316">
        <f t="shared" si="8"/>
        <v>38936700</v>
      </c>
      <c r="L116" s="316">
        <f t="shared" si="9"/>
        <v>0</v>
      </c>
      <c r="M116" s="317" t="s">
        <v>796</v>
      </c>
      <c r="N116" s="450" t="s">
        <v>797</v>
      </c>
      <c r="O116" s="449"/>
      <c r="P116" s="345"/>
      <c r="Q116" s="345"/>
      <c r="R116" s="343"/>
    </row>
    <row r="117" spans="1:18" s="18" customFormat="1" ht="18.75" customHeight="1" x14ac:dyDescent="0.3">
      <c r="A117" s="1273"/>
      <c r="B117" s="653" t="s">
        <v>67</v>
      </c>
      <c r="C117" s="315" t="s">
        <v>798</v>
      </c>
      <c r="D117" s="349" t="s">
        <v>225</v>
      </c>
      <c r="E117" s="300">
        <v>1980000</v>
      </c>
      <c r="F117" s="301"/>
      <c r="G117" s="300">
        <v>980000</v>
      </c>
      <c r="H117" s="300">
        <v>1000000</v>
      </c>
      <c r="I117" s="300"/>
      <c r="J117" s="300"/>
      <c r="K117" s="316">
        <f t="shared" si="8"/>
        <v>1980000</v>
      </c>
      <c r="L117" s="316">
        <f t="shared" si="9"/>
        <v>0</v>
      </c>
      <c r="M117" s="317"/>
      <c r="N117" s="450"/>
      <c r="O117" s="449"/>
      <c r="P117" s="345"/>
      <c r="Q117" s="345"/>
      <c r="R117" s="343"/>
    </row>
    <row r="118" spans="1:18" s="18" customFormat="1" ht="18.75" customHeight="1" x14ac:dyDescent="0.3">
      <c r="A118" s="1273"/>
      <c r="B118" s="653" t="s">
        <v>74</v>
      </c>
      <c r="C118" s="315" t="s">
        <v>132</v>
      </c>
      <c r="D118" s="349" t="s">
        <v>799</v>
      </c>
      <c r="E118" s="300">
        <f>G118/0.3</f>
        <v>6770000</v>
      </c>
      <c r="F118" s="301"/>
      <c r="G118" s="300">
        <v>2031000</v>
      </c>
      <c r="H118" s="300"/>
      <c r="I118" s="300"/>
      <c r="J118" s="300"/>
      <c r="K118" s="316">
        <f t="shared" si="8"/>
        <v>2031000</v>
      </c>
      <c r="L118" s="316">
        <f t="shared" si="9"/>
        <v>4739000</v>
      </c>
      <c r="M118" s="317"/>
      <c r="N118" s="450"/>
      <c r="O118" s="449"/>
      <c r="P118" s="345"/>
      <c r="Q118" s="345"/>
      <c r="R118" s="343"/>
    </row>
    <row r="119" spans="1:18" s="18" customFormat="1" ht="18.75" customHeight="1" x14ac:dyDescent="0.3">
      <c r="A119" s="1273"/>
      <c r="B119" s="653" t="s">
        <v>78</v>
      </c>
      <c r="C119" s="315" t="s">
        <v>800</v>
      </c>
      <c r="D119" s="349" t="s">
        <v>162</v>
      </c>
      <c r="E119" s="300">
        <v>72800000</v>
      </c>
      <c r="F119" s="301">
        <v>76000000</v>
      </c>
      <c r="G119" s="300">
        <v>36400000</v>
      </c>
      <c r="H119" s="300">
        <v>39600000</v>
      </c>
      <c r="I119" s="300"/>
      <c r="J119" s="300"/>
      <c r="K119" s="316">
        <f t="shared" si="8"/>
        <v>76000000</v>
      </c>
      <c r="L119" s="316">
        <f t="shared" si="9"/>
        <v>0</v>
      </c>
      <c r="M119" s="317"/>
      <c r="N119" s="319" t="s">
        <v>801</v>
      </c>
      <c r="O119" s="678">
        <v>43876</v>
      </c>
      <c r="P119" s="345"/>
      <c r="Q119" s="345"/>
      <c r="R119" s="343"/>
    </row>
    <row r="120" spans="1:18" s="18" customFormat="1" ht="18.75" customHeight="1" x14ac:dyDescent="0.3">
      <c r="A120" s="1273"/>
      <c r="B120" s="653" t="s">
        <v>83</v>
      </c>
      <c r="C120" s="315" t="s">
        <v>802</v>
      </c>
      <c r="D120" s="349" t="s">
        <v>803</v>
      </c>
      <c r="E120" s="300">
        <v>1367329</v>
      </c>
      <c r="F120" s="301"/>
      <c r="G120" s="300">
        <v>1367329</v>
      </c>
      <c r="H120" s="300"/>
      <c r="I120" s="300"/>
      <c r="J120" s="300"/>
      <c r="K120" s="316">
        <f t="shared" si="8"/>
        <v>1367329</v>
      </c>
      <c r="L120" s="316">
        <f t="shared" si="9"/>
        <v>0</v>
      </c>
      <c r="M120" s="317"/>
      <c r="N120" s="450"/>
      <c r="O120" s="679"/>
      <c r="P120" s="345"/>
      <c r="Q120" s="345"/>
      <c r="R120" s="343"/>
    </row>
    <row r="121" spans="1:18" s="18" customFormat="1" ht="18.75" customHeight="1" x14ac:dyDescent="0.3">
      <c r="A121" s="1273"/>
      <c r="B121" s="653" t="s">
        <v>87</v>
      </c>
      <c r="C121" s="315" t="s">
        <v>172</v>
      </c>
      <c r="D121" s="349" t="s">
        <v>173</v>
      </c>
      <c r="E121" s="300">
        <v>18080000</v>
      </c>
      <c r="F121" s="301">
        <v>31760000</v>
      </c>
      <c r="G121" s="300">
        <v>5424000</v>
      </c>
      <c r="H121" s="300">
        <v>26336000</v>
      </c>
      <c r="I121" s="300"/>
      <c r="J121" s="300"/>
      <c r="K121" s="316">
        <f t="shared" si="8"/>
        <v>31760000</v>
      </c>
      <c r="L121" s="316">
        <f t="shared" si="9"/>
        <v>0</v>
      </c>
      <c r="M121" s="317"/>
      <c r="N121" s="450"/>
      <c r="O121" s="679"/>
      <c r="P121" s="345"/>
      <c r="Q121" s="345"/>
      <c r="R121" s="343"/>
    </row>
    <row r="122" spans="1:18" s="18" customFormat="1" ht="18.75" customHeight="1" x14ac:dyDescent="0.3">
      <c r="A122" s="1273"/>
      <c r="B122" s="653" t="s">
        <v>91</v>
      </c>
      <c r="C122" s="315" t="s">
        <v>107</v>
      </c>
      <c r="D122" s="349" t="s">
        <v>341</v>
      </c>
      <c r="E122" s="300">
        <v>34805000</v>
      </c>
      <c r="F122" s="301">
        <v>34450000</v>
      </c>
      <c r="G122" s="300">
        <v>10000000</v>
      </c>
      <c r="H122" s="300">
        <v>15000000</v>
      </c>
      <c r="I122" s="300">
        <v>9450000</v>
      </c>
      <c r="J122" s="300"/>
      <c r="K122" s="316">
        <f t="shared" si="8"/>
        <v>34450000</v>
      </c>
      <c r="L122" s="316">
        <f t="shared" si="9"/>
        <v>0</v>
      </c>
      <c r="M122" s="317"/>
      <c r="N122" s="450"/>
      <c r="O122" s="679"/>
      <c r="P122" s="345"/>
      <c r="Q122" s="345"/>
      <c r="R122" s="343"/>
    </row>
    <row r="123" spans="1:18" s="18" customFormat="1" ht="18.75" customHeight="1" x14ac:dyDescent="0.3">
      <c r="A123" s="1273"/>
      <c r="B123" s="653" t="s">
        <v>95</v>
      </c>
      <c r="C123" s="315" t="s">
        <v>79</v>
      </c>
      <c r="D123" s="349" t="s">
        <v>804</v>
      </c>
      <c r="E123" s="300">
        <v>9300000</v>
      </c>
      <c r="F123" s="301"/>
      <c r="G123" s="300">
        <v>4650000</v>
      </c>
      <c r="H123" s="300">
        <v>4650000</v>
      </c>
      <c r="I123" s="300"/>
      <c r="J123" s="300"/>
      <c r="K123" s="316">
        <f t="shared" si="8"/>
        <v>9300000</v>
      </c>
      <c r="L123" s="316">
        <f t="shared" si="9"/>
        <v>0</v>
      </c>
      <c r="M123" s="317"/>
      <c r="N123" s="450"/>
      <c r="O123" s="679"/>
      <c r="P123" s="345"/>
      <c r="Q123" s="345"/>
      <c r="R123" s="343"/>
    </row>
    <row r="124" spans="1:18" s="18" customFormat="1" ht="18.75" customHeight="1" x14ac:dyDescent="0.3">
      <c r="A124" s="1273"/>
      <c r="B124" s="653" t="s">
        <v>98</v>
      </c>
      <c r="C124" s="315" t="s">
        <v>84</v>
      </c>
      <c r="D124" s="349" t="s">
        <v>799</v>
      </c>
      <c r="E124" s="300">
        <v>12658000</v>
      </c>
      <c r="F124" s="301"/>
      <c r="G124" s="300">
        <v>12658000</v>
      </c>
      <c r="H124" s="300"/>
      <c r="I124" s="300"/>
      <c r="J124" s="300"/>
      <c r="K124" s="316">
        <f t="shared" si="8"/>
        <v>12658000</v>
      </c>
      <c r="L124" s="316">
        <f t="shared" si="9"/>
        <v>0</v>
      </c>
      <c r="M124" s="317"/>
      <c r="N124" s="450"/>
      <c r="O124" s="679"/>
      <c r="P124" s="345"/>
      <c r="Q124" s="345"/>
      <c r="R124" s="343"/>
    </row>
    <row r="125" spans="1:18" s="18" customFormat="1" ht="18.75" customHeight="1" x14ac:dyDescent="0.3">
      <c r="A125" s="1273"/>
      <c r="B125" s="653" t="s">
        <v>102</v>
      </c>
      <c r="C125" s="315" t="s">
        <v>805</v>
      </c>
      <c r="D125" s="349" t="s">
        <v>416</v>
      </c>
      <c r="E125" s="300">
        <v>1367329</v>
      </c>
      <c r="F125" s="301"/>
      <c r="G125" s="300">
        <v>1367329</v>
      </c>
      <c r="H125" s="300"/>
      <c r="I125" s="300"/>
      <c r="J125" s="300"/>
      <c r="K125" s="316">
        <f t="shared" si="8"/>
        <v>1367329</v>
      </c>
      <c r="L125" s="316">
        <f t="shared" si="9"/>
        <v>0</v>
      </c>
      <c r="M125" s="317"/>
      <c r="N125" s="450"/>
      <c r="O125" s="679"/>
      <c r="P125" s="345"/>
      <c r="Q125" s="345"/>
      <c r="R125" s="343"/>
    </row>
    <row r="126" spans="1:18" s="18" customFormat="1" ht="18.75" customHeight="1" x14ac:dyDescent="0.3">
      <c r="A126" s="1273"/>
      <c r="B126" s="653" t="s">
        <v>106</v>
      </c>
      <c r="C126" s="315" t="s">
        <v>167</v>
      </c>
      <c r="D126" s="349" t="s">
        <v>708</v>
      </c>
      <c r="E126" s="300">
        <v>2050000</v>
      </c>
      <c r="F126" s="301"/>
      <c r="G126" s="300">
        <v>2050000</v>
      </c>
      <c r="H126" s="300"/>
      <c r="I126" s="300"/>
      <c r="J126" s="300"/>
      <c r="K126" s="316">
        <f t="shared" si="8"/>
        <v>2050000</v>
      </c>
      <c r="L126" s="316">
        <f t="shared" si="9"/>
        <v>0</v>
      </c>
      <c r="M126" s="317"/>
      <c r="N126" s="450"/>
      <c r="O126" s="679"/>
      <c r="P126" s="345"/>
      <c r="Q126" s="345"/>
      <c r="R126" s="343"/>
    </row>
    <row r="127" spans="1:18" s="18" customFormat="1" ht="18.75" customHeight="1" x14ac:dyDescent="0.3">
      <c r="A127" s="1273"/>
      <c r="B127" s="653" t="s">
        <v>109</v>
      </c>
      <c r="C127" s="315" t="s">
        <v>806</v>
      </c>
      <c r="D127" s="349" t="s">
        <v>807</v>
      </c>
      <c r="E127" s="300">
        <v>22076000</v>
      </c>
      <c r="F127" s="301"/>
      <c r="G127" s="300">
        <v>6622800</v>
      </c>
      <c r="H127" s="300">
        <v>15453200</v>
      </c>
      <c r="I127" s="300"/>
      <c r="J127" s="300"/>
      <c r="K127" s="316">
        <f t="shared" si="8"/>
        <v>22076000</v>
      </c>
      <c r="L127" s="316">
        <f t="shared" si="9"/>
        <v>0</v>
      </c>
      <c r="M127" s="317"/>
      <c r="N127" s="450"/>
      <c r="O127" s="679"/>
      <c r="P127" s="345"/>
      <c r="Q127" s="345"/>
      <c r="R127" s="343"/>
    </row>
    <row r="128" spans="1:18" s="18" customFormat="1" ht="18.75" customHeight="1" x14ac:dyDescent="0.3">
      <c r="A128" s="1273"/>
      <c r="B128" s="653" t="s">
        <v>112</v>
      </c>
      <c r="C128" s="315" t="s">
        <v>170</v>
      </c>
      <c r="D128" s="483" t="s">
        <v>171</v>
      </c>
      <c r="E128" s="300">
        <v>2820000</v>
      </c>
      <c r="F128" s="301"/>
      <c r="G128" s="300">
        <v>2820000</v>
      </c>
      <c r="H128" s="300"/>
      <c r="I128" s="300"/>
      <c r="J128" s="300"/>
      <c r="K128" s="316">
        <f t="shared" si="8"/>
        <v>2820000</v>
      </c>
      <c r="L128" s="316">
        <f t="shared" si="9"/>
        <v>0</v>
      </c>
      <c r="M128" s="317"/>
      <c r="N128" s="450"/>
      <c r="O128" s="679"/>
      <c r="P128" s="345"/>
      <c r="Q128" s="345"/>
      <c r="R128" s="343"/>
    </row>
    <row r="129" spans="1:18" s="18" customFormat="1" ht="18.75" customHeight="1" x14ac:dyDescent="0.3">
      <c r="A129" s="1273"/>
      <c r="B129" s="653" t="s">
        <v>115</v>
      </c>
      <c r="C129" s="315" t="s">
        <v>170</v>
      </c>
      <c r="D129" s="483" t="s">
        <v>171</v>
      </c>
      <c r="E129" s="300"/>
      <c r="F129" s="301">
        <v>128392000</v>
      </c>
      <c r="G129" s="300">
        <v>128392000</v>
      </c>
      <c r="H129" s="300"/>
      <c r="I129" s="300"/>
      <c r="J129" s="300"/>
      <c r="K129" s="316">
        <f t="shared" si="8"/>
        <v>128392000</v>
      </c>
      <c r="L129" s="316">
        <f t="shared" si="9"/>
        <v>0</v>
      </c>
      <c r="M129" s="317"/>
      <c r="N129" s="450"/>
      <c r="O129" s="679"/>
      <c r="P129" s="345"/>
      <c r="Q129" s="345"/>
      <c r="R129" s="343"/>
    </row>
    <row r="130" spans="1:18" s="18" customFormat="1" ht="18.75" customHeight="1" x14ac:dyDescent="0.3">
      <c r="A130" s="1273"/>
      <c r="B130" s="653" t="s">
        <v>117</v>
      </c>
      <c r="C130" s="315" t="s">
        <v>118</v>
      </c>
      <c r="D130" s="483" t="s">
        <v>301</v>
      </c>
      <c r="E130" s="300">
        <v>77970000</v>
      </c>
      <c r="F130" s="301">
        <v>75707000</v>
      </c>
      <c r="G130" s="300">
        <v>54579000</v>
      </c>
      <c r="H130" s="300">
        <v>21128000</v>
      </c>
      <c r="I130" s="300"/>
      <c r="J130" s="300"/>
      <c r="K130" s="316">
        <f t="shared" si="8"/>
        <v>75707000</v>
      </c>
      <c r="L130" s="316">
        <f t="shared" si="9"/>
        <v>0</v>
      </c>
      <c r="M130" s="317"/>
      <c r="N130" s="450"/>
      <c r="O130" s="679"/>
      <c r="P130" s="345"/>
      <c r="Q130" s="345"/>
      <c r="R130" s="343"/>
    </row>
    <row r="131" spans="1:18" s="18" customFormat="1" ht="18.75" customHeight="1" x14ac:dyDescent="0.3">
      <c r="A131" s="1273"/>
      <c r="B131" s="653" t="s">
        <v>120</v>
      </c>
      <c r="C131" s="315" t="s">
        <v>247</v>
      </c>
      <c r="D131" s="483" t="s">
        <v>808</v>
      </c>
      <c r="E131" s="300">
        <v>5830000</v>
      </c>
      <c r="F131" s="301"/>
      <c r="G131" s="300">
        <v>5830000</v>
      </c>
      <c r="H131" s="300"/>
      <c r="I131" s="300"/>
      <c r="J131" s="300"/>
      <c r="K131" s="316">
        <f t="shared" si="8"/>
        <v>5830000</v>
      </c>
      <c r="L131" s="316">
        <f t="shared" si="9"/>
        <v>0</v>
      </c>
      <c r="M131" s="317"/>
      <c r="N131" s="450"/>
      <c r="O131" s="679"/>
      <c r="P131" s="345"/>
      <c r="Q131" s="345"/>
      <c r="R131" s="343"/>
    </row>
    <row r="132" spans="1:18" s="18" customFormat="1" ht="18.75" customHeight="1" x14ac:dyDescent="0.3">
      <c r="A132" s="1273"/>
      <c r="B132" s="653" t="s">
        <v>122</v>
      </c>
      <c r="C132" s="315" t="s">
        <v>809</v>
      </c>
      <c r="D132" s="483" t="s">
        <v>65</v>
      </c>
      <c r="E132" s="300">
        <v>880000</v>
      </c>
      <c r="F132" s="301"/>
      <c r="G132" s="300">
        <v>880000</v>
      </c>
      <c r="H132" s="300"/>
      <c r="I132" s="300"/>
      <c r="J132" s="300"/>
      <c r="K132" s="316">
        <f t="shared" si="8"/>
        <v>880000</v>
      </c>
      <c r="L132" s="316">
        <f t="shared" si="9"/>
        <v>0</v>
      </c>
      <c r="M132" s="317"/>
      <c r="N132" s="450"/>
      <c r="O132" s="679"/>
      <c r="P132" s="345"/>
      <c r="Q132" s="345"/>
      <c r="R132" s="343"/>
    </row>
    <row r="133" spans="1:18" s="18" customFormat="1" ht="18.75" customHeight="1" x14ac:dyDescent="0.3">
      <c r="A133" s="1273"/>
      <c r="B133" s="653" t="s">
        <v>125</v>
      </c>
      <c r="C133" s="315" t="s">
        <v>715</v>
      </c>
      <c r="D133" s="483" t="s">
        <v>810</v>
      </c>
      <c r="E133" s="300">
        <v>5313000</v>
      </c>
      <c r="F133" s="301"/>
      <c r="G133" s="300">
        <v>5313000</v>
      </c>
      <c r="H133" s="300"/>
      <c r="I133" s="300"/>
      <c r="J133" s="300"/>
      <c r="K133" s="316">
        <f t="shared" si="8"/>
        <v>5313000</v>
      </c>
      <c r="L133" s="316">
        <f t="shared" si="9"/>
        <v>0</v>
      </c>
      <c r="M133" s="317"/>
      <c r="N133" s="450"/>
      <c r="O133" s="679"/>
      <c r="P133" s="345"/>
      <c r="Q133" s="345"/>
      <c r="R133" s="343"/>
    </row>
    <row r="134" spans="1:18" s="18" customFormat="1" ht="18.75" customHeight="1" x14ac:dyDescent="0.3">
      <c r="A134" s="1273"/>
      <c r="B134" s="653" t="s">
        <v>128</v>
      </c>
      <c r="C134" s="315" t="s">
        <v>257</v>
      </c>
      <c r="D134" s="483" t="s">
        <v>693</v>
      </c>
      <c r="E134" s="300"/>
      <c r="F134" s="301"/>
      <c r="G134" s="300">
        <v>8116000</v>
      </c>
      <c r="H134" s="300"/>
      <c r="I134" s="300"/>
      <c r="J134" s="300"/>
      <c r="K134" s="316">
        <f t="shared" si="8"/>
        <v>8116000</v>
      </c>
      <c r="L134" s="316"/>
      <c r="M134" s="317"/>
      <c r="N134" s="450"/>
      <c r="O134" s="679"/>
      <c r="P134" s="345"/>
      <c r="Q134" s="345"/>
      <c r="R134" s="343"/>
    </row>
    <row r="135" spans="1:18" s="18" customFormat="1" ht="18.75" customHeight="1" x14ac:dyDescent="0.3">
      <c r="A135" s="1273"/>
      <c r="B135" s="653" t="s">
        <v>131</v>
      </c>
      <c r="C135" s="315" t="s">
        <v>811</v>
      </c>
      <c r="D135" s="483" t="s">
        <v>142</v>
      </c>
      <c r="E135" s="300">
        <v>374000</v>
      </c>
      <c r="F135" s="301"/>
      <c r="G135" s="300">
        <v>374000</v>
      </c>
      <c r="H135" s="300"/>
      <c r="I135" s="300"/>
      <c r="J135" s="300"/>
      <c r="K135" s="316">
        <f>SUM(G135:J135)</f>
        <v>374000</v>
      </c>
      <c r="L135" s="316">
        <f t="shared" si="9"/>
        <v>0</v>
      </c>
      <c r="M135" s="317"/>
      <c r="N135" s="450"/>
      <c r="O135" s="679"/>
      <c r="P135" s="345"/>
      <c r="Q135" s="345"/>
      <c r="R135" s="343"/>
    </row>
    <row r="136" spans="1:18" s="18" customFormat="1" ht="18.75" customHeight="1" thickBot="1" x14ac:dyDescent="0.3">
      <c r="A136" s="1274"/>
      <c r="B136" s="680"/>
      <c r="C136" s="261"/>
      <c r="D136" s="261"/>
      <c r="E136" s="261"/>
      <c r="F136" s="262"/>
      <c r="G136" s="261"/>
      <c r="H136" s="261"/>
      <c r="I136" s="261"/>
      <c r="J136" s="261"/>
      <c r="K136" s="434">
        <f>SUM(K103:K135)</f>
        <v>1303945505.5</v>
      </c>
      <c r="L136" s="434">
        <f>SUM(L103:L135)</f>
        <v>40420597.5</v>
      </c>
      <c r="M136" s="263"/>
      <c r="N136" s="263"/>
      <c r="O136" s="264"/>
      <c r="P136" s="345"/>
      <c r="Q136" s="345"/>
      <c r="R136" s="343"/>
    </row>
    <row r="137" spans="1:18" s="18" customFormat="1" ht="18.75" customHeight="1" x14ac:dyDescent="0.3">
      <c r="A137" s="1254" t="s">
        <v>812</v>
      </c>
      <c r="B137" s="651" t="s">
        <v>194</v>
      </c>
      <c r="C137" s="389" t="s">
        <v>31</v>
      </c>
      <c r="D137" s="390" t="s">
        <v>195</v>
      </c>
      <c r="E137" s="391">
        <v>88673800</v>
      </c>
      <c r="F137" s="392">
        <v>76418000</v>
      </c>
      <c r="G137" s="391">
        <v>50000000</v>
      </c>
      <c r="H137" s="391">
        <v>26418000</v>
      </c>
      <c r="I137" s="391"/>
      <c r="J137" s="391"/>
      <c r="K137" s="388">
        <f>SUM(G137:J137)</f>
        <v>76418000</v>
      </c>
      <c r="L137" s="388">
        <f>IF(F137="",E137-K137,F137-K137)</f>
        <v>0</v>
      </c>
      <c r="M137" s="394"/>
      <c r="N137" s="394"/>
      <c r="O137" s="395"/>
      <c r="P137" s="455" t="s">
        <v>813</v>
      </c>
      <c r="Q137" s="345"/>
      <c r="R137" s="343"/>
    </row>
    <row r="138" spans="1:18" s="18" customFormat="1" ht="18.75" customHeight="1" x14ac:dyDescent="0.3">
      <c r="A138" s="1255"/>
      <c r="B138" s="643" t="s">
        <v>196</v>
      </c>
      <c r="C138" s="396" t="s">
        <v>215</v>
      </c>
      <c r="D138" s="397" t="s">
        <v>216</v>
      </c>
      <c r="E138" s="398">
        <v>48612698</v>
      </c>
      <c r="F138" s="399">
        <v>48612698</v>
      </c>
      <c r="G138" s="398">
        <v>22096681</v>
      </c>
      <c r="H138" s="398">
        <v>26516017</v>
      </c>
      <c r="I138" s="398"/>
      <c r="J138" s="398"/>
      <c r="K138" s="393">
        <f>SUM(G138:J138)</f>
        <v>48612698</v>
      </c>
      <c r="L138" s="393">
        <f>IF(F138="",E138-K138,F138-K138)</f>
        <v>0</v>
      </c>
      <c r="M138" s="402" t="s">
        <v>374</v>
      </c>
      <c r="N138" s="400" t="s">
        <v>814</v>
      </c>
      <c r="O138" s="438">
        <v>43900</v>
      </c>
      <c r="P138" s="467" t="s">
        <v>97</v>
      </c>
      <c r="Q138" s="467">
        <v>1810000</v>
      </c>
      <c r="R138" s="343"/>
    </row>
    <row r="139" spans="1:18" s="18" customFormat="1" ht="18.75" customHeight="1" x14ac:dyDescent="0.3">
      <c r="A139" s="1255"/>
      <c r="B139" s="643" t="s">
        <v>20</v>
      </c>
      <c r="C139" s="396" t="s">
        <v>175</v>
      </c>
      <c r="D139" s="397" t="s">
        <v>176</v>
      </c>
      <c r="E139" s="398">
        <v>5981800</v>
      </c>
      <c r="F139" s="399">
        <v>5981800</v>
      </c>
      <c r="G139" s="398">
        <v>5981800</v>
      </c>
      <c r="H139" s="398"/>
      <c r="I139" s="398"/>
      <c r="J139" s="398"/>
      <c r="K139" s="393">
        <f>SUM(G139:J139)</f>
        <v>5981800</v>
      </c>
      <c r="L139" s="393">
        <f>IF(F139="",E139-K139,F139-K139)</f>
        <v>0</v>
      </c>
      <c r="M139" s="402"/>
      <c r="N139" s="402"/>
      <c r="O139" s="401"/>
      <c r="P139" s="467" t="s">
        <v>101</v>
      </c>
      <c r="Q139" s="467">
        <v>3325000</v>
      </c>
      <c r="R139" s="343"/>
    </row>
    <row r="140" spans="1:18" s="18" customFormat="1" ht="19.5" x14ac:dyDescent="0.3">
      <c r="A140" s="1255"/>
      <c r="B140" s="643" t="s">
        <v>24</v>
      </c>
      <c r="C140" s="396" t="s">
        <v>175</v>
      </c>
      <c r="D140" s="397" t="s">
        <v>815</v>
      </c>
      <c r="E140" s="398">
        <v>1100000</v>
      </c>
      <c r="F140" s="399">
        <v>1100000</v>
      </c>
      <c r="G140" s="398">
        <v>1100000</v>
      </c>
      <c r="H140" s="398"/>
      <c r="I140" s="398"/>
      <c r="J140" s="398"/>
      <c r="K140" s="393">
        <f>SUM(G140:J140)</f>
        <v>1100000</v>
      </c>
      <c r="L140" s="393">
        <f>IF(F140="",E140-K140,F140-K140)</f>
        <v>0</v>
      </c>
      <c r="M140" s="402"/>
      <c r="N140" s="402"/>
      <c r="O140" s="401"/>
      <c r="P140" s="467" t="s">
        <v>596</v>
      </c>
      <c r="Q140" s="467">
        <v>1373000</v>
      </c>
      <c r="R140" s="343"/>
    </row>
    <row r="141" spans="1:18" s="18" customFormat="1" ht="19.5" x14ac:dyDescent="0.3">
      <c r="A141" s="1255"/>
      <c r="B141" s="643" t="s">
        <v>26</v>
      </c>
      <c r="C141" s="396" t="s">
        <v>769</v>
      </c>
      <c r="D141" s="397" t="s">
        <v>301</v>
      </c>
      <c r="E141" s="398">
        <v>27588000</v>
      </c>
      <c r="F141" s="399">
        <v>27588000</v>
      </c>
      <c r="G141" s="398">
        <v>11275000</v>
      </c>
      <c r="H141" s="398">
        <v>16313000</v>
      </c>
      <c r="I141" s="398"/>
      <c r="J141" s="398"/>
      <c r="K141" s="393">
        <f t="shared" ref="K141:K147" si="10">SUM(G141:J141)</f>
        <v>27588000</v>
      </c>
      <c r="L141" s="393">
        <f>IF(F141="",E141-K141,F141-K141)</f>
        <v>0</v>
      </c>
      <c r="M141" s="402"/>
      <c r="N141" s="402"/>
      <c r="O141" s="401"/>
      <c r="P141" s="467" t="s">
        <v>105</v>
      </c>
      <c r="Q141" s="467">
        <v>2706000</v>
      </c>
      <c r="R141" s="343"/>
    </row>
    <row r="142" spans="1:18" s="18" customFormat="1" ht="19.5" x14ac:dyDescent="0.3">
      <c r="A142" s="1255"/>
      <c r="B142" s="643" t="s">
        <v>28</v>
      </c>
      <c r="C142" s="419" t="s">
        <v>769</v>
      </c>
      <c r="D142" s="459" t="s">
        <v>229</v>
      </c>
      <c r="E142" s="421">
        <v>6255000</v>
      </c>
      <c r="F142" s="422"/>
      <c r="G142" s="421">
        <v>6255000</v>
      </c>
      <c r="H142" s="421"/>
      <c r="I142" s="421"/>
      <c r="J142" s="421"/>
      <c r="K142" s="393">
        <f t="shared" si="10"/>
        <v>6255000</v>
      </c>
      <c r="L142" s="393">
        <f t="shared" ref="L142:L148" si="11">IF(F142="",E142-K142,F142-K142)</f>
        <v>0</v>
      </c>
      <c r="M142" s="424"/>
      <c r="N142" s="424"/>
      <c r="O142" s="448"/>
      <c r="P142" s="467" t="s">
        <v>598</v>
      </c>
      <c r="Q142" s="467">
        <v>500000</v>
      </c>
      <c r="R142" s="343"/>
    </row>
    <row r="143" spans="1:18" s="18" customFormat="1" ht="22.5" customHeight="1" x14ac:dyDescent="0.3">
      <c r="A143" s="1256"/>
      <c r="B143" s="643" t="s">
        <v>30</v>
      </c>
      <c r="C143" s="419" t="s">
        <v>816</v>
      </c>
      <c r="D143" s="459" t="s">
        <v>778</v>
      </c>
      <c r="E143" s="421">
        <v>7084000</v>
      </c>
      <c r="F143" s="422"/>
      <c r="G143" s="421">
        <v>7084000</v>
      </c>
      <c r="H143" s="421"/>
      <c r="I143" s="421"/>
      <c r="J143" s="421"/>
      <c r="K143" s="393">
        <f t="shared" si="10"/>
        <v>7084000</v>
      </c>
      <c r="L143" s="393">
        <f t="shared" si="11"/>
        <v>0</v>
      </c>
      <c r="M143" s="424" t="s">
        <v>817</v>
      </c>
      <c r="N143" s="424"/>
      <c r="O143" s="448"/>
      <c r="P143" s="345"/>
      <c r="Q143" s="345"/>
      <c r="R143" s="343"/>
    </row>
    <row r="144" spans="1:18" s="18" customFormat="1" ht="19.5" x14ac:dyDescent="0.25">
      <c r="A144" s="1256"/>
      <c r="B144" s="643" t="s">
        <v>33</v>
      </c>
      <c r="C144" s="419" t="s">
        <v>247</v>
      </c>
      <c r="D144" s="419" t="s">
        <v>247</v>
      </c>
      <c r="E144" s="421">
        <v>4000000</v>
      </c>
      <c r="F144" s="422"/>
      <c r="G144" s="421">
        <v>4000000</v>
      </c>
      <c r="H144" s="421">
        <v>2500000</v>
      </c>
      <c r="I144" s="421"/>
      <c r="J144" s="421"/>
      <c r="K144" s="393">
        <f t="shared" si="10"/>
        <v>6500000</v>
      </c>
      <c r="L144" s="393"/>
      <c r="M144" s="424"/>
      <c r="N144" s="424"/>
      <c r="O144" s="448"/>
      <c r="P144" s="345"/>
      <c r="Q144" s="345"/>
      <c r="R144" s="343"/>
    </row>
    <row r="145" spans="1:18" s="18" customFormat="1" ht="19.5" customHeight="1" x14ac:dyDescent="0.25">
      <c r="A145" s="1256"/>
      <c r="B145" s="643" t="s">
        <v>39</v>
      </c>
      <c r="C145" s="419" t="s">
        <v>818</v>
      </c>
      <c r="D145" s="419" t="s">
        <v>127</v>
      </c>
      <c r="E145" s="421">
        <v>2500000</v>
      </c>
      <c r="F145" s="422"/>
      <c r="G145" s="421">
        <v>2500000</v>
      </c>
      <c r="H145" s="421"/>
      <c r="I145" s="421"/>
      <c r="J145" s="421"/>
      <c r="K145" s="393">
        <f t="shared" si="10"/>
        <v>2500000</v>
      </c>
      <c r="L145" s="393">
        <f t="shared" si="11"/>
        <v>0</v>
      </c>
      <c r="M145" s="424"/>
      <c r="N145" s="424"/>
      <c r="O145" s="448"/>
      <c r="P145" s="345"/>
      <c r="Q145" s="345"/>
      <c r="R145" s="343"/>
    </row>
    <row r="146" spans="1:18" s="18" customFormat="1" ht="19.5" x14ac:dyDescent="0.25">
      <c r="A146" s="1256"/>
      <c r="B146" s="643" t="s">
        <v>44</v>
      </c>
      <c r="C146" s="396" t="s">
        <v>170</v>
      </c>
      <c r="D146" s="615" t="s">
        <v>171</v>
      </c>
      <c r="E146" s="398"/>
      <c r="F146" s="399">
        <v>2267500</v>
      </c>
      <c r="G146" s="398">
        <v>2267500</v>
      </c>
      <c r="H146" s="398"/>
      <c r="I146" s="398"/>
      <c r="J146" s="398"/>
      <c r="K146" s="393">
        <f t="shared" si="10"/>
        <v>2267500</v>
      </c>
      <c r="L146" s="393">
        <f t="shared" si="11"/>
        <v>0</v>
      </c>
      <c r="M146" s="402"/>
      <c r="N146" s="402"/>
      <c r="O146" s="438"/>
      <c r="P146" s="345"/>
      <c r="Q146" s="345"/>
      <c r="R146" s="343"/>
    </row>
    <row r="147" spans="1:18" s="18" customFormat="1" ht="19.5" x14ac:dyDescent="0.25">
      <c r="A147" s="1256"/>
      <c r="B147" s="643" t="s">
        <v>49</v>
      </c>
      <c r="C147" s="396" t="s">
        <v>107</v>
      </c>
      <c r="D147" s="615" t="s">
        <v>108</v>
      </c>
      <c r="E147" s="398">
        <v>11280000</v>
      </c>
      <c r="F147" s="399"/>
      <c r="G147" s="398">
        <v>11280000</v>
      </c>
      <c r="H147" s="398"/>
      <c r="I147" s="398"/>
      <c r="J147" s="398"/>
      <c r="K147" s="393">
        <f t="shared" si="10"/>
        <v>11280000</v>
      </c>
      <c r="L147" s="393">
        <f t="shared" si="11"/>
        <v>0</v>
      </c>
      <c r="M147" s="402"/>
      <c r="N147" s="402"/>
      <c r="O147" s="438"/>
      <c r="P147" s="345"/>
      <c r="Q147" s="345"/>
      <c r="R147" s="343"/>
    </row>
    <row r="148" spans="1:18" s="18" customFormat="1" ht="19.5" x14ac:dyDescent="0.3">
      <c r="A148" s="1256"/>
      <c r="B148" s="642" t="s">
        <v>55</v>
      </c>
      <c r="C148" s="616" t="s">
        <v>261</v>
      </c>
      <c r="D148" s="617" t="s">
        <v>695</v>
      </c>
      <c r="E148" s="618">
        <v>43659000</v>
      </c>
      <c r="F148" s="619">
        <v>41283000</v>
      </c>
      <c r="G148" s="618">
        <v>27783000</v>
      </c>
      <c r="H148" s="618">
        <v>13500000</v>
      </c>
      <c r="I148" s="618"/>
      <c r="J148" s="618"/>
      <c r="K148" s="472">
        <f>SUM(G148:J148)</f>
        <v>41283000</v>
      </c>
      <c r="L148" s="393">
        <f t="shared" si="11"/>
        <v>0</v>
      </c>
      <c r="M148" s="1180" t="s">
        <v>47</v>
      </c>
      <c r="N148" s="1180" t="s">
        <v>819</v>
      </c>
      <c r="O148" s="1181">
        <v>43906</v>
      </c>
      <c r="P148" s="345"/>
      <c r="Q148" s="345"/>
      <c r="R148" s="343"/>
    </row>
    <row r="149" spans="1:18" s="18" customFormat="1" ht="19.5" x14ac:dyDescent="0.3">
      <c r="A149" s="1256"/>
      <c r="B149" s="642" t="s">
        <v>59</v>
      </c>
      <c r="C149" s="620" t="s">
        <v>253</v>
      </c>
      <c r="D149" s="621" t="s">
        <v>162</v>
      </c>
      <c r="E149" s="622">
        <v>13000000</v>
      </c>
      <c r="F149" s="623"/>
      <c r="G149" s="622">
        <v>13000000</v>
      </c>
      <c r="H149" s="622"/>
      <c r="I149" s="622"/>
      <c r="J149" s="622"/>
      <c r="K149" s="472">
        <f>SUM(G149:J149)</f>
        <v>13000000</v>
      </c>
      <c r="L149" s="472">
        <f>IF(F149="",E149-K149,F149-K149)</f>
        <v>0</v>
      </c>
      <c r="M149" s="624"/>
      <c r="N149" s="624"/>
      <c r="O149" s="625"/>
      <c r="P149" s="345"/>
      <c r="Q149" s="345"/>
      <c r="R149" s="343"/>
    </row>
    <row r="150" spans="1:18" s="18" customFormat="1" ht="21" thickBot="1" x14ac:dyDescent="0.3">
      <c r="A150" s="1257"/>
      <c r="B150" s="656"/>
      <c r="C150" s="403"/>
      <c r="D150" s="403"/>
      <c r="E150" s="403"/>
      <c r="F150" s="404"/>
      <c r="G150" s="403"/>
      <c r="H150" s="403"/>
      <c r="I150" s="403"/>
      <c r="J150" s="403"/>
      <c r="K150" s="432">
        <f>SUM(K137:K149)</f>
        <v>249869998</v>
      </c>
      <c r="L150" s="432">
        <f>SUM(L137:L149)</f>
        <v>0</v>
      </c>
      <c r="M150" s="405"/>
      <c r="N150" s="405"/>
      <c r="O150" s="406"/>
      <c r="P150" s="345"/>
      <c r="Q150" s="345"/>
      <c r="R150" s="343"/>
    </row>
    <row r="151" spans="1:18" s="18" customFormat="1" ht="19.5" x14ac:dyDescent="0.3">
      <c r="A151" s="1258" t="s">
        <v>820</v>
      </c>
      <c r="B151" s="645" t="s">
        <v>194</v>
      </c>
      <c r="C151" s="249" t="s">
        <v>175</v>
      </c>
      <c r="D151" s="303" t="s">
        <v>815</v>
      </c>
      <c r="E151" s="251">
        <v>1100000</v>
      </c>
      <c r="F151" s="252">
        <v>1100000</v>
      </c>
      <c r="G151" s="252">
        <v>1100000</v>
      </c>
      <c r="H151" s="251"/>
      <c r="I151" s="251"/>
      <c r="J151" s="251"/>
      <c r="K151" s="248">
        <f>SUM(G151:J151)</f>
        <v>1100000</v>
      </c>
      <c r="L151" s="248">
        <f t="shared" ref="L151:L156" si="12">IF(F151="",E151-K151,F151-K151)</f>
        <v>0</v>
      </c>
      <c r="M151" s="253" t="s">
        <v>821</v>
      </c>
      <c r="N151" s="253"/>
      <c r="O151" s="268"/>
      <c r="P151" s="455" t="s">
        <v>822</v>
      </c>
      <c r="Q151" s="345"/>
      <c r="R151" s="343"/>
    </row>
    <row r="152" spans="1:18" s="18" customFormat="1" ht="19.5" x14ac:dyDescent="0.3">
      <c r="A152" s="1262"/>
      <c r="B152" s="646" t="s">
        <v>196</v>
      </c>
      <c r="C152" s="255" t="s">
        <v>823</v>
      </c>
      <c r="D152" s="256" t="s">
        <v>815</v>
      </c>
      <c r="E152" s="257">
        <v>1904000</v>
      </c>
      <c r="F152" s="243"/>
      <c r="G152" s="257">
        <v>1904000</v>
      </c>
      <c r="H152" s="257"/>
      <c r="I152" s="257"/>
      <c r="J152" s="257"/>
      <c r="K152" s="240">
        <f>SUM(G152:J152)</f>
        <v>1904000</v>
      </c>
      <c r="L152" s="240">
        <f t="shared" si="12"/>
        <v>0</v>
      </c>
      <c r="M152" s="244"/>
      <c r="N152" s="244"/>
      <c r="O152" s="271"/>
      <c r="P152" s="347"/>
      <c r="Q152" s="345"/>
      <c r="R152" s="343"/>
    </row>
    <row r="153" spans="1:18" s="18" customFormat="1" ht="19.5" x14ac:dyDescent="0.3">
      <c r="A153" s="1259"/>
      <c r="B153" s="646" t="s">
        <v>20</v>
      </c>
      <c r="C153" s="255" t="s">
        <v>394</v>
      </c>
      <c r="D153" s="256" t="s">
        <v>824</v>
      </c>
      <c r="E153" s="257">
        <v>21600000</v>
      </c>
      <c r="F153" s="243"/>
      <c r="G153" s="257">
        <v>16600000</v>
      </c>
      <c r="H153" s="257">
        <v>5000000</v>
      </c>
      <c r="I153" s="257"/>
      <c r="J153" s="257"/>
      <c r="K153" s="240">
        <f t="shared" ref="K153:K176" si="13">SUM(G153:J153)</f>
        <v>21600000</v>
      </c>
      <c r="L153" s="240">
        <f t="shared" si="12"/>
        <v>0</v>
      </c>
      <c r="M153" s="244"/>
      <c r="N153" s="244"/>
      <c r="O153" s="258"/>
      <c r="P153" s="467" t="s">
        <v>214</v>
      </c>
      <c r="Q153" s="467">
        <v>900000</v>
      </c>
      <c r="R153" s="343"/>
    </row>
    <row r="154" spans="1:18" s="18" customFormat="1" ht="19.5" x14ac:dyDescent="0.3">
      <c r="A154" s="1259"/>
      <c r="B154" s="646" t="s">
        <v>24</v>
      </c>
      <c r="C154" s="255" t="s">
        <v>31</v>
      </c>
      <c r="D154" s="256" t="s">
        <v>825</v>
      </c>
      <c r="E154" s="257">
        <v>7140000</v>
      </c>
      <c r="F154" s="243">
        <v>19774000</v>
      </c>
      <c r="G154" s="257">
        <v>7140000</v>
      </c>
      <c r="H154" s="257">
        <v>12634000</v>
      </c>
      <c r="I154" s="257"/>
      <c r="J154" s="257"/>
      <c r="K154" s="240">
        <f t="shared" si="13"/>
        <v>19774000</v>
      </c>
      <c r="L154" s="240">
        <f t="shared" si="12"/>
        <v>0</v>
      </c>
      <c r="M154" s="260"/>
      <c r="N154" s="260"/>
      <c r="O154" s="258"/>
      <c r="P154" s="467" t="s">
        <v>97</v>
      </c>
      <c r="Q154" s="467">
        <v>2400000</v>
      </c>
      <c r="R154" s="343"/>
    </row>
    <row r="155" spans="1:18" s="18" customFormat="1" ht="19.5" x14ac:dyDescent="0.3">
      <c r="A155" s="1259"/>
      <c r="B155" s="646" t="s">
        <v>26</v>
      </c>
      <c r="C155" s="255" t="s">
        <v>50</v>
      </c>
      <c r="D155" s="256" t="s">
        <v>61</v>
      </c>
      <c r="E155" s="257">
        <v>78936000</v>
      </c>
      <c r="F155" s="243"/>
      <c r="G155" s="257">
        <v>38918000</v>
      </c>
      <c r="H155" s="257">
        <v>40018000</v>
      </c>
      <c r="I155" s="257"/>
      <c r="J155" s="257"/>
      <c r="K155" s="240">
        <f t="shared" si="13"/>
        <v>78936000</v>
      </c>
      <c r="L155" s="240">
        <f t="shared" si="12"/>
        <v>0</v>
      </c>
      <c r="M155" s="260" t="s">
        <v>826</v>
      </c>
      <c r="N155" s="260"/>
      <c r="O155" s="258"/>
      <c r="P155" s="467" t="s">
        <v>101</v>
      </c>
      <c r="Q155" s="467">
        <v>2700000</v>
      </c>
      <c r="R155" s="343"/>
    </row>
    <row r="156" spans="1:18" s="18" customFormat="1" ht="19.5" x14ac:dyDescent="0.3">
      <c r="A156" s="1259"/>
      <c r="B156" s="646" t="s">
        <v>28</v>
      </c>
      <c r="C156" s="255" t="s">
        <v>50</v>
      </c>
      <c r="D156" s="256" t="s">
        <v>323</v>
      </c>
      <c r="E156" s="257">
        <v>24472800</v>
      </c>
      <c r="F156" s="243"/>
      <c r="G156" s="257">
        <v>17130960</v>
      </c>
      <c r="H156" s="257">
        <v>7341840</v>
      </c>
      <c r="I156" s="257"/>
      <c r="J156" s="257"/>
      <c r="K156" s="240">
        <f t="shared" si="13"/>
        <v>24472800</v>
      </c>
      <c r="L156" s="240">
        <f t="shared" si="12"/>
        <v>0</v>
      </c>
      <c r="M156" s="260" t="s">
        <v>2</v>
      </c>
      <c r="N156" s="260" t="s">
        <v>827</v>
      </c>
      <c r="O156" s="258"/>
      <c r="P156" s="467" t="s">
        <v>2</v>
      </c>
      <c r="Q156" s="467">
        <v>1800000</v>
      </c>
      <c r="R156" s="343"/>
    </row>
    <row r="157" spans="1:18" s="18" customFormat="1" ht="19.5" x14ac:dyDescent="0.3">
      <c r="A157" s="1259"/>
      <c r="B157" s="646" t="s">
        <v>30</v>
      </c>
      <c r="C157" s="255" t="s">
        <v>828</v>
      </c>
      <c r="D157" s="256" t="s">
        <v>829</v>
      </c>
      <c r="E157" s="257"/>
      <c r="F157" s="243"/>
      <c r="G157" s="257">
        <v>294525</v>
      </c>
      <c r="H157" s="257"/>
      <c r="I157" s="257"/>
      <c r="J157" s="257"/>
      <c r="K157" s="240">
        <f t="shared" si="13"/>
        <v>294525</v>
      </c>
      <c r="L157" s="240"/>
      <c r="M157" s="260"/>
      <c r="N157" s="260"/>
      <c r="O157" s="258"/>
      <c r="P157" s="467" t="s">
        <v>830</v>
      </c>
      <c r="Q157" s="467">
        <v>1032000</v>
      </c>
      <c r="R157" s="343"/>
    </row>
    <row r="158" spans="1:18" s="18" customFormat="1" ht="19.5" x14ac:dyDescent="0.3">
      <c r="A158" s="1260"/>
      <c r="B158" s="646" t="s">
        <v>33</v>
      </c>
      <c r="C158" s="255" t="s">
        <v>831</v>
      </c>
      <c r="D158" s="256" t="s">
        <v>549</v>
      </c>
      <c r="E158" s="257"/>
      <c r="F158" s="243"/>
      <c r="G158" s="257">
        <v>2000000</v>
      </c>
      <c r="H158" s="257"/>
      <c r="I158" s="257"/>
      <c r="J158" s="257"/>
      <c r="K158" s="240">
        <f t="shared" si="13"/>
        <v>2000000</v>
      </c>
      <c r="L158" s="240"/>
      <c r="M158" s="260"/>
      <c r="N158" s="260"/>
      <c r="O158" s="258"/>
      <c r="P158" s="467" t="s">
        <v>598</v>
      </c>
      <c r="Q158" s="467">
        <v>300000</v>
      </c>
      <c r="R158" s="343"/>
    </row>
    <row r="159" spans="1:18" s="18" customFormat="1" ht="19.5" x14ac:dyDescent="0.3">
      <c r="A159" s="1260"/>
      <c r="B159" s="646" t="s">
        <v>39</v>
      </c>
      <c r="C159" s="255" t="s">
        <v>92</v>
      </c>
      <c r="D159" s="256" t="s">
        <v>204</v>
      </c>
      <c r="E159" s="257">
        <v>56045000</v>
      </c>
      <c r="F159" s="243">
        <v>69982000</v>
      </c>
      <c r="G159" s="257">
        <v>15285000</v>
      </c>
      <c r="H159" s="257">
        <v>20380000</v>
      </c>
      <c r="I159" s="257">
        <v>34317000</v>
      </c>
      <c r="J159" s="257"/>
      <c r="K159" s="240">
        <f t="shared" si="13"/>
        <v>69982000</v>
      </c>
      <c r="L159" s="240">
        <f t="shared" ref="L159:L175" si="14">IF(F159="",E159-K159,F159-K159)</f>
        <v>0</v>
      </c>
      <c r="M159" s="260" t="s">
        <v>832</v>
      </c>
      <c r="N159" s="260" t="s">
        <v>725</v>
      </c>
      <c r="O159" s="258"/>
      <c r="P159" s="467" t="s">
        <v>789</v>
      </c>
      <c r="Q159" s="467">
        <v>1248000</v>
      </c>
      <c r="R159" s="343"/>
    </row>
    <row r="160" spans="1:18" s="18" customFormat="1" ht="19.5" x14ac:dyDescent="0.3">
      <c r="A160" s="1260"/>
      <c r="B160" s="646" t="s">
        <v>44</v>
      </c>
      <c r="C160" s="255" t="s">
        <v>99</v>
      </c>
      <c r="D160" s="256" t="s">
        <v>100</v>
      </c>
      <c r="E160" s="257">
        <v>139717600</v>
      </c>
      <c r="F160" s="243">
        <v>139717600</v>
      </c>
      <c r="G160" s="257">
        <v>41915280</v>
      </c>
      <c r="H160" s="257">
        <v>97802320</v>
      </c>
      <c r="I160" s="257"/>
      <c r="J160" s="257"/>
      <c r="K160" s="240">
        <f t="shared" si="13"/>
        <v>139717600</v>
      </c>
      <c r="L160" s="240">
        <f t="shared" si="14"/>
        <v>0</v>
      </c>
      <c r="M160" s="260" t="s">
        <v>833</v>
      </c>
      <c r="N160" s="260"/>
      <c r="O160" s="258"/>
      <c r="P160" s="345"/>
      <c r="Q160" s="345"/>
      <c r="R160" s="343"/>
    </row>
    <row r="161" spans="1:18" s="18" customFormat="1" ht="19.5" x14ac:dyDescent="0.3">
      <c r="A161" s="1260"/>
      <c r="B161" s="646" t="s">
        <v>49</v>
      </c>
      <c r="C161" s="255" t="s">
        <v>514</v>
      </c>
      <c r="D161" s="256" t="s">
        <v>114</v>
      </c>
      <c r="E161" s="257">
        <v>6714000</v>
      </c>
      <c r="F161" s="243"/>
      <c r="G161" s="257">
        <v>6714000</v>
      </c>
      <c r="H161" s="257"/>
      <c r="I161" s="257"/>
      <c r="J161" s="257"/>
      <c r="K161" s="240">
        <f t="shared" si="13"/>
        <v>6714000</v>
      </c>
      <c r="L161" s="240">
        <f t="shared" si="14"/>
        <v>0</v>
      </c>
      <c r="M161" s="260"/>
      <c r="N161" s="260"/>
      <c r="O161" s="258"/>
      <c r="P161" s="345"/>
      <c r="Q161" s="345"/>
      <c r="R161" s="343"/>
    </row>
    <row r="162" spans="1:18" s="18" customFormat="1" ht="19.5" x14ac:dyDescent="0.3">
      <c r="A162" s="1260"/>
      <c r="B162" s="646" t="s">
        <v>55</v>
      </c>
      <c r="C162" s="255" t="s">
        <v>107</v>
      </c>
      <c r="D162" s="256" t="s">
        <v>341</v>
      </c>
      <c r="E162" s="257">
        <v>4800000</v>
      </c>
      <c r="F162" s="243">
        <v>4800000</v>
      </c>
      <c r="G162" s="257">
        <v>2800000</v>
      </c>
      <c r="H162" s="257">
        <v>2000000</v>
      </c>
      <c r="I162" s="257"/>
      <c r="J162" s="257"/>
      <c r="K162" s="240">
        <f t="shared" si="13"/>
        <v>4800000</v>
      </c>
      <c r="L162" s="240">
        <f t="shared" si="14"/>
        <v>0</v>
      </c>
      <c r="M162" s="260"/>
      <c r="N162" s="260"/>
      <c r="O162" s="258"/>
      <c r="P162" s="345"/>
      <c r="Q162" s="345"/>
      <c r="R162" s="343"/>
    </row>
    <row r="163" spans="1:18" s="18" customFormat="1" ht="19.5" x14ac:dyDescent="0.3">
      <c r="A163" s="1260"/>
      <c r="B163" s="646" t="s">
        <v>59</v>
      </c>
      <c r="C163" s="255" t="s">
        <v>834</v>
      </c>
      <c r="D163" s="256" t="s">
        <v>273</v>
      </c>
      <c r="E163" s="257">
        <v>8566950</v>
      </c>
      <c r="F163" s="243">
        <v>20546400</v>
      </c>
      <c r="G163" s="257">
        <v>8566950</v>
      </c>
      <c r="H163" s="257">
        <v>11980400</v>
      </c>
      <c r="I163" s="257">
        <v>-950</v>
      </c>
      <c r="J163" s="257"/>
      <c r="K163" s="240">
        <f t="shared" si="13"/>
        <v>20546400</v>
      </c>
      <c r="L163" s="240">
        <f t="shared" si="14"/>
        <v>0</v>
      </c>
      <c r="M163" s="260"/>
      <c r="N163" s="260"/>
      <c r="O163" s="258"/>
      <c r="P163" s="345"/>
      <c r="Q163" s="345"/>
      <c r="R163" s="343"/>
    </row>
    <row r="164" spans="1:18" s="18" customFormat="1" ht="19.5" x14ac:dyDescent="0.3">
      <c r="A164" s="1260"/>
      <c r="B164" s="646" t="s">
        <v>63</v>
      </c>
      <c r="C164" s="255" t="s">
        <v>835</v>
      </c>
      <c r="D164" s="256" t="s">
        <v>836</v>
      </c>
      <c r="E164" s="257">
        <v>3696000</v>
      </c>
      <c r="F164" s="243"/>
      <c r="G164" s="257">
        <v>3696000</v>
      </c>
      <c r="H164" s="257"/>
      <c r="I164" s="257"/>
      <c r="J164" s="257"/>
      <c r="K164" s="240">
        <f t="shared" si="13"/>
        <v>3696000</v>
      </c>
      <c r="L164" s="240">
        <f t="shared" si="14"/>
        <v>0</v>
      </c>
      <c r="M164" s="260" t="s">
        <v>837</v>
      </c>
      <c r="N164" s="260"/>
      <c r="O164" s="258"/>
      <c r="P164" s="345"/>
      <c r="Q164" s="345"/>
      <c r="R164" s="343"/>
    </row>
    <row r="165" spans="1:18" s="18" customFormat="1" ht="19.5" x14ac:dyDescent="0.3">
      <c r="A165" s="1260"/>
      <c r="B165" s="646" t="s">
        <v>67</v>
      </c>
      <c r="C165" s="255" t="s">
        <v>838</v>
      </c>
      <c r="D165" s="256"/>
      <c r="E165" s="257">
        <v>1440750</v>
      </c>
      <c r="F165" s="243"/>
      <c r="G165" s="257">
        <v>1440750</v>
      </c>
      <c r="H165" s="257"/>
      <c r="I165" s="257"/>
      <c r="J165" s="257"/>
      <c r="K165" s="240">
        <f t="shared" si="13"/>
        <v>1440750</v>
      </c>
      <c r="L165" s="240">
        <f t="shared" si="14"/>
        <v>0</v>
      </c>
      <c r="M165" s="260"/>
      <c r="N165" s="260"/>
      <c r="O165" s="258"/>
      <c r="P165" s="345"/>
      <c r="Q165" s="345"/>
      <c r="R165" s="343"/>
    </row>
    <row r="166" spans="1:18" s="18" customFormat="1" ht="19.5" x14ac:dyDescent="0.3">
      <c r="A166" s="1260"/>
      <c r="B166" s="646" t="s">
        <v>74</v>
      </c>
      <c r="C166" s="255" t="s">
        <v>839</v>
      </c>
      <c r="D166" s="256" t="s">
        <v>840</v>
      </c>
      <c r="E166" s="257"/>
      <c r="F166" s="243">
        <v>3824000</v>
      </c>
      <c r="G166" s="257">
        <v>3824000</v>
      </c>
      <c r="H166" s="257"/>
      <c r="I166" s="257"/>
      <c r="J166" s="257"/>
      <c r="K166" s="240">
        <f t="shared" si="13"/>
        <v>3824000</v>
      </c>
      <c r="L166" s="240">
        <f t="shared" si="14"/>
        <v>0</v>
      </c>
      <c r="M166" s="260" t="s">
        <v>841</v>
      </c>
      <c r="N166" s="260"/>
      <c r="O166" s="271"/>
      <c r="P166" s="345"/>
      <c r="Q166" s="345"/>
      <c r="R166" s="343"/>
    </row>
    <row r="167" spans="1:18" s="18" customFormat="1" ht="19.5" x14ac:dyDescent="0.3">
      <c r="A167" s="1260"/>
      <c r="B167" s="653" t="s">
        <v>78</v>
      </c>
      <c r="C167" s="536" t="s">
        <v>842</v>
      </c>
      <c r="D167" s="537" t="s">
        <v>258</v>
      </c>
      <c r="E167" s="482"/>
      <c r="F167" s="325" t="s">
        <v>23</v>
      </c>
      <c r="G167" s="482">
        <v>3859649</v>
      </c>
      <c r="H167" s="482"/>
      <c r="I167" s="482"/>
      <c r="J167" s="482"/>
      <c r="K167" s="322">
        <f t="shared" si="13"/>
        <v>3859649</v>
      </c>
      <c r="L167" s="322"/>
      <c r="M167" s="519"/>
      <c r="N167" s="519"/>
      <c r="O167" s="514"/>
      <c r="P167" s="345"/>
      <c r="Q167" s="345"/>
      <c r="R167" s="343"/>
    </row>
    <row r="168" spans="1:18" s="18" customFormat="1" ht="19.5" x14ac:dyDescent="0.3">
      <c r="A168" s="1260"/>
      <c r="B168" s="646" t="s">
        <v>83</v>
      </c>
      <c r="C168" s="315" t="s">
        <v>769</v>
      </c>
      <c r="D168" s="349" t="s">
        <v>229</v>
      </c>
      <c r="E168" s="300">
        <v>14018000</v>
      </c>
      <c r="F168" s="301"/>
      <c r="G168" s="300">
        <v>14018000</v>
      </c>
      <c r="H168" s="300"/>
      <c r="I168" s="300"/>
      <c r="J168" s="300"/>
      <c r="K168" s="316">
        <f t="shared" si="13"/>
        <v>14018000</v>
      </c>
      <c r="L168" s="240">
        <f t="shared" si="14"/>
        <v>0</v>
      </c>
      <c r="M168" s="260" t="s">
        <v>843</v>
      </c>
      <c r="N168" s="260" t="s">
        <v>844</v>
      </c>
      <c r="O168" s="271">
        <v>43915</v>
      </c>
      <c r="P168" s="345"/>
      <c r="Q168" s="345"/>
      <c r="R168" s="343"/>
    </row>
    <row r="169" spans="1:18" s="18" customFormat="1" ht="19.5" x14ac:dyDescent="0.3">
      <c r="A169" s="1260"/>
      <c r="B169" s="646" t="s">
        <v>87</v>
      </c>
      <c r="C169" s="315" t="s">
        <v>845</v>
      </c>
      <c r="D169" s="349" t="s">
        <v>846</v>
      </c>
      <c r="E169" s="300">
        <v>13352000</v>
      </c>
      <c r="F169" s="301"/>
      <c r="G169" s="300">
        <v>13352000</v>
      </c>
      <c r="H169" s="300"/>
      <c r="I169" s="300"/>
      <c r="J169" s="300"/>
      <c r="K169" s="316">
        <f t="shared" si="13"/>
        <v>13352000</v>
      </c>
      <c r="L169" s="240">
        <f t="shared" si="14"/>
        <v>0</v>
      </c>
      <c r="M169" s="317"/>
      <c r="N169" s="317"/>
      <c r="O169" s="449"/>
      <c r="P169" s="345"/>
      <c r="Q169" s="345"/>
      <c r="R169" s="343"/>
    </row>
    <row r="170" spans="1:18" s="18" customFormat="1" ht="21.75" customHeight="1" x14ac:dyDescent="0.3">
      <c r="A170" s="1260"/>
      <c r="B170" s="646" t="s">
        <v>91</v>
      </c>
      <c r="C170" s="315" t="s">
        <v>158</v>
      </c>
      <c r="D170" s="349" t="s">
        <v>441</v>
      </c>
      <c r="E170" s="300">
        <v>3542000</v>
      </c>
      <c r="F170" s="301"/>
      <c r="G170" s="300">
        <v>3542000</v>
      </c>
      <c r="H170" s="300"/>
      <c r="I170" s="300"/>
      <c r="J170" s="300"/>
      <c r="K170" s="316">
        <f t="shared" si="13"/>
        <v>3542000</v>
      </c>
      <c r="L170" s="240">
        <f t="shared" si="14"/>
        <v>0</v>
      </c>
      <c r="M170" s="317" t="s">
        <v>847</v>
      </c>
      <c r="N170" s="317"/>
      <c r="O170" s="449"/>
      <c r="P170" s="345"/>
      <c r="Q170" s="345"/>
      <c r="R170" s="343"/>
    </row>
    <row r="171" spans="1:18" s="18" customFormat="1" ht="21.75" customHeight="1" x14ac:dyDescent="0.3">
      <c r="A171" s="1260"/>
      <c r="B171" s="646" t="s">
        <v>95</v>
      </c>
      <c r="C171" s="315" t="s">
        <v>118</v>
      </c>
      <c r="D171" s="349" t="s">
        <v>301</v>
      </c>
      <c r="E171" s="300">
        <v>44855950</v>
      </c>
      <c r="F171" s="301"/>
      <c r="G171" s="300">
        <v>34855950</v>
      </c>
      <c r="H171" s="300">
        <v>10000000</v>
      </c>
      <c r="I171" s="300"/>
      <c r="J171" s="300"/>
      <c r="K171" s="316">
        <f t="shared" si="13"/>
        <v>44855950</v>
      </c>
      <c r="L171" s="240">
        <f t="shared" si="14"/>
        <v>0</v>
      </c>
      <c r="M171" s="317"/>
      <c r="N171" s="317"/>
      <c r="O171" s="449"/>
      <c r="P171" s="345"/>
      <c r="Q171" s="345"/>
      <c r="R171" s="343"/>
    </row>
    <row r="172" spans="1:18" s="18" customFormat="1" ht="21.75" customHeight="1" x14ac:dyDescent="0.3">
      <c r="A172" s="1260"/>
      <c r="B172" s="646" t="s">
        <v>98</v>
      </c>
      <c r="C172" s="315" t="s">
        <v>254</v>
      </c>
      <c r="D172" s="349" t="s">
        <v>299</v>
      </c>
      <c r="E172" s="300">
        <v>660000</v>
      </c>
      <c r="F172" s="301"/>
      <c r="G172" s="300">
        <v>660000</v>
      </c>
      <c r="H172" s="300"/>
      <c r="I172" s="300"/>
      <c r="J172" s="300"/>
      <c r="K172" s="316">
        <f t="shared" si="13"/>
        <v>660000</v>
      </c>
      <c r="L172" s="240">
        <f t="shared" si="14"/>
        <v>0</v>
      </c>
      <c r="M172" s="317"/>
      <c r="N172" s="317"/>
      <c r="O172" s="449"/>
      <c r="P172" s="345"/>
      <c r="Q172" s="345"/>
      <c r="R172" s="343"/>
    </row>
    <row r="173" spans="1:18" s="18" customFormat="1" ht="21.75" customHeight="1" x14ac:dyDescent="0.3">
      <c r="A173" s="1260"/>
      <c r="B173" s="646" t="s">
        <v>102</v>
      </c>
      <c r="C173" s="315" t="s">
        <v>170</v>
      </c>
      <c r="D173" s="483" t="s">
        <v>171</v>
      </c>
      <c r="E173" s="300"/>
      <c r="F173" s="301">
        <v>33332000</v>
      </c>
      <c r="G173" s="300">
        <v>33332000</v>
      </c>
      <c r="H173" s="300"/>
      <c r="I173" s="300"/>
      <c r="J173" s="300"/>
      <c r="K173" s="316">
        <f t="shared" si="13"/>
        <v>33332000</v>
      </c>
      <c r="L173" s="240">
        <f t="shared" si="14"/>
        <v>0</v>
      </c>
      <c r="M173" s="317"/>
      <c r="N173" s="317"/>
      <c r="O173" s="449"/>
      <c r="P173" s="345"/>
      <c r="Q173" s="345"/>
      <c r="R173" s="343"/>
    </row>
    <row r="174" spans="1:18" s="18" customFormat="1" ht="21.75" customHeight="1" x14ac:dyDescent="0.3">
      <c r="A174" s="1260"/>
      <c r="B174" s="646" t="s">
        <v>106</v>
      </c>
      <c r="C174" s="315" t="s">
        <v>250</v>
      </c>
      <c r="D174" s="483" t="s">
        <v>251</v>
      </c>
      <c r="E174" s="300">
        <v>5280000</v>
      </c>
      <c r="F174" s="301"/>
      <c r="G174" s="300">
        <v>5280000</v>
      </c>
      <c r="H174" s="300"/>
      <c r="I174" s="300"/>
      <c r="J174" s="300"/>
      <c r="K174" s="316">
        <f t="shared" si="13"/>
        <v>5280000</v>
      </c>
      <c r="L174" s="240">
        <f t="shared" si="14"/>
        <v>0</v>
      </c>
      <c r="M174" s="317" t="s">
        <v>848</v>
      </c>
      <c r="N174" s="317"/>
      <c r="O174" s="449"/>
      <c r="P174" s="345"/>
      <c r="Q174" s="345"/>
      <c r="R174" s="343"/>
    </row>
    <row r="175" spans="1:18" s="18" customFormat="1" ht="21.75" customHeight="1" x14ac:dyDescent="0.3">
      <c r="A175" s="1260"/>
      <c r="B175" s="646" t="s">
        <v>109</v>
      </c>
      <c r="C175" s="315" t="s">
        <v>849</v>
      </c>
      <c r="D175" s="483" t="s">
        <v>195</v>
      </c>
      <c r="E175" s="300">
        <v>2060000</v>
      </c>
      <c r="F175" s="301"/>
      <c r="G175" s="300">
        <v>2060000</v>
      </c>
      <c r="H175" s="300"/>
      <c r="I175" s="300"/>
      <c r="J175" s="300"/>
      <c r="K175" s="316">
        <f t="shared" si="13"/>
        <v>2060000</v>
      </c>
      <c r="L175" s="240">
        <f t="shared" si="14"/>
        <v>0</v>
      </c>
      <c r="M175" s="317"/>
      <c r="N175" s="317"/>
      <c r="O175" s="449"/>
      <c r="P175" s="345"/>
      <c r="Q175" s="345"/>
      <c r="R175" s="343"/>
    </row>
    <row r="176" spans="1:18" s="18" customFormat="1" ht="21.75" customHeight="1" x14ac:dyDescent="0.3">
      <c r="A176" s="1260"/>
      <c r="B176" s="646" t="s">
        <v>112</v>
      </c>
      <c r="C176" s="255" t="s">
        <v>842</v>
      </c>
      <c r="D176" s="483" t="s">
        <v>526</v>
      </c>
      <c r="E176" s="300"/>
      <c r="F176" s="301"/>
      <c r="G176" s="300">
        <v>7685000</v>
      </c>
      <c r="H176" s="300">
        <v>950500</v>
      </c>
      <c r="I176" s="300"/>
      <c r="J176" s="300"/>
      <c r="K176" s="316">
        <f t="shared" si="13"/>
        <v>8635500</v>
      </c>
      <c r="L176" s="316"/>
      <c r="M176" s="317"/>
      <c r="N176" s="317"/>
      <c r="O176" s="449"/>
      <c r="P176" s="345"/>
      <c r="Q176" s="345"/>
      <c r="R176" s="343"/>
    </row>
    <row r="177" spans="1:18" s="18" customFormat="1" ht="21" thickBot="1" x14ac:dyDescent="0.3">
      <c r="A177" s="1261"/>
      <c r="B177" s="657"/>
      <c r="C177" s="261"/>
      <c r="D177" s="261"/>
      <c r="E177" s="261"/>
      <c r="F177" s="262"/>
      <c r="G177" s="261"/>
      <c r="H177" s="261"/>
      <c r="I177" s="261"/>
      <c r="J177" s="261"/>
      <c r="K177" s="434">
        <f>SUM(K151:K176)</f>
        <v>530397174</v>
      </c>
      <c r="L177" s="434">
        <f>SUM(L151:L176)</f>
        <v>0</v>
      </c>
      <c r="M177" s="263"/>
      <c r="N177" s="263"/>
      <c r="O177" s="264"/>
      <c r="Q177" s="345"/>
      <c r="R177" s="343"/>
    </row>
    <row r="178" spans="1:18" s="18" customFormat="1" ht="19.5" x14ac:dyDescent="0.3">
      <c r="A178" s="1254" t="s">
        <v>850</v>
      </c>
      <c r="B178" s="651" t="s">
        <v>194</v>
      </c>
      <c r="C178" s="389" t="s">
        <v>175</v>
      </c>
      <c r="D178" s="390" t="s">
        <v>815</v>
      </c>
      <c r="E178" s="391">
        <v>1777332.66</v>
      </c>
      <c r="F178" s="392">
        <v>1777333</v>
      </c>
      <c r="G178" s="392">
        <v>1777333</v>
      </c>
      <c r="H178" s="391"/>
      <c r="I178" s="391"/>
      <c r="J178" s="391"/>
      <c r="K178" s="388">
        <f t="shared" ref="K178:K207" si="15">SUM(G178:J178)</f>
        <v>1777333</v>
      </c>
      <c r="L178" s="388">
        <f>IF(F178="",E178-K178,F178-K178)</f>
        <v>0</v>
      </c>
      <c r="M178" s="394" t="s">
        <v>851</v>
      </c>
      <c r="N178" s="394"/>
      <c r="O178" s="473"/>
      <c r="P178" s="455" t="s">
        <v>852</v>
      </c>
      <c r="R178" s="343"/>
    </row>
    <row r="179" spans="1:18" s="18" customFormat="1" ht="19.5" x14ac:dyDescent="0.3">
      <c r="A179" s="1255"/>
      <c r="B179" s="643" t="s">
        <v>196</v>
      </c>
      <c r="C179" s="396" t="s">
        <v>510</v>
      </c>
      <c r="D179" s="397" t="s">
        <v>258</v>
      </c>
      <c r="E179" s="398"/>
      <c r="F179" s="399"/>
      <c r="G179" s="398">
        <v>17548000</v>
      </c>
      <c r="H179" s="398"/>
      <c r="I179" s="398"/>
      <c r="J179" s="398"/>
      <c r="K179" s="393">
        <f t="shared" si="15"/>
        <v>17548000</v>
      </c>
      <c r="L179" s="393"/>
      <c r="M179" s="402"/>
      <c r="N179" s="402"/>
      <c r="O179" s="401"/>
      <c r="P179" s="345" t="s">
        <v>214</v>
      </c>
      <c r="Q179" s="345">
        <v>3660000</v>
      </c>
      <c r="R179" s="343"/>
    </row>
    <row r="180" spans="1:18" s="18" customFormat="1" ht="19.5" x14ac:dyDescent="0.3">
      <c r="A180" s="1255"/>
      <c r="B180" s="643" t="s">
        <v>20</v>
      </c>
      <c r="C180" s="396" t="s">
        <v>31</v>
      </c>
      <c r="D180" s="397" t="s">
        <v>195</v>
      </c>
      <c r="E180" s="398">
        <v>123474500</v>
      </c>
      <c r="F180" s="399">
        <f>114376000+29214000</f>
        <v>143590000</v>
      </c>
      <c r="G180" s="398">
        <v>30000000</v>
      </c>
      <c r="H180" s="398">
        <v>50000000</v>
      </c>
      <c r="I180" s="398">
        <v>63590000</v>
      </c>
      <c r="J180" s="398"/>
      <c r="K180" s="393">
        <f t="shared" si="15"/>
        <v>143590000</v>
      </c>
      <c r="L180" s="393">
        <f t="shared" ref="L180:L188" si="16">IF(F180="",E180-K180,F180-K180)</f>
        <v>0</v>
      </c>
      <c r="M180" s="402"/>
      <c r="N180" s="402"/>
      <c r="O180" s="401"/>
      <c r="P180" s="345" t="s">
        <v>97</v>
      </c>
      <c r="Q180" s="345">
        <v>6160000</v>
      </c>
      <c r="R180" s="343"/>
    </row>
    <row r="181" spans="1:18" s="18" customFormat="1" ht="19.5" x14ac:dyDescent="0.3">
      <c r="A181" s="1255"/>
      <c r="B181" s="643" t="s">
        <v>24</v>
      </c>
      <c r="C181" s="396" t="s">
        <v>215</v>
      </c>
      <c r="D181" s="397" t="s">
        <v>853</v>
      </c>
      <c r="E181" s="398">
        <v>159541961</v>
      </c>
      <c r="F181" s="399">
        <v>173442227</v>
      </c>
      <c r="G181" s="398">
        <v>79770980</v>
      </c>
      <c r="H181" s="398">
        <v>93671247</v>
      </c>
      <c r="I181" s="398"/>
      <c r="J181" s="398"/>
      <c r="K181" s="393">
        <f t="shared" si="15"/>
        <v>173442227</v>
      </c>
      <c r="L181" s="393">
        <f t="shared" si="16"/>
        <v>0</v>
      </c>
      <c r="M181" s="402" t="s">
        <v>854</v>
      </c>
      <c r="N181" s="402"/>
      <c r="O181" s="401"/>
      <c r="P181" s="345" t="s">
        <v>101</v>
      </c>
      <c r="Q181" s="345">
        <v>4185000</v>
      </c>
      <c r="R181" s="343"/>
    </row>
    <row r="182" spans="1:18" s="18" customFormat="1" ht="19.5" x14ac:dyDescent="0.3">
      <c r="A182" s="1255"/>
      <c r="B182" s="643" t="s">
        <v>26</v>
      </c>
      <c r="C182" s="396" t="s">
        <v>427</v>
      </c>
      <c r="D182" s="397" t="s">
        <v>855</v>
      </c>
      <c r="E182" s="398">
        <v>106370000</v>
      </c>
      <c r="F182" s="399"/>
      <c r="G182" s="398">
        <v>55844250</v>
      </c>
      <c r="H182" s="465"/>
      <c r="I182" s="398"/>
      <c r="J182" s="398"/>
      <c r="K182" s="393">
        <f t="shared" si="15"/>
        <v>55844250</v>
      </c>
      <c r="L182" s="393">
        <f t="shared" si="16"/>
        <v>50525750</v>
      </c>
      <c r="M182" s="402" t="s">
        <v>47</v>
      </c>
      <c r="N182" s="402" t="s">
        <v>856</v>
      </c>
      <c r="O182" s="438">
        <v>43908</v>
      </c>
      <c r="P182" s="345" t="s">
        <v>596</v>
      </c>
      <c r="Q182" s="345">
        <v>4060000</v>
      </c>
      <c r="R182" s="343"/>
    </row>
    <row r="183" spans="1:18" s="18" customFormat="1" ht="19.5" x14ac:dyDescent="0.3">
      <c r="A183" s="1255"/>
      <c r="B183" s="643" t="s">
        <v>28</v>
      </c>
      <c r="C183" s="396" t="s">
        <v>155</v>
      </c>
      <c r="D183" s="397" t="s">
        <v>156</v>
      </c>
      <c r="E183" s="398"/>
      <c r="F183" s="399">
        <v>51683600</v>
      </c>
      <c r="G183" s="398">
        <v>4080000</v>
      </c>
      <c r="H183" s="398">
        <v>17200000</v>
      </c>
      <c r="I183" s="398">
        <v>30403600</v>
      </c>
      <c r="J183" s="398"/>
      <c r="K183" s="393">
        <f t="shared" si="15"/>
        <v>51683600</v>
      </c>
      <c r="L183" s="393">
        <f t="shared" si="16"/>
        <v>0</v>
      </c>
      <c r="M183" s="402"/>
      <c r="N183" s="402"/>
      <c r="O183" s="438"/>
      <c r="P183" s="345" t="s">
        <v>105</v>
      </c>
      <c r="Q183" s="345">
        <v>3031500</v>
      </c>
      <c r="R183" s="343"/>
    </row>
    <row r="184" spans="1:18" s="18" customFormat="1" ht="19.5" x14ac:dyDescent="0.3">
      <c r="A184" s="1255"/>
      <c r="B184" s="643" t="s">
        <v>30</v>
      </c>
      <c r="C184" s="396" t="s">
        <v>164</v>
      </c>
      <c r="D184" s="397" t="s">
        <v>165</v>
      </c>
      <c r="E184" s="398">
        <v>114900000</v>
      </c>
      <c r="F184" s="399">
        <v>174295000</v>
      </c>
      <c r="G184" s="398">
        <v>45960000</v>
      </c>
      <c r="H184" s="398">
        <v>71904000</v>
      </c>
      <c r="I184" s="398">
        <v>56431000</v>
      </c>
      <c r="J184" s="398"/>
      <c r="K184" s="393">
        <f t="shared" si="15"/>
        <v>174295000</v>
      </c>
      <c r="L184" s="393">
        <f t="shared" si="16"/>
        <v>0</v>
      </c>
      <c r="M184" s="402"/>
      <c r="N184" s="402"/>
      <c r="O184" s="438"/>
      <c r="P184" s="345" t="s">
        <v>598</v>
      </c>
      <c r="Q184" s="345">
        <v>2720000</v>
      </c>
      <c r="R184" s="343"/>
    </row>
    <row r="185" spans="1:18" s="18" customFormat="1" ht="19.5" x14ac:dyDescent="0.3">
      <c r="A185" s="1255"/>
      <c r="B185" s="643" t="s">
        <v>33</v>
      </c>
      <c r="C185" s="396" t="s">
        <v>167</v>
      </c>
      <c r="D185" s="397" t="s">
        <v>708</v>
      </c>
      <c r="E185" s="398">
        <v>3970000</v>
      </c>
      <c r="F185" s="399"/>
      <c r="G185" s="398">
        <v>3970000</v>
      </c>
      <c r="H185" s="398"/>
      <c r="I185" s="398"/>
      <c r="J185" s="398"/>
      <c r="K185" s="393">
        <f t="shared" si="15"/>
        <v>3970000</v>
      </c>
      <c r="L185" s="393">
        <f t="shared" si="16"/>
        <v>0</v>
      </c>
      <c r="M185" s="402"/>
      <c r="N185" s="402"/>
      <c r="O185" s="438"/>
      <c r="P185" s="345" t="s">
        <v>789</v>
      </c>
      <c r="Q185" s="345">
        <v>4158000</v>
      </c>
      <c r="R185" s="343"/>
    </row>
    <row r="186" spans="1:18" s="18" customFormat="1" ht="19.5" x14ac:dyDescent="0.3">
      <c r="A186" s="1255"/>
      <c r="B186" s="643" t="s">
        <v>39</v>
      </c>
      <c r="C186" s="396" t="s">
        <v>161</v>
      </c>
      <c r="D186" s="397" t="s">
        <v>162</v>
      </c>
      <c r="E186" s="398">
        <v>144000000</v>
      </c>
      <c r="F186" s="399">
        <v>144000000</v>
      </c>
      <c r="G186" s="398">
        <v>72000000</v>
      </c>
      <c r="H186" s="398">
        <v>72000000</v>
      </c>
      <c r="I186" s="398"/>
      <c r="J186" s="398"/>
      <c r="K186" s="393">
        <f t="shared" si="15"/>
        <v>144000000</v>
      </c>
      <c r="L186" s="393">
        <f t="shared" si="16"/>
        <v>0</v>
      </c>
      <c r="M186" s="402"/>
      <c r="N186" s="402" t="s">
        <v>801</v>
      </c>
      <c r="O186" s="678">
        <v>43876</v>
      </c>
      <c r="P186" s="345" t="s">
        <v>765</v>
      </c>
      <c r="Q186" s="345">
        <v>4236000</v>
      </c>
      <c r="R186" s="343"/>
    </row>
    <row r="187" spans="1:18" s="18" customFormat="1" ht="19.5" x14ac:dyDescent="0.3">
      <c r="A187" s="1255"/>
      <c r="B187" s="643" t="s">
        <v>44</v>
      </c>
      <c r="C187" s="418" t="s">
        <v>346</v>
      </c>
      <c r="D187" s="444" t="s">
        <v>857</v>
      </c>
      <c r="E187" s="399">
        <v>80787830</v>
      </c>
      <c r="F187" s="399"/>
      <c r="G187" s="399">
        <v>40393915</v>
      </c>
      <c r="H187" s="399"/>
      <c r="I187" s="399"/>
      <c r="J187" s="399"/>
      <c r="K187" s="399">
        <f t="shared" si="15"/>
        <v>40393915</v>
      </c>
      <c r="L187" s="399">
        <f t="shared" si="16"/>
        <v>40393915</v>
      </c>
      <c r="M187" s="402"/>
      <c r="N187" s="402"/>
      <c r="O187" s="401"/>
      <c r="P187" s="345" t="s">
        <v>599</v>
      </c>
      <c r="Q187" s="345">
        <v>3692000</v>
      </c>
      <c r="R187" s="343"/>
    </row>
    <row r="188" spans="1:18" s="18" customFormat="1" ht="19.5" x14ac:dyDescent="0.3">
      <c r="A188" s="1256"/>
      <c r="B188" s="643" t="s">
        <v>49</v>
      </c>
      <c r="C188" s="426" t="s">
        <v>858</v>
      </c>
      <c r="D188" s="447" t="s">
        <v>859</v>
      </c>
      <c r="E188" s="422">
        <v>135000000</v>
      </c>
      <c r="F188" s="422"/>
      <c r="G188" s="422">
        <v>40500000</v>
      </c>
      <c r="H188" s="422">
        <v>54000000</v>
      </c>
      <c r="I188" s="422"/>
      <c r="J188" s="422"/>
      <c r="K188" s="399">
        <f t="shared" si="15"/>
        <v>94500000</v>
      </c>
      <c r="L188" s="399">
        <f t="shared" si="16"/>
        <v>40500000</v>
      </c>
      <c r="M188" s="424"/>
      <c r="N188" s="424" t="s">
        <v>860</v>
      </c>
      <c r="O188" s="448">
        <v>43909</v>
      </c>
      <c r="P188" s="345" t="s">
        <v>600</v>
      </c>
      <c r="Q188" s="345">
        <v>940000</v>
      </c>
      <c r="R188" s="343"/>
    </row>
    <row r="189" spans="1:18" s="544" customFormat="1" ht="19.5" x14ac:dyDescent="0.3">
      <c r="A189" s="1256"/>
      <c r="B189" s="643" t="s">
        <v>55</v>
      </c>
      <c r="C189" s="426" t="s">
        <v>257</v>
      </c>
      <c r="D189" s="447" t="s">
        <v>258</v>
      </c>
      <c r="E189" s="422"/>
      <c r="F189" s="422" t="s">
        <v>23</v>
      </c>
      <c r="G189" s="422">
        <v>29114267</v>
      </c>
      <c r="H189" s="422"/>
      <c r="I189" s="422"/>
      <c r="J189" s="422"/>
      <c r="K189" s="399">
        <f t="shared" si="15"/>
        <v>29114267</v>
      </c>
      <c r="L189" s="422"/>
      <c r="M189" s="424"/>
      <c r="N189" s="424"/>
      <c r="O189" s="448"/>
      <c r="P189" s="542" t="s">
        <v>719</v>
      </c>
      <c r="Q189" s="542">
        <v>1290000</v>
      </c>
      <c r="R189" s="543"/>
    </row>
    <row r="190" spans="1:18" s="18" customFormat="1" ht="19.5" x14ac:dyDescent="0.3">
      <c r="A190" s="1256"/>
      <c r="B190" s="643" t="s">
        <v>59</v>
      </c>
      <c r="C190" s="426" t="s">
        <v>861</v>
      </c>
      <c r="D190" s="447" t="s">
        <v>862</v>
      </c>
      <c r="E190" s="422"/>
      <c r="F190" s="422"/>
      <c r="G190" s="422">
        <v>50000</v>
      </c>
      <c r="H190" s="422"/>
      <c r="I190" s="422"/>
      <c r="J190" s="422"/>
      <c r="K190" s="399">
        <f t="shared" si="15"/>
        <v>50000</v>
      </c>
      <c r="L190" s="422"/>
      <c r="M190" s="424"/>
      <c r="N190" s="424"/>
      <c r="O190" s="448"/>
      <c r="P190" s="345" t="s">
        <v>701</v>
      </c>
      <c r="Q190" s="345">
        <v>500000</v>
      </c>
      <c r="R190" s="343"/>
    </row>
    <row r="191" spans="1:18" s="18" customFormat="1" ht="19.5" x14ac:dyDescent="0.3">
      <c r="A191" s="1256"/>
      <c r="B191" s="643" t="s">
        <v>63</v>
      </c>
      <c r="C191" s="426" t="s">
        <v>828</v>
      </c>
      <c r="D191" s="447" t="s">
        <v>863</v>
      </c>
      <c r="E191" s="422"/>
      <c r="F191" s="422"/>
      <c r="G191" s="422">
        <v>180000</v>
      </c>
      <c r="H191" s="422"/>
      <c r="I191" s="422"/>
      <c r="J191" s="422"/>
      <c r="K191" s="422">
        <f t="shared" si="15"/>
        <v>180000</v>
      </c>
      <c r="L191" s="422"/>
      <c r="M191" s="424"/>
      <c r="N191" s="424"/>
      <c r="O191" s="448"/>
      <c r="P191" s="345" t="s">
        <v>702</v>
      </c>
      <c r="Q191" s="345">
        <v>300000</v>
      </c>
      <c r="R191" s="343"/>
    </row>
    <row r="192" spans="1:18" s="464" customFormat="1" ht="19.5" x14ac:dyDescent="0.3">
      <c r="A192" s="1256"/>
      <c r="B192" s="643" t="s">
        <v>67</v>
      </c>
      <c r="C192" s="419" t="s">
        <v>292</v>
      </c>
      <c r="D192" s="459" t="s">
        <v>864</v>
      </c>
      <c r="E192" s="421">
        <v>47600000</v>
      </c>
      <c r="F192" s="421">
        <v>47600000</v>
      </c>
      <c r="G192" s="421">
        <v>33320000</v>
      </c>
      <c r="H192" s="421">
        <v>14280000</v>
      </c>
      <c r="I192" s="421"/>
      <c r="J192" s="421"/>
      <c r="K192" s="421">
        <f t="shared" si="15"/>
        <v>47600000</v>
      </c>
      <c r="L192" s="398">
        <f t="shared" ref="L192:L198" si="17">IF(F192="",E192-K192,F192-K192)</f>
        <v>0</v>
      </c>
      <c r="M192" s="424"/>
      <c r="N192" s="460"/>
      <c r="O192" s="461"/>
      <c r="P192" s="462"/>
      <c r="Q192" s="462"/>
      <c r="R192" s="463"/>
    </row>
    <row r="193" spans="1:18" s="464" customFormat="1" ht="19.5" x14ac:dyDescent="0.3">
      <c r="A193" s="1256"/>
      <c r="B193" s="643" t="s">
        <v>72</v>
      </c>
      <c r="C193" s="419" t="s">
        <v>92</v>
      </c>
      <c r="D193" s="459" t="s">
        <v>865</v>
      </c>
      <c r="E193" s="421">
        <v>13335300</v>
      </c>
      <c r="F193" s="421"/>
      <c r="G193" s="421">
        <v>6667650</v>
      </c>
      <c r="H193" s="421"/>
      <c r="I193" s="421"/>
      <c r="J193" s="421"/>
      <c r="K193" s="421">
        <f t="shared" si="15"/>
        <v>6667650</v>
      </c>
      <c r="L193" s="398">
        <f t="shared" si="17"/>
        <v>6667650</v>
      </c>
      <c r="M193" s="424" t="s">
        <v>47</v>
      </c>
      <c r="N193" s="460"/>
      <c r="O193" s="461"/>
      <c r="P193" s="462"/>
      <c r="Q193" s="462"/>
      <c r="R193" s="463"/>
    </row>
    <row r="194" spans="1:18" s="464" customFormat="1" ht="19.5" x14ac:dyDescent="0.3">
      <c r="A194" s="1256"/>
      <c r="B194" s="643" t="s">
        <v>74</v>
      </c>
      <c r="C194" s="419" t="s">
        <v>866</v>
      </c>
      <c r="D194" s="466" t="s">
        <v>171</v>
      </c>
      <c r="E194" s="421">
        <v>2820000</v>
      </c>
      <c r="F194" s="421"/>
      <c r="G194" s="421">
        <v>2820000</v>
      </c>
      <c r="H194" s="421"/>
      <c r="I194" s="421"/>
      <c r="J194" s="421"/>
      <c r="K194" s="421">
        <f t="shared" si="15"/>
        <v>2820000</v>
      </c>
      <c r="L194" s="398">
        <f t="shared" si="17"/>
        <v>0</v>
      </c>
      <c r="M194" s="424"/>
      <c r="N194" s="460"/>
      <c r="O194" s="461"/>
      <c r="P194" s="462"/>
      <c r="Q194" s="462"/>
      <c r="R194" s="463"/>
    </row>
    <row r="195" spans="1:18" s="464" customFormat="1" ht="19.5" x14ac:dyDescent="0.3">
      <c r="A195" s="1256"/>
      <c r="B195" s="643" t="s">
        <v>78</v>
      </c>
      <c r="C195" s="396" t="s">
        <v>167</v>
      </c>
      <c r="D195" s="397" t="s">
        <v>708</v>
      </c>
      <c r="E195" s="421">
        <v>1100000</v>
      </c>
      <c r="F195" s="421"/>
      <c r="G195" s="421">
        <v>1100000</v>
      </c>
      <c r="H195" s="421"/>
      <c r="I195" s="421"/>
      <c r="J195" s="421"/>
      <c r="K195" s="421">
        <f t="shared" si="15"/>
        <v>1100000</v>
      </c>
      <c r="L195" s="398">
        <f t="shared" si="17"/>
        <v>0</v>
      </c>
      <c r="M195" s="424"/>
      <c r="N195" s="460"/>
      <c r="O195" s="461"/>
      <c r="P195" s="462"/>
      <c r="Q195" s="462"/>
      <c r="R195" s="463"/>
    </row>
    <row r="196" spans="1:18" s="464" customFormat="1" ht="19.5" x14ac:dyDescent="0.3">
      <c r="A196" s="1256"/>
      <c r="B196" s="643" t="s">
        <v>83</v>
      </c>
      <c r="C196" s="419" t="s">
        <v>867</v>
      </c>
      <c r="D196" s="459" t="s">
        <v>868</v>
      </c>
      <c r="E196" s="421">
        <v>16269000</v>
      </c>
      <c r="F196" s="421"/>
      <c r="G196" s="421">
        <v>16269000</v>
      </c>
      <c r="H196" s="421"/>
      <c r="I196" s="421"/>
      <c r="J196" s="421"/>
      <c r="K196" s="421">
        <f t="shared" si="15"/>
        <v>16269000</v>
      </c>
      <c r="L196" s="398">
        <f t="shared" si="17"/>
        <v>0</v>
      </c>
      <c r="M196" s="424" t="s">
        <v>47</v>
      </c>
      <c r="N196" s="460"/>
      <c r="O196" s="461"/>
      <c r="P196" s="462"/>
      <c r="Q196" s="462"/>
      <c r="R196" s="463"/>
    </row>
    <row r="197" spans="1:18" s="464" customFormat="1" ht="19.5" x14ac:dyDescent="0.3">
      <c r="A197" s="1256"/>
      <c r="B197" s="643" t="s">
        <v>87</v>
      </c>
      <c r="C197" s="419" t="s">
        <v>170</v>
      </c>
      <c r="D197" s="466" t="s">
        <v>171</v>
      </c>
      <c r="E197" s="421"/>
      <c r="F197" s="422">
        <v>236605181</v>
      </c>
      <c r="G197" s="421">
        <v>236605181</v>
      </c>
      <c r="H197" s="421"/>
      <c r="I197" s="421"/>
      <c r="J197" s="421"/>
      <c r="K197" s="421">
        <f t="shared" si="15"/>
        <v>236605181</v>
      </c>
      <c r="L197" s="398">
        <f t="shared" si="17"/>
        <v>0</v>
      </c>
      <c r="M197" s="424"/>
      <c r="N197" s="460"/>
      <c r="O197" s="461"/>
      <c r="P197" s="462"/>
      <c r="Q197" s="462"/>
      <c r="R197" s="463"/>
    </row>
    <row r="198" spans="1:18" s="464" customFormat="1" ht="19.5" x14ac:dyDescent="0.3">
      <c r="A198" s="1256"/>
      <c r="B198" s="643" t="s">
        <v>91</v>
      </c>
      <c r="C198" s="419" t="s">
        <v>118</v>
      </c>
      <c r="D198" s="466" t="s">
        <v>301</v>
      </c>
      <c r="E198" s="421">
        <v>132100000</v>
      </c>
      <c r="F198" s="422">
        <v>125489700</v>
      </c>
      <c r="G198" s="421">
        <v>40000000</v>
      </c>
      <c r="H198" s="421">
        <v>85489700</v>
      </c>
      <c r="I198" s="421"/>
      <c r="J198" s="421"/>
      <c r="K198" s="421">
        <f t="shared" si="15"/>
        <v>125489700</v>
      </c>
      <c r="L198" s="398">
        <f t="shared" si="17"/>
        <v>0</v>
      </c>
      <c r="M198" s="424"/>
      <c r="N198" s="460"/>
      <c r="O198" s="461"/>
      <c r="P198" s="462"/>
      <c r="Q198" s="462"/>
      <c r="R198" s="463"/>
    </row>
    <row r="199" spans="1:18" s="464" customFormat="1" ht="19.5" x14ac:dyDescent="0.3">
      <c r="A199" s="1256"/>
      <c r="B199" s="643" t="s">
        <v>95</v>
      </c>
      <c r="C199" s="419" t="s">
        <v>869</v>
      </c>
      <c r="D199" s="466" t="s">
        <v>693</v>
      </c>
      <c r="E199" s="421"/>
      <c r="F199" s="421"/>
      <c r="G199" s="421">
        <v>1800000</v>
      </c>
      <c r="H199" s="421"/>
      <c r="I199" s="421"/>
      <c r="J199" s="421"/>
      <c r="K199" s="421">
        <f t="shared" si="15"/>
        <v>1800000</v>
      </c>
      <c r="L199" s="421"/>
      <c r="M199" s="424"/>
      <c r="N199" s="460"/>
      <c r="O199" s="461"/>
      <c r="P199" s="462"/>
      <c r="Q199" s="462"/>
      <c r="R199" s="463"/>
    </row>
    <row r="200" spans="1:18" s="464" customFormat="1" ht="19.5" x14ac:dyDescent="0.3">
      <c r="A200" s="1256"/>
      <c r="B200" s="643" t="s">
        <v>98</v>
      </c>
      <c r="C200" s="419" t="s">
        <v>172</v>
      </c>
      <c r="D200" s="466" t="s">
        <v>173</v>
      </c>
      <c r="E200" s="421">
        <v>6480000</v>
      </c>
      <c r="F200" s="421"/>
      <c r="G200" s="421">
        <v>6480000</v>
      </c>
      <c r="H200" s="421"/>
      <c r="I200" s="421"/>
      <c r="J200" s="421"/>
      <c r="K200" s="421">
        <f t="shared" si="15"/>
        <v>6480000</v>
      </c>
      <c r="L200" s="421"/>
      <c r="M200" s="424"/>
      <c r="N200" s="460"/>
      <c r="O200" s="461"/>
      <c r="P200" s="462"/>
      <c r="Q200" s="462"/>
      <c r="R200" s="463"/>
    </row>
    <row r="201" spans="1:18" s="464" customFormat="1" ht="19.5" x14ac:dyDescent="0.3">
      <c r="A201" s="1256"/>
      <c r="B201" s="643" t="s">
        <v>102</v>
      </c>
      <c r="C201" s="419" t="s">
        <v>257</v>
      </c>
      <c r="D201" s="466" t="s">
        <v>870</v>
      </c>
      <c r="E201" s="421"/>
      <c r="F201" s="421"/>
      <c r="G201" s="421">
        <v>6222000</v>
      </c>
      <c r="H201" s="421"/>
      <c r="I201" s="421"/>
      <c r="J201" s="421"/>
      <c r="K201" s="421">
        <f t="shared" si="15"/>
        <v>6222000</v>
      </c>
      <c r="L201" s="421"/>
      <c r="M201" s="424"/>
      <c r="N201" s="460"/>
      <c r="O201" s="461"/>
      <c r="P201" s="462"/>
      <c r="Q201" s="462"/>
      <c r="R201" s="463"/>
    </row>
    <row r="202" spans="1:18" s="464" customFormat="1" ht="19.5" x14ac:dyDescent="0.3">
      <c r="A202" s="1256"/>
      <c r="B202" s="643" t="s">
        <v>106</v>
      </c>
      <c r="C202" s="419" t="s">
        <v>257</v>
      </c>
      <c r="D202" s="466" t="s">
        <v>871</v>
      </c>
      <c r="E202" s="421"/>
      <c r="F202" s="421"/>
      <c r="G202" s="421">
        <v>18147750</v>
      </c>
      <c r="H202" s="421"/>
      <c r="I202" s="421"/>
      <c r="J202" s="421"/>
      <c r="K202" s="421">
        <f t="shared" si="15"/>
        <v>18147750</v>
      </c>
      <c r="L202" s="421"/>
      <c r="M202" s="424"/>
      <c r="N202" s="460"/>
      <c r="O202" s="461"/>
      <c r="P202" s="462"/>
      <c r="Q202" s="462"/>
      <c r="R202" s="463"/>
    </row>
    <row r="203" spans="1:18" s="464" customFormat="1" ht="19.5" x14ac:dyDescent="0.3">
      <c r="A203" s="1256"/>
      <c r="B203" s="643" t="s">
        <v>109</v>
      </c>
      <c r="C203" s="419" t="s">
        <v>872</v>
      </c>
      <c r="D203" s="466" t="s">
        <v>171</v>
      </c>
      <c r="E203" s="421">
        <v>1850000</v>
      </c>
      <c r="F203" s="421"/>
      <c r="G203" s="421">
        <v>1850000</v>
      </c>
      <c r="H203" s="421"/>
      <c r="I203" s="421"/>
      <c r="J203" s="421"/>
      <c r="K203" s="421">
        <f t="shared" si="15"/>
        <v>1850000</v>
      </c>
      <c r="L203" s="421"/>
      <c r="M203" s="424"/>
      <c r="N203" s="460"/>
      <c r="O203" s="461"/>
      <c r="P203" s="462"/>
      <c r="Q203" s="462"/>
      <c r="R203" s="463"/>
    </row>
    <row r="204" spans="1:18" s="464" customFormat="1" ht="24" customHeight="1" x14ac:dyDescent="0.3">
      <c r="A204" s="1256"/>
      <c r="B204" s="643" t="s">
        <v>112</v>
      </c>
      <c r="C204" s="419" t="s">
        <v>873</v>
      </c>
      <c r="D204" s="466" t="s">
        <v>874</v>
      </c>
      <c r="E204" s="421">
        <v>1500000</v>
      </c>
      <c r="F204" s="421"/>
      <c r="G204" s="421">
        <v>1500000</v>
      </c>
      <c r="H204" s="421"/>
      <c r="I204" s="421"/>
      <c r="J204" s="421"/>
      <c r="K204" s="421">
        <f t="shared" si="15"/>
        <v>1500000</v>
      </c>
      <c r="L204" s="421"/>
      <c r="M204" s="424"/>
      <c r="N204" s="460"/>
      <c r="O204" s="461"/>
      <c r="P204" s="462"/>
      <c r="Q204" s="462"/>
      <c r="R204" s="463"/>
    </row>
    <row r="205" spans="1:18" s="464" customFormat="1" ht="24" customHeight="1" x14ac:dyDescent="0.3">
      <c r="A205" s="1256"/>
      <c r="B205" s="643" t="s">
        <v>115</v>
      </c>
      <c r="C205" s="419" t="s">
        <v>740</v>
      </c>
      <c r="D205" s="466" t="s">
        <v>397</v>
      </c>
      <c r="E205" s="421">
        <v>544500</v>
      </c>
      <c r="F205" s="421"/>
      <c r="G205" s="421">
        <v>544500</v>
      </c>
      <c r="H205" s="421"/>
      <c r="I205" s="421"/>
      <c r="J205" s="421"/>
      <c r="K205" s="421">
        <f t="shared" si="15"/>
        <v>544500</v>
      </c>
      <c r="L205" s="398">
        <f>IF(F205="",E205-K205,F205-K205)</f>
        <v>0</v>
      </c>
      <c r="M205" s="424"/>
      <c r="N205" s="460"/>
      <c r="O205" s="461"/>
      <c r="P205" s="462"/>
      <c r="Q205" s="462"/>
      <c r="R205" s="463"/>
    </row>
    <row r="206" spans="1:18" s="464" customFormat="1" ht="24" customHeight="1" x14ac:dyDescent="0.3">
      <c r="A206" s="1256"/>
      <c r="B206" s="643" t="s">
        <v>117</v>
      </c>
      <c r="C206" s="419" t="s">
        <v>247</v>
      </c>
      <c r="D206" s="466" t="s">
        <v>875</v>
      </c>
      <c r="E206" s="421">
        <v>11990000</v>
      </c>
      <c r="F206" s="421"/>
      <c r="G206" s="421">
        <v>11990000</v>
      </c>
      <c r="H206" s="421"/>
      <c r="I206" s="421"/>
      <c r="J206" s="421"/>
      <c r="K206" s="421">
        <f t="shared" si="15"/>
        <v>11990000</v>
      </c>
      <c r="L206" s="398">
        <f>IF(F206="",E206-K206,F206-K206)</f>
        <v>0</v>
      </c>
      <c r="M206" s="424" t="s">
        <v>876</v>
      </c>
      <c r="N206" s="460"/>
      <c r="O206" s="461"/>
      <c r="P206" s="462"/>
      <c r="Q206" s="462"/>
      <c r="R206" s="463"/>
    </row>
    <row r="207" spans="1:18" s="464" customFormat="1" ht="24" customHeight="1" x14ac:dyDescent="0.3">
      <c r="A207" s="1256"/>
      <c r="B207" s="643" t="s">
        <v>120</v>
      </c>
      <c r="C207" s="419" t="s">
        <v>607</v>
      </c>
      <c r="D207" s="466" t="s">
        <v>877</v>
      </c>
      <c r="E207" s="421"/>
      <c r="F207" s="421"/>
      <c r="G207" s="421">
        <v>5383000</v>
      </c>
      <c r="H207" s="421"/>
      <c r="I207" s="421"/>
      <c r="J207" s="421"/>
      <c r="K207" s="421">
        <f t="shared" si="15"/>
        <v>5383000</v>
      </c>
      <c r="L207" s="421"/>
      <c r="M207" s="424"/>
      <c r="N207" s="460"/>
      <c r="O207" s="461"/>
      <c r="P207" s="462"/>
      <c r="Q207" s="462"/>
      <c r="R207" s="463"/>
    </row>
    <row r="208" spans="1:18" s="18" customFormat="1" ht="21" thickBot="1" x14ac:dyDescent="0.3">
      <c r="A208" s="1257"/>
      <c r="B208" s="656"/>
      <c r="C208" s="403"/>
      <c r="D208" s="403"/>
      <c r="E208" s="403"/>
      <c r="F208" s="404"/>
      <c r="G208" s="403"/>
      <c r="H208" s="403"/>
      <c r="I208" s="403"/>
      <c r="J208" s="403"/>
      <c r="K208" s="432">
        <f>SUM(K178:K207)</f>
        <v>1420857373</v>
      </c>
      <c r="L208" s="432">
        <f>SUM(L178:L207)</f>
        <v>138087315</v>
      </c>
      <c r="M208" s="405"/>
      <c r="N208" s="405"/>
      <c r="O208" s="406"/>
      <c r="P208" s="345"/>
      <c r="Q208" s="345"/>
      <c r="R208" s="343"/>
    </row>
    <row r="209" spans="1:18" s="18" customFormat="1" ht="21.75" customHeight="1" x14ac:dyDescent="0.3">
      <c r="A209" s="1258" t="s">
        <v>878</v>
      </c>
      <c r="B209" s="645" t="s">
        <v>194</v>
      </c>
      <c r="C209" s="249" t="s">
        <v>607</v>
      </c>
      <c r="D209" s="303" t="s">
        <v>879</v>
      </c>
      <c r="E209" s="251"/>
      <c r="F209" s="252"/>
      <c r="G209" s="251">
        <v>2000000</v>
      </c>
      <c r="H209" s="251"/>
      <c r="I209" s="251"/>
      <c r="J209" s="251"/>
      <c r="K209" s="248">
        <f t="shared" ref="K209:K222" si="18">SUM(G209:J209)</f>
        <v>2000000</v>
      </c>
      <c r="L209" s="248"/>
      <c r="M209" s="253"/>
      <c r="N209" s="253"/>
      <c r="O209" s="268"/>
      <c r="P209" s="345"/>
      <c r="Q209" s="345"/>
      <c r="R209" s="343"/>
    </row>
    <row r="210" spans="1:18" s="18" customFormat="1" ht="21.75" customHeight="1" x14ac:dyDescent="0.3">
      <c r="A210" s="1259"/>
      <c r="B210" s="646" t="s">
        <v>196</v>
      </c>
      <c r="C210" s="255" t="s">
        <v>536</v>
      </c>
      <c r="D210" s="256" t="s">
        <v>880</v>
      </c>
      <c r="E210" s="257">
        <v>8572000</v>
      </c>
      <c r="F210" s="243"/>
      <c r="G210" s="257">
        <v>8572000</v>
      </c>
      <c r="H210" s="257"/>
      <c r="I210" s="257"/>
      <c r="J210" s="257"/>
      <c r="K210" s="240">
        <f t="shared" si="18"/>
        <v>8572000</v>
      </c>
      <c r="L210" s="240">
        <f>IF(F210="",E210-K210,F210-K210)</f>
        <v>0</v>
      </c>
      <c r="M210" s="244" t="s">
        <v>881</v>
      </c>
      <c r="N210" s="244"/>
      <c r="O210" s="258"/>
      <c r="P210" s="345"/>
      <c r="Q210" s="345"/>
      <c r="R210" s="343"/>
    </row>
    <row r="211" spans="1:18" s="18" customFormat="1" ht="21.75" customHeight="1" x14ac:dyDescent="0.3">
      <c r="A211" s="1259"/>
      <c r="B211" s="646" t="s">
        <v>20</v>
      </c>
      <c r="C211" s="255" t="s">
        <v>882</v>
      </c>
      <c r="D211" s="256" t="s">
        <v>879</v>
      </c>
      <c r="E211" s="257"/>
      <c r="F211" s="243"/>
      <c r="G211" s="257">
        <v>2000000</v>
      </c>
      <c r="H211" s="257"/>
      <c r="I211" s="257"/>
      <c r="J211" s="257"/>
      <c r="K211" s="240">
        <f t="shared" si="18"/>
        <v>2000000</v>
      </c>
      <c r="L211" s="240"/>
      <c r="M211" s="260"/>
      <c r="N211" s="260"/>
      <c r="O211" s="258"/>
      <c r="P211" s="345"/>
      <c r="Q211" s="345"/>
      <c r="R211" s="343"/>
    </row>
    <row r="212" spans="1:18" s="18" customFormat="1" ht="21.75" customHeight="1" x14ac:dyDescent="0.3">
      <c r="A212" s="1259"/>
      <c r="B212" s="646" t="s">
        <v>24</v>
      </c>
      <c r="C212" s="255" t="s">
        <v>175</v>
      </c>
      <c r="D212" s="256" t="s">
        <v>815</v>
      </c>
      <c r="E212" s="257">
        <v>1100000</v>
      </c>
      <c r="F212" s="243">
        <v>1100000</v>
      </c>
      <c r="G212" s="257">
        <v>1100000</v>
      </c>
      <c r="H212" s="257"/>
      <c r="I212" s="257"/>
      <c r="J212" s="257"/>
      <c r="K212" s="240">
        <f t="shared" si="18"/>
        <v>1100000</v>
      </c>
      <c r="L212" s="240">
        <f>IF(F212="",E212-K212,F212-K212)</f>
        <v>0</v>
      </c>
      <c r="M212" s="260"/>
      <c r="N212" s="260"/>
      <c r="O212" s="258"/>
      <c r="P212" s="345"/>
      <c r="Q212" s="345"/>
      <c r="R212" s="343"/>
    </row>
    <row r="213" spans="1:18" s="18" customFormat="1" ht="21.75" customHeight="1" x14ac:dyDescent="0.3">
      <c r="A213" s="1259"/>
      <c r="B213" s="646" t="s">
        <v>26</v>
      </c>
      <c r="C213" s="255" t="s">
        <v>883</v>
      </c>
      <c r="D213" s="256" t="s">
        <v>704</v>
      </c>
      <c r="E213" s="257">
        <v>2000000</v>
      </c>
      <c r="F213" s="243"/>
      <c r="G213" s="257">
        <v>2000000</v>
      </c>
      <c r="H213" s="257"/>
      <c r="I213" s="257"/>
      <c r="J213" s="257"/>
      <c r="K213" s="240">
        <f t="shared" si="18"/>
        <v>2000000</v>
      </c>
      <c r="L213" s="240">
        <f>IF(F213="",E213-K213,F213-K213)</f>
        <v>0</v>
      </c>
      <c r="M213" s="260"/>
      <c r="N213" s="260"/>
      <c r="O213" s="258"/>
      <c r="P213" s="345"/>
      <c r="Q213" s="345"/>
      <c r="R213" s="343"/>
    </row>
    <row r="214" spans="1:18" s="18" customFormat="1" ht="21.75" customHeight="1" x14ac:dyDescent="0.3">
      <c r="A214" s="1259"/>
      <c r="B214" s="646" t="s">
        <v>28</v>
      </c>
      <c r="C214" s="255" t="s">
        <v>884</v>
      </c>
      <c r="D214" s="256" t="s">
        <v>521</v>
      </c>
      <c r="E214" s="257">
        <v>1620000</v>
      </c>
      <c r="F214" s="243"/>
      <c r="G214" s="257">
        <v>1620000</v>
      </c>
      <c r="H214" s="257"/>
      <c r="I214" s="257"/>
      <c r="J214" s="257"/>
      <c r="K214" s="240">
        <f t="shared" si="18"/>
        <v>1620000</v>
      </c>
      <c r="L214" s="240">
        <f>IF(F214="",E214-K214,F214-K214)</f>
        <v>0</v>
      </c>
      <c r="M214" s="260"/>
      <c r="N214" s="260"/>
      <c r="O214" s="258"/>
      <c r="P214" s="345"/>
      <c r="Q214" s="345"/>
      <c r="R214" s="343"/>
    </row>
    <row r="215" spans="1:18" s="18" customFormat="1" ht="21.75" customHeight="1" x14ac:dyDescent="0.3">
      <c r="A215" s="1260"/>
      <c r="B215" s="646" t="s">
        <v>30</v>
      </c>
      <c r="C215" s="315" t="s">
        <v>885</v>
      </c>
      <c r="D215" s="349" t="s">
        <v>258</v>
      </c>
      <c r="E215" s="300"/>
      <c r="F215" s="301"/>
      <c r="G215" s="300">
        <v>2440000</v>
      </c>
      <c r="H215" s="300"/>
      <c r="I215" s="300"/>
      <c r="J215" s="300"/>
      <c r="K215" s="240">
        <f t="shared" si="18"/>
        <v>2440000</v>
      </c>
      <c r="L215" s="316"/>
      <c r="M215" s="317"/>
      <c r="N215" s="317"/>
      <c r="O215" s="321"/>
      <c r="P215" s="345"/>
      <c r="Q215" s="345"/>
      <c r="R215" s="343"/>
    </row>
    <row r="216" spans="1:18" s="18" customFormat="1" ht="21.75" customHeight="1" x14ac:dyDescent="0.3">
      <c r="A216" s="1260"/>
      <c r="B216" s="646" t="s">
        <v>33</v>
      </c>
      <c r="C216" s="315" t="s">
        <v>886</v>
      </c>
      <c r="D216" s="349" t="s">
        <v>887</v>
      </c>
      <c r="E216" s="300">
        <v>8780000</v>
      </c>
      <c r="F216" s="301"/>
      <c r="G216" s="300">
        <v>8780000</v>
      </c>
      <c r="H216" s="300"/>
      <c r="I216" s="300"/>
      <c r="J216" s="300"/>
      <c r="K216" s="240">
        <f t="shared" si="18"/>
        <v>8780000</v>
      </c>
      <c r="L216" s="240">
        <f t="shared" ref="L216:L221" si="19">IF(F216="",E216-K216,F216-K216)</f>
        <v>0</v>
      </c>
      <c r="M216" s="317"/>
      <c r="N216" s="317"/>
      <c r="O216" s="321"/>
      <c r="P216" s="345"/>
      <c r="Q216" s="345"/>
      <c r="R216" s="343"/>
    </row>
    <row r="217" spans="1:18" s="18" customFormat="1" ht="21.75" customHeight="1" x14ac:dyDescent="0.3">
      <c r="A217" s="1260"/>
      <c r="B217" s="646" t="s">
        <v>39</v>
      </c>
      <c r="C217" s="255" t="s">
        <v>536</v>
      </c>
      <c r="D217" s="256" t="s">
        <v>880</v>
      </c>
      <c r="E217" s="300">
        <v>2140000</v>
      </c>
      <c r="F217" s="301"/>
      <c r="G217" s="300">
        <v>2140000</v>
      </c>
      <c r="H217" s="300"/>
      <c r="I217" s="300"/>
      <c r="J217" s="300"/>
      <c r="K217" s="240">
        <f t="shared" si="18"/>
        <v>2140000</v>
      </c>
      <c r="L217" s="240">
        <f t="shared" si="19"/>
        <v>0</v>
      </c>
      <c r="M217" s="317" t="s">
        <v>888</v>
      </c>
      <c r="N217" s="317"/>
      <c r="O217" s="321"/>
      <c r="P217" s="345"/>
      <c r="Q217" s="345"/>
      <c r="R217" s="343"/>
    </row>
    <row r="218" spans="1:18" s="18" customFormat="1" ht="21.75" customHeight="1" x14ac:dyDescent="0.3">
      <c r="A218" s="1260"/>
      <c r="B218" s="646" t="s">
        <v>44</v>
      </c>
      <c r="C218" s="315" t="s">
        <v>215</v>
      </c>
      <c r="D218" s="349" t="s">
        <v>403</v>
      </c>
      <c r="E218" s="300">
        <v>3800000</v>
      </c>
      <c r="F218" s="301"/>
      <c r="G218" s="300">
        <v>3800000</v>
      </c>
      <c r="H218" s="300"/>
      <c r="I218" s="300"/>
      <c r="J218" s="300"/>
      <c r="K218" s="240">
        <f t="shared" si="18"/>
        <v>3800000</v>
      </c>
      <c r="L218" s="240">
        <f t="shared" si="19"/>
        <v>0</v>
      </c>
      <c r="M218" s="317"/>
      <c r="N218" s="317"/>
      <c r="O218" s="321"/>
      <c r="P218" s="345"/>
      <c r="Q218" s="345"/>
      <c r="R218" s="343"/>
    </row>
    <row r="219" spans="1:18" s="18" customFormat="1" ht="21.75" customHeight="1" x14ac:dyDescent="0.3">
      <c r="A219" s="1260"/>
      <c r="B219" s="646" t="s">
        <v>49</v>
      </c>
      <c r="C219" s="315" t="s">
        <v>889</v>
      </c>
      <c r="D219" s="349" t="s">
        <v>846</v>
      </c>
      <c r="E219" s="300">
        <v>1000000</v>
      </c>
      <c r="F219" s="301"/>
      <c r="G219" s="300">
        <v>1000000</v>
      </c>
      <c r="H219" s="300"/>
      <c r="I219" s="300"/>
      <c r="J219" s="300"/>
      <c r="K219" s="240">
        <f t="shared" si="18"/>
        <v>1000000</v>
      </c>
      <c r="L219" s="240">
        <f t="shared" si="19"/>
        <v>0</v>
      </c>
      <c r="M219" s="317"/>
      <c r="N219" s="317"/>
      <c r="O219" s="321"/>
      <c r="P219" s="345"/>
      <c r="Q219" s="345"/>
      <c r="R219" s="343"/>
    </row>
    <row r="220" spans="1:18" s="18" customFormat="1" ht="21.75" customHeight="1" x14ac:dyDescent="0.3">
      <c r="A220" s="1260"/>
      <c r="B220" s="646" t="s">
        <v>55</v>
      </c>
      <c r="C220" s="315" t="s">
        <v>890</v>
      </c>
      <c r="D220" s="349" t="s">
        <v>195</v>
      </c>
      <c r="E220" s="300">
        <v>7700000</v>
      </c>
      <c r="F220" s="301"/>
      <c r="G220" s="300">
        <v>7700000</v>
      </c>
      <c r="H220" s="300"/>
      <c r="I220" s="300"/>
      <c r="J220" s="300"/>
      <c r="K220" s="240">
        <f t="shared" si="18"/>
        <v>7700000</v>
      </c>
      <c r="L220" s="240">
        <f t="shared" si="19"/>
        <v>0</v>
      </c>
      <c r="M220" s="317"/>
      <c r="N220" s="317"/>
      <c r="O220" s="321"/>
      <c r="P220" s="345"/>
      <c r="Q220" s="345"/>
      <c r="R220" s="343"/>
    </row>
    <row r="221" spans="1:18" s="18" customFormat="1" ht="21.75" customHeight="1" x14ac:dyDescent="0.3">
      <c r="A221" s="1260"/>
      <c r="B221" s="646" t="s">
        <v>59</v>
      </c>
      <c r="C221" s="315" t="s">
        <v>883</v>
      </c>
      <c r="D221" s="349" t="s">
        <v>704</v>
      </c>
      <c r="E221" s="300">
        <v>4250000</v>
      </c>
      <c r="F221" s="301"/>
      <c r="G221" s="300">
        <v>4250000</v>
      </c>
      <c r="H221" s="300"/>
      <c r="I221" s="300"/>
      <c r="J221" s="300"/>
      <c r="K221" s="240">
        <f t="shared" si="18"/>
        <v>4250000</v>
      </c>
      <c r="L221" s="240">
        <f t="shared" si="19"/>
        <v>0</v>
      </c>
      <c r="M221" s="317"/>
      <c r="N221" s="317"/>
      <c r="O221" s="321"/>
      <c r="P221" s="345"/>
      <c r="Q221" s="345"/>
      <c r="R221" s="343"/>
    </row>
    <row r="222" spans="1:18" s="18" customFormat="1" ht="21.75" customHeight="1" x14ac:dyDescent="0.3">
      <c r="A222" s="1260"/>
      <c r="B222" s="646" t="s">
        <v>63</v>
      </c>
      <c r="C222" s="315" t="s">
        <v>891</v>
      </c>
      <c r="D222" s="349" t="s">
        <v>693</v>
      </c>
      <c r="E222" s="300"/>
      <c r="F222" s="301"/>
      <c r="G222" s="300">
        <v>3890000</v>
      </c>
      <c r="H222" s="300"/>
      <c r="I222" s="300"/>
      <c r="J222" s="300"/>
      <c r="K222" s="316">
        <f t="shared" si="18"/>
        <v>3890000</v>
      </c>
      <c r="L222" s="316"/>
      <c r="M222" s="317"/>
      <c r="N222" s="317"/>
      <c r="O222" s="321"/>
      <c r="P222" s="345"/>
      <c r="Q222" s="345"/>
      <c r="R222" s="343"/>
    </row>
    <row r="223" spans="1:18" s="18" customFormat="1" ht="21.75" customHeight="1" thickBot="1" x14ac:dyDescent="0.3">
      <c r="A223" s="1261"/>
      <c r="B223" s="657"/>
      <c r="C223" s="261"/>
      <c r="D223" s="261"/>
      <c r="E223" s="261"/>
      <c r="F223" s="262"/>
      <c r="G223" s="261"/>
      <c r="H223" s="261"/>
      <c r="I223" s="261"/>
      <c r="J223" s="261"/>
      <c r="K223" s="434">
        <f>SUM(K209:K222)</f>
        <v>51292000</v>
      </c>
      <c r="L223" s="434">
        <f>SUM(L209:L222)</f>
        <v>0</v>
      </c>
      <c r="M223" s="263"/>
      <c r="N223" s="263"/>
      <c r="O223" s="264"/>
      <c r="P223" s="345"/>
      <c r="Q223" s="345"/>
      <c r="R223" s="343"/>
    </row>
    <row r="224" spans="1:18" ht="21.75" customHeight="1" thickTop="1" x14ac:dyDescent="0.3">
      <c r="A224" s="1268" t="s">
        <v>892</v>
      </c>
      <c r="B224" s="658" t="s">
        <v>194</v>
      </c>
      <c r="C224" s="408" t="s">
        <v>313</v>
      </c>
      <c r="D224" s="409" t="s">
        <v>173</v>
      </c>
      <c r="E224" s="407">
        <v>56650000</v>
      </c>
      <c r="F224" s="410">
        <v>57490000</v>
      </c>
      <c r="G224" s="407">
        <v>16955000</v>
      </c>
      <c r="H224" s="407">
        <v>22660000</v>
      </c>
      <c r="I224" s="407">
        <v>17835000</v>
      </c>
      <c r="J224" s="407">
        <v>40000</v>
      </c>
      <c r="K224" s="411">
        <f t="shared" ref="K224:K253" si="20">SUM(G224:J224)</f>
        <v>57490000</v>
      </c>
      <c r="L224" s="411">
        <f t="shared" ref="L224:L244" si="21">IF(F224="",E224-K224,F224-K224)</f>
        <v>0</v>
      </c>
      <c r="M224" s="412"/>
      <c r="N224" s="412"/>
      <c r="O224" s="413"/>
      <c r="P224" s="455" t="s">
        <v>893</v>
      </c>
    </row>
    <row r="225" spans="1:18" ht="21.75" customHeight="1" x14ac:dyDescent="0.3">
      <c r="A225" s="1269"/>
      <c r="B225" s="648" t="s">
        <v>196</v>
      </c>
      <c r="C225" s="396" t="s">
        <v>894</v>
      </c>
      <c r="D225" s="397" t="s">
        <v>448</v>
      </c>
      <c r="E225" s="398">
        <v>100950000</v>
      </c>
      <c r="F225" s="399">
        <v>118100000</v>
      </c>
      <c r="G225" s="398">
        <v>30285000</v>
      </c>
      <c r="H225" s="398">
        <v>50475000</v>
      </c>
      <c r="I225" s="398">
        <v>37340000</v>
      </c>
      <c r="J225" s="398"/>
      <c r="K225" s="393">
        <f t="shared" si="20"/>
        <v>118100000</v>
      </c>
      <c r="L225" s="393">
        <f t="shared" si="21"/>
        <v>0</v>
      </c>
      <c r="M225" s="400"/>
      <c r="N225" s="400"/>
      <c r="O225" s="414"/>
      <c r="P225" s="457" t="s">
        <v>86</v>
      </c>
      <c r="Q225" s="457">
        <v>1800000</v>
      </c>
    </row>
    <row r="226" spans="1:18" ht="21.75" customHeight="1" x14ac:dyDescent="0.3">
      <c r="A226" s="1269"/>
      <c r="B226" s="648" t="s">
        <v>20</v>
      </c>
      <c r="C226" s="396" t="s">
        <v>175</v>
      </c>
      <c r="D226" s="415" t="s">
        <v>416</v>
      </c>
      <c r="E226" s="398">
        <v>1100000</v>
      </c>
      <c r="F226" s="399">
        <v>1100000</v>
      </c>
      <c r="G226" s="398">
        <v>1100000</v>
      </c>
      <c r="H226" s="398"/>
      <c r="I226" s="398"/>
      <c r="J226" s="398"/>
      <c r="K226" s="393">
        <f t="shared" si="20"/>
        <v>1100000</v>
      </c>
      <c r="L226" s="393">
        <f t="shared" si="21"/>
        <v>0</v>
      </c>
      <c r="M226" s="402" t="s">
        <v>895</v>
      </c>
      <c r="N226" s="402"/>
      <c r="O226" s="414"/>
      <c r="P226" s="457" t="s">
        <v>90</v>
      </c>
      <c r="Q226" s="457">
        <v>5100000</v>
      </c>
      <c r="R226" s="367" t="s">
        <v>896</v>
      </c>
    </row>
    <row r="227" spans="1:18" ht="21.75" customHeight="1" x14ac:dyDescent="0.3">
      <c r="A227" s="1269"/>
      <c r="B227" s="648" t="s">
        <v>24</v>
      </c>
      <c r="C227" s="396" t="s">
        <v>99</v>
      </c>
      <c r="D227" s="415" t="s">
        <v>100</v>
      </c>
      <c r="E227" s="398">
        <v>106810660</v>
      </c>
      <c r="F227" s="399">
        <v>146375900</v>
      </c>
      <c r="G227" s="398">
        <v>32043198</v>
      </c>
      <c r="H227" s="398">
        <v>42724624</v>
      </c>
      <c r="I227" s="398">
        <v>64289643</v>
      </c>
      <c r="J227" s="398"/>
      <c r="K227" s="393">
        <f t="shared" si="20"/>
        <v>139057465</v>
      </c>
      <c r="L227" s="608">
        <f t="shared" si="21"/>
        <v>7318435</v>
      </c>
      <c r="M227" s="402" t="s">
        <v>47</v>
      </c>
      <c r="N227" s="402"/>
      <c r="O227" s="414"/>
      <c r="P227" s="457" t="s">
        <v>214</v>
      </c>
      <c r="Q227" s="457">
        <v>6600000</v>
      </c>
      <c r="R227" s="367" t="s">
        <v>896</v>
      </c>
    </row>
    <row r="228" spans="1:18" ht="21.75" customHeight="1" x14ac:dyDescent="0.3">
      <c r="A228" s="1269"/>
      <c r="B228" s="648" t="s">
        <v>26</v>
      </c>
      <c r="C228" s="396" t="s">
        <v>31</v>
      </c>
      <c r="D228" s="415" t="s">
        <v>897</v>
      </c>
      <c r="E228" s="398">
        <v>22772000</v>
      </c>
      <c r="F228" s="399">
        <v>49720000</v>
      </c>
      <c r="G228" s="398">
        <v>6831660</v>
      </c>
      <c r="H228" s="398">
        <v>15000000</v>
      </c>
      <c r="I228" s="398">
        <v>27888340</v>
      </c>
      <c r="J228" s="398"/>
      <c r="K228" s="393">
        <f t="shared" si="20"/>
        <v>49720000</v>
      </c>
      <c r="L228" s="393">
        <f t="shared" si="21"/>
        <v>0</v>
      </c>
      <c r="M228" s="402"/>
      <c r="N228" s="402"/>
      <c r="O228" s="414"/>
      <c r="P228" s="457" t="s">
        <v>97</v>
      </c>
      <c r="Q228" s="457">
        <v>4450000</v>
      </c>
      <c r="R228" s="234" t="s">
        <v>898</v>
      </c>
    </row>
    <row r="229" spans="1:18" ht="21.75" customHeight="1" x14ac:dyDescent="0.3">
      <c r="A229" s="1269"/>
      <c r="B229" s="648" t="s">
        <v>30</v>
      </c>
      <c r="C229" s="396" t="s">
        <v>899</v>
      </c>
      <c r="D229" s="415" t="s">
        <v>229</v>
      </c>
      <c r="E229" s="398">
        <v>95095000</v>
      </c>
      <c r="F229" s="399">
        <v>89982750</v>
      </c>
      <c r="G229" s="398">
        <v>47547500</v>
      </c>
      <c r="H229" s="398">
        <v>42435250</v>
      </c>
      <c r="I229" s="398"/>
      <c r="J229" s="398"/>
      <c r="K229" s="393">
        <f t="shared" si="20"/>
        <v>89982750</v>
      </c>
      <c r="L229" s="393">
        <f t="shared" si="21"/>
        <v>0</v>
      </c>
      <c r="M229" s="402" t="s">
        <v>900</v>
      </c>
      <c r="N229" s="416" t="s">
        <v>901</v>
      </c>
      <c r="O229" s="417">
        <v>43879</v>
      </c>
      <c r="P229" s="346" t="s">
        <v>789</v>
      </c>
      <c r="Q229" s="346">
        <v>160000</v>
      </c>
      <c r="R229" s="234" t="s">
        <v>902</v>
      </c>
    </row>
    <row r="230" spans="1:18" ht="21.75" customHeight="1" x14ac:dyDescent="0.3">
      <c r="A230" s="1269"/>
      <c r="B230" s="648" t="s">
        <v>33</v>
      </c>
      <c r="C230" s="396" t="s">
        <v>167</v>
      </c>
      <c r="D230" s="415" t="s">
        <v>903</v>
      </c>
      <c r="E230" s="398">
        <v>7656740</v>
      </c>
      <c r="F230" s="399"/>
      <c r="G230" s="398">
        <v>7656740</v>
      </c>
      <c r="H230" s="398"/>
      <c r="I230" s="398"/>
      <c r="J230" s="398"/>
      <c r="K230" s="393">
        <f t="shared" si="20"/>
        <v>7656740</v>
      </c>
      <c r="L230" s="393">
        <f t="shared" si="21"/>
        <v>0</v>
      </c>
      <c r="M230" s="402" t="s">
        <v>904</v>
      </c>
      <c r="N230" s="416"/>
      <c r="O230" s="417"/>
      <c r="P230" s="346"/>
      <c r="Q230" s="346"/>
    </row>
    <row r="231" spans="1:18" ht="21.75" customHeight="1" x14ac:dyDescent="0.3">
      <c r="A231" s="1269"/>
      <c r="B231" s="648" t="s">
        <v>39</v>
      </c>
      <c r="C231" s="396" t="s">
        <v>292</v>
      </c>
      <c r="D231" s="415" t="s">
        <v>104</v>
      </c>
      <c r="E231" s="398">
        <v>59536000</v>
      </c>
      <c r="F231" s="399"/>
      <c r="G231" s="398">
        <v>35721600</v>
      </c>
      <c r="H231" s="398">
        <v>23814000</v>
      </c>
      <c r="I231" s="398">
        <v>400</v>
      </c>
      <c r="J231" s="398"/>
      <c r="K231" s="393">
        <f t="shared" si="20"/>
        <v>59536000</v>
      </c>
      <c r="L231" s="393">
        <f>IF(F231="",E231-K231,F231-K231)</f>
        <v>0</v>
      </c>
      <c r="M231" s="402"/>
      <c r="N231" s="416"/>
      <c r="O231" s="417"/>
      <c r="P231" s="346"/>
      <c r="Q231" s="346"/>
    </row>
    <row r="232" spans="1:18" ht="21.75" customHeight="1" x14ac:dyDescent="0.3">
      <c r="A232" s="1269"/>
      <c r="B232" s="648" t="s">
        <v>44</v>
      </c>
      <c r="C232" s="396" t="s">
        <v>442</v>
      </c>
      <c r="D232" s="415" t="s">
        <v>443</v>
      </c>
      <c r="E232" s="398">
        <v>7748800</v>
      </c>
      <c r="F232" s="399"/>
      <c r="G232" s="398">
        <v>3874400</v>
      </c>
      <c r="H232" s="398">
        <v>3874400</v>
      </c>
      <c r="I232" s="398"/>
      <c r="J232" s="398"/>
      <c r="K232" s="393">
        <f t="shared" si="20"/>
        <v>7748800</v>
      </c>
      <c r="L232" s="393">
        <f t="shared" si="21"/>
        <v>0</v>
      </c>
      <c r="M232" s="402"/>
      <c r="N232" s="416"/>
      <c r="O232" s="417"/>
      <c r="P232" s="346"/>
      <c r="Q232" s="346"/>
    </row>
    <row r="233" spans="1:18" ht="21.75" customHeight="1" x14ac:dyDescent="0.3">
      <c r="A233" s="1269"/>
      <c r="B233" s="648" t="s">
        <v>49</v>
      </c>
      <c r="C233" s="396" t="s">
        <v>167</v>
      </c>
      <c r="D233" s="415" t="s">
        <v>905</v>
      </c>
      <c r="E233" s="398">
        <v>8467200</v>
      </c>
      <c r="F233" s="399"/>
      <c r="G233" s="398">
        <v>8467200</v>
      </c>
      <c r="H233" s="398"/>
      <c r="I233" s="398"/>
      <c r="J233" s="398"/>
      <c r="K233" s="393">
        <f t="shared" si="20"/>
        <v>8467200</v>
      </c>
      <c r="L233" s="393">
        <f t="shared" si="21"/>
        <v>0</v>
      </c>
      <c r="M233" s="402"/>
      <c r="N233" s="416"/>
      <c r="O233" s="417"/>
      <c r="P233" s="346"/>
      <c r="Q233" s="346"/>
    </row>
    <row r="234" spans="1:18" ht="21.75" customHeight="1" x14ac:dyDescent="0.3">
      <c r="A234" s="1269"/>
      <c r="B234" s="648" t="s">
        <v>55</v>
      </c>
      <c r="C234" s="396" t="s">
        <v>340</v>
      </c>
      <c r="D234" s="415" t="s">
        <v>906</v>
      </c>
      <c r="E234" s="398">
        <v>7664000</v>
      </c>
      <c r="F234" s="399"/>
      <c r="G234" s="398">
        <v>7664000</v>
      </c>
      <c r="H234" s="398"/>
      <c r="I234" s="398"/>
      <c r="J234" s="398"/>
      <c r="K234" s="393">
        <f t="shared" si="20"/>
        <v>7664000</v>
      </c>
      <c r="L234" s="393">
        <f t="shared" si="21"/>
        <v>0</v>
      </c>
      <c r="M234" s="402"/>
      <c r="N234" s="416"/>
      <c r="O234" s="417"/>
      <c r="P234" s="346"/>
      <c r="Q234" s="346"/>
    </row>
    <row r="235" spans="1:18" ht="21.75" customHeight="1" x14ac:dyDescent="0.3">
      <c r="A235" s="1269"/>
      <c r="B235" s="648" t="s">
        <v>59</v>
      </c>
      <c r="C235" s="396" t="s">
        <v>232</v>
      </c>
      <c r="D235" s="415" t="s">
        <v>341</v>
      </c>
      <c r="E235" s="398">
        <v>10184000</v>
      </c>
      <c r="F235" s="399">
        <v>14288000</v>
      </c>
      <c r="G235" s="398">
        <v>4000000</v>
      </c>
      <c r="H235" s="398">
        <v>6000000</v>
      </c>
      <c r="I235" s="398">
        <v>4288000</v>
      </c>
      <c r="J235" s="398"/>
      <c r="K235" s="393">
        <f t="shared" si="20"/>
        <v>14288000</v>
      </c>
      <c r="L235" s="393">
        <f t="shared" si="21"/>
        <v>0</v>
      </c>
      <c r="M235" s="402"/>
      <c r="N235" s="416"/>
      <c r="O235" s="417"/>
      <c r="P235" s="346"/>
      <c r="Q235" s="346"/>
    </row>
    <row r="236" spans="1:18" ht="21.75" customHeight="1" x14ac:dyDescent="0.3">
      <c r="A236" s="1269"/>
      <c r="B236" s="648" t="s">
        <v>63</v>
      </c>
      <c r="C236" s="396" t="s">
        <v>167</v>
      </c>
      <c r="D236" s="415" t="s">
        <v>907</v>
      </c>
      <c r="E236" s="398">
        <v>6644400</v>
      </c>
      <c r="F236" s="399"/>
      <c r="G236" s="398">
        <v>6644400</v>
      </c>
      <c r="H236" s="398"/>
      <c r="I236" s="398"/>
      <c r="J236" s="398"/>
      <c r="K236" s="393">
        <f t="shared" si="20"/>
        <v>6644400</v>
      </c>
      <c r="L236" s="393">
        <f t="shared" si="21"/>
        <v>0</v>
      </c>
      <c r="M236" s="402"/>
      <c r="N236" s="416"/>
      <c r="O236" s="417"/>
      <c r="P236" s="346"/>
      <c r="Q236" s="346"/>
    </row>
    <row r="237" spans="1:18" ht="21.75" customHeight="1" x14ac:dyDescent="0.3">
      <c r="A237" s="1269"/>
      <c r="B237" s="648" t="s">
        <v>67</v>
      </c>
      <c r="C237" s="396" t="s">
        <v>514</v>
      </c>
      <c r="D237" s="415" t="s">
        <v>114</v>
      </c>
      <c r="E237" s="398">
        <v>4480000</v>
      </c>
      <c r="F237" s="399"/>
      <c r="G237" s="398">
        <v>4480000</v>
      </c>
      <c r="H237" s="398"/>
      <c r="I237" s="398"/>
      <c r="J237" s="398"/>
      <c r="K237" s="393">
        <f t="shared" si="20"/>
        <v>4480000</v>
      </c>
      <c r="L237" s="393">
        <f t="shared" si="21"/>
        <v>0</v>
      </c>
      <c r="M237" s="402"/>
      <c r="N237" s="416"/>
      <c r="O237" s="417"/>
      <c r="P237" s="346"/>
      <c r="Q237" s="346"/>
    </row>
    <row r="238" spans="1:18" ht="21.75" customHeight="1" x14ac:dyDescent="0.3">
      <c r="A238" s="1269"/>
      <c r="B238" s="648" t="s">
        <v>72</v>
      </c>
      <c r="C238" s="396" t="s">
        <v>908</v>
      </c>
      <c r="D238" s="415" t="s">
        <v>57</v>
      </c>
      <c r="E238" s="398">
        <v>34957336</v>
      </c>
      <c r="F238" s="399"/>
      <c r="G238" s="398">
        <v>34957336</v>
      </c>
      <c r="H238" s="398"/>
      <c r="I238" s="398"/>
      <c r="J238" s="398"/>
      <c r="K238" s="393">
        <f t="shared" si="20"/>
        <v>34957336</v>
      </c>
      <c r="L238" s="393">
        <f t="shared" si="21"/>
        <v>0</v>
      </c>
      <c r="M238" s="402"/>
      <c r="N238" s="416"/>
      <c r="O238" s="417"/>
      <c r="P238" s="346"/>
      <c r="Q238" s="346"/>
    </row>
    <row r="239" spans="1:18" ht="21.75" customHeight="1" x14ac:dyDescent="0.3">
      <c r="A239" s="1269"/>
      <c r="B239" s="648" t="s">
        <v>74</v>
      </c>
      <c r="C239" s="396" t="s">
        <v>56</v>
      </c>
      <c r="D239" s="415" t="s">
        <v>57</v>
      </c>
      <c r="E239" s="398">
        <v>29240000</v>
      </c>
      <c r="F239" s="399"/>
      <c r="G239" s="398">
        <v>29240000</v>
      </c>
      <c r="H239" s="398"/>
      <c r="I239" s="398"/>
      <c r="J239" s="398"/>
      <c r="K239" s="393">
        <f t="shared" si="20"/>
        <v>29240000</v>
      </c>
      <c r="L239" s="393">
        <f t="shared" si="21"/>
        <v>0</v>
      </c>
      <c r="M239" s="402"/>
      <c r="N239" s="416"/>
      <c r="O239" s="417"/>
      <c r="P239" s="346"/>
      <c r="Q239" s="346"/>
    </row>
    <row r="240" spans="1:18" ht="21.75" customHeight="1" x14ac:dyDescent="0.3">
      <c r="A240" s="1269"/>
      <c r="B240" s="648" t="s">
        <v>78</v>
      </c>
      <c r="C240" s="396" t="s">
        <v>167</v>
      </c>
      <c r="D240" s="415" t="s">
        <v>907</v>
      </c>
      <c r="E240" s="398">
        <v>1717940</v>
      </c>
      <c r="F240" s="399"/>
      <c r="G240" s="398">
        <v>1717940</v>
      </c>
      <c r="H240" s="398"/>
      <c r="I240" s="398"/>
      <c r="J240" s="398"/>
      <c r="K240" s="393">
        <f t="shared" si="20"/>
        <v>1717940</v>
      </c>
      <c r="L240" s="393">
        <f t="shared" si="21"/>
        <v>0</v>
      </c>
      <c r="M240" s="402"/>
      <c r="N240" s="416"/>
      <c r="O240" s="417"/>
      <c r="P240" s="346"/>
      <c r="Q240" s="346"/>
    </row>
    <row r="241" spans="1:18" ht="21.75" customHeight="1" x14ac:dyDescent="0.3">
      <c r="A241" s="1269"/>
      <c r="B241" s="648" t="s">
        <v>83</v>
      </c>
      <c r="C241" s="396" t="s">
        <v>213</v>
      </c>
      <c r="D241" s="415" t="s">
        <v>909</v>
      </c>
      <c r="E241" s="398">
        <v>27600000</v>
      </c>
      <c r="F241" s="399"/>
      <c r="G241" s="398">
        <v>19320000</v>
      </c>
      <c r="H241" s="398">
        <v>8280000</v>
      </c>
      <c r="I241" s="398"/>
      <c r="J241" s="398"/>
      <c r="K241" s="393">
        <f t="shared" si="20"/>
        <v>27600000</v>
      </c>
      <c r="L241" s="393">
        <f t="shared" si="21"/>
        <v>0</v>
      </c>
      <c r="M241" s="402"/>
      <c r="N241" s="416"/>
      <c r="O241" s="417"/>
      <c r="P241" s="346"/>
      <c r="Q241" s="346"/>
    </row>
    <row r="242" spans="1:18" ht="21.75" customHeight="1" x14ac:dyDescent="0.3">
      <c r="A242" s="1269"/>
      <c r="B242" s="648" t="s">
        <v>87</v>
      </c>
      <c r="C242" s="396" t="s">
        <v>118</v>
      </c>
      <c r="D242" s="415" t="s">
        <v>301</v>
      </c>
      <c r="E242" s="398"/>
      <c r="F242" s="399">
        <v>20632150</v>
      </c>
      <c r="G242" s="398">
        <v>20632150</v>
      </c>
      <c r="H242" s="398">
        <v>1900000</v>
      </c>
      <c r="I242" s="398"/>
      <c r="J242" s="398"/>
      <c r="K242" s="393">
        <f t="shared" si="20"/>
        <v>22532150</v>
      </c>
      <c r="L242" s="393">
        <f t="shared" si="21"/>
        <v>-1900000</v>
      </c>
      <c r="M242" s="402"/>
      <c r="N242" s="416"/>
      <c r="O242" s="417"/>
      <c r="P242" s="346"/>
      <c r="Q242" s="346"/>
    </row>
    <row r="243" spans="1:18" ht="21.75" customHeight="1" x14ac:dyDescent="0.3">
      <c r="A243" s="1269"/>
      <c r="B243" s="648" t="s">
        <v>91</v>
      </c>
      <c r="C243" s="396" t="s">
        <v>132</v>
      </c>
      <c r="D243" s="415" t="s">
        <v>910</v>
      </c>
      <c r="E243" s="398">
        <v>16784280</v>
      </c>
      <c r="F243" s="399"/>
      <c r="G243" s="398">
        <v>16784280</v>
      </c>
      <c r="H243" s="398"/>
      <c r="I243" s="398"/>
      <c r="J243" s="398"/>
      <c r="K243" s="393">
        <f t="shared" si="20"/>
        <v>16784280</v>
      </c>
      <c r="L243" s="393">
        <f t="shared" si="21"/>
        <v>0</v>
      </c>
      <c r="M243" s="402" t="s">
        <v>911</v>
      </c>
      <c r="N243" s="416"/>
      <c r="O243" s="417"/>
      <c r="P243" s="346"/>
      <c r="Q243" s="346"/>
    </row>
    <row r="244" spans="1:18" ht="21.75" customHeight="1" x14ac:dyDescent="0.3">
      <c r="A244" s="1269"/>
      <c r="B244" s="648" t="s">
        <v>95</v>
      </c>
      <c r="C244" s="396" t="s">
        <v>132</v>
      </c>
      <c r="D244" s="415" t="s">
        <v>910</v>
      </c>
      <c r="E244" s="398">
        <v>7058729</v>
      </c>
      <c r="F244" s="399"/>
      <c r="G244" s="398">
        <v>7058729</v>
      </c>
      <c r="H244" s="398"/>
      <c r="I244" s="398"/>
      <c r="J244" s="398"/>
      <c r="K244" s="393">
        <f t="shared" si="20"/>
        <v>7058729</v>
      </c>
      <c r="L244" s="393">
        <f t="shared" si="21"/>
        <v>0</v>
      </c>
      <c r="M244" s="402" t="s">
        <v>912</v>
      </c>
      <c r="N244" s="416"/>
      <c r="O244" s="417"/>
      <c r="P244" s="346"/>
      <c r="Q244" s="346"/>
    </row>
    <row r="245" spans="1:18" ht="21.75" customHeight="1" x14ac:dyDescent="0.3">
      <c r="A245" s="1270"/>
      <c r="B245" s="648" t="s">
        <v>98</v>
      </c>
      <c r="C245" s="419" t="s">
        <v>913</v>
      </c>
      <c r="D245" s="420" t="s">
        <v>727</v>
      </c>
      <c r="E245" s="541" t="s">
        <v>221</v>
      </c>
      <c r="F245" s="422"/>
      <c r="G245" s="421">
        <v>3000000</v>
      </c>
      <c r="H245" s="421">
        <v>2000000</v>
      </c>
      <c r="I245" s="421">
        <v>6000000</v>
      </c>
      <c r="J245" s="421"/>
      <c r="K245" s="393">
        <f t="shared" si="20"/>
        <v>11000000</v>
      </c>
      <c r="L245" s="423"/>
      <c r="M245" s="424"/>
      <c r="N245" s="553"/>
      <c r="O245" s="554"/>
      <c r="P245" s="346"/>
      <c r="Q245" s="346"/>
    </row>
    <row r="246" spans="1:18" ht="21.75" customHeight="1" x14ac:dyDescent="0.3">
      <c r="A246" s="1270"/>
      <c r="B246" s="648" t="s">
        <v>102</v>
      </c>
      <c r="C246" s="419" t="s">
        <v>21</v>
      </c>
      <c r="D246" s="420" t="s">
        <v>258</v>
      </c>
      <c r="E246" s="421"/>
      <c r="F246" s="541" t="s">
        <v>23</v>
      </c>
      <c r="G246" s="421">
        <v>16883354</v>
      </c>
      <c r="H246" s="421"/>
      <c r="I246" s="421"/>
      <c r="J246" s="421"/>
      <c r="K246" s="393">
        <f t="shared" si="20"/>
        <v>16883354</v>
      </c>
      <c r="L246" s="423"/>
      <c r="M246" s="424"/>
      <c r="N246" s="424"/>
      <c r="O246" s="425"/>
      <c r="P246" s="346"/>
      <c r="Q246" s="346"/>
    </row>
    <row r="247" spans="1:18" ht="21.75" customHeight="1" x14ac:dyDescent="0.3">
      <c r="A247" s="1270"/>
      <c r="B247" s="648" t="s">
        <v>106</v>
      </c>
      <c r="C247" s="419" t="s">
        <v>914</v>
      </c>
      <c r="D247" s="420" t="s">
        <v>727</v>
      </c>
      <c r="E247" s="421"/>
      <c r="F247" s="541"/>
      <c r="G247" s="421">
        <v>11990000</v>
      </c>
      <c r="H247" s="421"/>
      <c r="I247" s="421"/>
      <c r="J247" s="421"/>
      <c r="K247" s="393">
        <f t="shared" si="20"/>
        <v>11990000</v>
      </c>
      <c r="L247" s="423"/>
      <c r="M247" s="424"/>
      <c r="N247" s="424"/>
      <c r="O247" s="425"/>
      <c r="P247" s="346"/>
      <c r="Q247" s="346"/>
    </row>
    <row r="248" spans="1:18" s="350" customFormat="1" ht="21.75" customHeight="1" x14ac:dyDescent="0.3">
      <c r="A248" s="1270"/>
      <c r="B248" s="648" t="s">
        <v>109</v>
      </c>
      <c r="C248" s="426" t="s">
        <v>346</v>
      </c>
      <c r="D248" s="427" t="s">
        <v>915</v>
      </c>
      <c r="E248" s="422">
        <v>65401661.600000001</v>
      </c>
      <c r="F248" s="422"/>
      <c r="G248" s="422">
        <v>32700830.800000001</v>
      </c>
      <c r="H248" s="422">
        <v>32700830.800000001</v>
      </c>
      <c r="I248" s="422"/>
      <c r="J248" s="422"/>
      <c r="K248" s="393">
        <f t="shared" si="20"/>
        <v>65401661.600000001</v>
      </c>
      <c r="L248" s="393">
        <f>IF(F248="",E248-K248,F248-K248)</f>
        <v>0</v>
      </c>
      <c r="M248" s="424"/>
      <c r="N248" s="424"/>
      <c r="O248" s="428"/>
      <c r="P248" s="346"/>
      <c r="Q248" s="346"/>
      <c r="R248" s="348"/>
    </row>
    <row r="249" spans="1:18" s="501" customFormat="1" ht="21.75" customHeight="1" x14ac:dyDescent="0.3">
      <c r="A249" s="1270"/>
      <c r="B249" s="648" t="s">
        <v>112</v>
      </c>
      <c r="C249" s="419" t="s">
        <v>170</v>
      </c>
      <c r="D249" s="497" t="s">
        <v>171</v>
      </c>
      <c r="E249" s="421"/>
      <c r="F249" s="422">
        <v>25548400</v>
      </c>
      <c r="G249" s="421">
        <v>25548400</v>
      </c>
      <c r="H249" s="421"/>
      <c r="I249" s="421"/>
      <c r="J249" s="421"/>
      <c r="K249" s="398">
        <f t="shared" si="20"/>
        <v>25548400</v>
      </c>
      <c r="L249" s="398">
        <f>IF(F249="",E249-K249,F249-K249)</f>
        <v>0</v>
      </c>
      <c r="M249" s="460"/>
      <c r="N249" s="460"/>
      <c r="O249" s="498"/>
      <c r="P249" s="499"/>
      <c r="Q249" s="499"/>
      <c r="R249" s="500"/>
    </row>
    <row r="250" spans="1:18" s="501" customFormat="1" ht="21.75" customHeight="1" x14ac:dyDescent="0.3">
      <c r="A250" s="1270"/>
      <c r="B250" s="648" t="s">
        <v>115</v>
      </c>
      <c r="C250" s="419" t="s">
        <v>916</v>
      </c>
      <c r="D250" s="497" t="s">
        <v>727</v>
      </c>
      <c r="E250" s="421"/>
      <c r="F250" s="422"/>
      <c r="G250" s="421">
        <v>2350000</v>
      </c>
      <c r="H250" s="421"/>
      <c r="I250" s="421"/>
      <c r="J250" s="421"/>
      <c r="K250" s="421">
        <f t="shared" si="20"/>
        <v>2350000</v>
      </c>
      <c r="L250" s="421"/>
      <c r="M250" s="460"/>
      <c r="N250" s="460"/>
      <c r="O250" s="498"/>
      <c r="P250" s="499"/>
      <c r="Q250" s="499"/>
      <c r="R250" s="500"/>
    </row>
    <row r="251" spans="1:18" s="501" customFormat="1" ht="21.75" customHeight="1" x14ac:dyDescent="0.3">
      <c r="A251" s="1270"/>
      <c r="B251" s="648" t="s">
        <v>117</v>
      </c>
      <c r="C251" s="419" t="s">
        <v>442</v>
      </c>
      <c r="D251" s="497" t="s">
        <v>443</v>
      </c>
      <c r="E251" s="421">
        <v>3200000</v>
      </c>
      <c r="F251" s="422"/>
      <c r="G251" s="421">
        <v>1600000</v>
      </c>
      <c r="H251" s="421"/>
      <c r="I251" s="421"/>
      <c r="J251" s="421"/>
      <c r="K251" s="421">
        <f t="shared" si="20"/>
        <v>1600000</v>
      </c>
      <c r="L251" s="398">
        <f>IF(F251="",E251-K251,F251-K251)</f>
        <v>1600000</v>
      </c>
      <c r="M251" s="460"/>
      <c r="N251" s="460"/>
      <c r="O251" s="498"/>
      <c r="P251" s="499"/>
      <c r="Q251" s="499"/>
      <c r="R251" s="500"/>
    </row>
    <row r="252" spans="1:18" s="501" customFormat="1" ht="21.75" customHeight="1" x14ac:dyDescent="0.3">
      <c r="A252" s="1270"/>
      <c r="B252" s="648" t="s">
        <v>120</v>
      </c>
      <c r="C252" s="419" t="s">
        <v>161</v>
      </c>
      <c r="D252" s="497" t="s">
        <v>909</v>
      </c>
      <c r="E252" s="421">
        <v>400000</v>
      </c>
      <c r="F252" s="422"/>
      <c r="G252" s="421">
        <v>400000</v>
      </c>
      <c r="H252" s="421"/>
      <c r="I252" s="421"/>
      <c r="J252" s="421"/>
      <c r="K252" s="421">
        <f t="shared" si="20"/>
        <v>400000</v>
      </c>
      <c r="L252" s="398">
        <f>IF(F252="",E252-K252,F252-K252)</f>
        <v>0</v>
      </c>
      <c r="M252" s="460"/>
      <c r="N252" s="460"/>
      <c r="O252" s="498"/>
      <c r="P252" s="499"/>
      <c r="Q252" s="499"/>
      <c r="R252" s="500"/>
    </row>
    <row r="253" spans="1:18" s="501" customFormat="1" ht="21.75" customHeight="1" x14ac:dyDescent="0.3">
      <c r="A253" s="1270"/>
      <c r="B253" s="648" t="s">
        <v>122</v>
      </c>
      <c r="C253" s="419" t="s">
        <v>917</v>
      </c>
      <c r="D253" s="497" t="s">
        <v>229</v>
      </c>
      <c r="E253" s="421">
        <v>9130000</v>
      </c>
      <c r="F253" s="422"/>
      <c r="G253" s="421">
        <v>9130000</v>
      </c>
      <c r="H253" s="421"/>
      <c r="I253" s="421"/>
      <c r="J253" s="421"/>
      <c r="K253" s="421">
        <f t="shared" si="20"/>
        <v>9130000</v>
      </c>
      <c r="L253" s="398">
        <f>IF(F253="",E253-K253,F253-K253)</f>
        <v>0</v>
      </c>
      <c r="M253" s="460" t="s">
        <v>918</v>
      </c>
      <c r="N253" s="460"/>
      <c r="O253" s="498"/>
      <c r="P253" s="499"/>
      <c r="Q253" s="499"/>
      <c r="R253" s="500"/>
    </row>
    <row r="254" spans="1:18" ht="21.75" customHeight="1" thickBot="1" x14ac:dyDescent="0.3">
      <c r="A254" s="1270"/>
      <c r="B254" s="659"/>
      <c r="C254" s="421"/>
      <c r="D254" s="421"/>
      <c r="E254" s="421"/>
      <c r="F254" s="422"/>
      <c r="G254" s="421"/>
      <c r="H254" s="421"/>
      <c r="I254" s="421"/>
      <c r="J254" s="421"/>
      <c r="K254" s="433">
        <f>SUM(K224:K253)</f>
        <v>856129205.60000002</v>
      </c>
      <c r="L254" s="433">
        <f>SUM(L224:L253)</f>
        <v>7018435</v>
      </c>
      <c r="M254" s="560"/>
      <c r="N254" s="429"/>
      <c r="O254" s="425"/>
    </row>
    <row r="255" spans="1:18" ht="21.75" customHeight="1" x14ac:dyDescent="0.3">
      <c r="A255" s="1258" t="s">
        <v>919</v>
      </c>
      <c r="B255" s="645" t="s">
        <v>194</v>
      </c>
      <c r="C255" s="249" t="s">
        <v>920</v>
      </c>
      <c r="D255" s="303" t="s">
        <v>372</v>
      </c>
      <c r="E255" s="251">
        <v>23304000</v>
      </c>
      <c r="F255" s="252">
        <v>38730000</v>
      </c>
      <c r="G255" s="251">
        <v>6991200</v>
      </c>
      <c r="H255" s="251">
        <v>15000000</v>
      </c>
      <c r="I255" s="251">
        <v>16738800</v>
      </c>
      <c r="J255" s="251"/>
      <c r="K255" s="248">
        <f>SUM(G255:J255)</f>
        <v>38730000</v>
      </c>
      <c r="L255" s="248">
        <f>IF(F255="",E255-K255,F255-K255)</f>
        <v>0</v>
      </c>
      <c r="M255" s="253"/>
      <c r="N255" s="253"/>
      <c r="O255" s="254"/>
      <c r="P255" s="347" t="s">
        <v>921</v>
      </c>
    </row>
    <row r="256" spans="1:18" ht="21.75" customHeight="1" x14ac:dyDescent="0.3">
      <c r="A256" s="1259"/>
      <c r="B256" s="646" t="s">
        <v>196</v>
      </c>
      <c r="C256" s="255" t="s">
        <v>175</v>
      </c>
      <c r="D256" s="256" t="s">
        <v>416</v>
      </c>
      <c r="E256" s="257">
        <v>1100000</v>
      </c>
      <c r="F256" s="243">
        <v>1100000</v>
      </c>
      <c r="G256" s="257">
        <v>1100000</v>
      </c>
      <c r="H256" s="257"/>
      <c r="I256" s="257"/>
      <c r="J256" s="257"/>
      <c r="K256" s="240">
        <f>SUM(G256:J256)</f>
        <v>1100000</v>
      </c>
      <c r="L256" s="240">
        <f>IF(F256="",E256-K256,F256-K256)</f>
        <v>0</v>
      </c>
      <c r="M256" s="260" t="s">
        <v>895</v>
      </c>
      <c r="N256" s="244"/>
      <c r="O256" s="258"/>
    </row>
    <row r="257" spans="1:18" s="350" customFormat="1" ht="21.75" customHeight="1" x14ac:dyDescent="0.3">
      <c r="A257" s="1260"/>
      <c r="B257" s="646" t="s">
        <v>20</v>
      </c>
      <c r="C257" s="440" t="s">
        <v>346</v>
      </c>
      <c r="D257" s="441" t="s">
        <v>915</v>
      </c>
      <c r="E257" s="243">
        <v>5246880.8</v>
      </c>
      <c r="F257" s="243"/>
      <c r="G257" s="243">
        <v>2623440.4</v>
      </c>
      <c r="H257" s="243">
        <v>2623440.4</v>
      </c>
      <c r="I257" s="243"/>
      <c r="J257" s="243"/>
      <c r="K257" s="240">
        <f>SUM(G257:J257)</f>
        <v>5246880.8</v>
      </c>
      <c r="L257" s="240">
        <f>IF(F257="",E257-K257,F257-K257)</f>
        <v>0</v>
      </c>
      <c r="M257" s="260"/>
      <c r="N257" s="260"/>
      <c r="O257" s="442"/>
      <c r="P257" s="346"/>
      <c r="Q257" s="346"/>
      <c r="R257" s="348"/>
    </row>
    <row r="258" spans="1:18" s="350" customFormat="1" ht="21.75" customHeight="1" x14ac:dyDescent="0.3">
      <c r="A258" s="1260"/>
      <c r="B258" s="660">
        <v>4</v>
      </c>
      <c r="C258" s="605" t="s">
        <v>99</v>
      </c>
      <c r="D258" s="606" t="s">
        <v>100</v>
      </c>
      <c r="E258" s="301"/>
      <c r="F258" s="301">
        <v>32167000</v>
      </c>
      <c r="G258" s="300">
        <v>32167000</v>
      </c>
      <c r="H258" s="301"/>
      <c r="I258" s="301"/>
      <c r="J258" s="301"/>
      <c r="K258" s="240">
        <f>SUM(G258:J258)</f>
        <v>32167000</v>
      </c>
      <c r="L258" s="240">
        <f>IF(F258="",E258-K258,F258-K258)</f>
        <v>0</v>
      </c>
      <c r="M258" s="317"/>
      <c r="N258" s="317"/>
      <c r="O258" s="607"/>
      <c r="P258" s="346"/>
      <c r="Q258" s="346"/>
      <c r="R258" s="348"/>
    </row>
    <row r="259" spans="1:18" ht="21.75" customHeight="1" thickBot="1" x14ac:dyDescent="0.3">
      <c r="A259" s="1261"/>
      <c r="B259" s="657"/>
      <c r="C259" s="261"/>
      <c r="D259" s="261"/>
      <c r="E259" s="261"/>
      <c r="F259" s="262"/>
      <c r="G259" s="261"/>
      <c r="H259" s="261"/>
      <c r="I259" s="261"/>
      <c r="J259" s="261"/>
      <c r="K259" s="434">
        <f>SUM(K255:K258)</f>
        <v>77243880.799999997</v>
      </c>
      <c r="L259" s="434">
        <f>SUM(L255:L258)</f>
        <v>0</v>
      </c>
      <c r="M259" s="263"/>
      <c r="N259" s="263"/>
      <c r="O259" s="264"/>
    </row>
    <row r="260" spans="1:18" ht="21.75" customHeight="1" x14ac:dyDescent="0.3">
      <c r="A260" s="1254" t="s">
        <v>922</v>
      </c>
      <c r="B260" s="651" t="s">
        <v>194</v>
      </c>
      <c r="C260" s="389" t="s">
        <v>75</v>
      </c>
      <c r="D260" s="390" t="s">
        <v>397</v>
      </c>
      <c r="E260" s="391">
        <v>338200000</v>
      </c>
      <c r="F260" s="392"/>
      <c r="G260" s="391">
        <v>101460000</v>
      </c>
      <c r="H260" s="391">
        <v>62033100</v>
      </c>
      <c r="I260" s="391"/>
      <c r="J260" s="391"/>
      <c r="K260" s="388">
        <f t="shared" ref="K260:K274" si="22">SUM(G260:J260)</f>
        <v>163493100</v>
      </c>
      <c r="L260" s="388">
        <f t="shared" ref="L260:L265" si="23">IF(F260="",E260-K260,F260-K260)</f>
        <v>174706900</v>
      </c>
      <c r="M260" s="394"/>
      <c r="N260" s="394" t="s">
        <v>923</v>
      </c>
      <c r="O260" s="395">
        <v>43816</v>
      </c>
    </row>
    <row r="261" spans="1:18" ht="21.75" customHeight="1" x14ac:dyDescent="0.3">
      <c r="A261" s="1255"/>
      <c r="B261" s="643" t="s">
        <v>196</v>
      </c>
      <c r="C261" s="396" t="s">
        <v>920</v>
      </c>
      <c r="D261" s="397" t="s">
        <v>372</v>
      </c>
      <c r="E261" s="398">
        <v>36800000</v>
      </c>
      <c r="F261" s="399">
        <v>39800000</v>
      </c>
      <c r="G261" s="398">
        <v>11040000</v>
      </c>
      <c r="H261" s="398">
        <v>14720000</v>
      </c>
      <c r="I261" s="398">
        <v>14040000</v>
      </c>
      <c r="J261" s="398"/>
      <c r="K261" s="393">
        <f t="shared" si="22"/>
        <v>39800000</v>
      </c>
      <c r="L261" s="393">
        <f t="shared" si="23"/>
        <v>0</v>
      </c>
      <c r="M261" s="400"/>
      <c r="N261" s="400"/>
      <c r="O261" s="401"/>
      <c r="P261" s="344" t="s">
        <v>924</v>
      </c>
      <c r="Q261" s="344">
        <v>94000</v>
      </c>
    </row>
    <row r="262" spans="1:18" ht="21.75" customHeight="1" x14ac:dyDescent="0.3">
      <c r="A262" s="1255"/>
      <c r="B262" s="643" t="s">
        <v>20</v>
      </c>
      <c r="C262" s="396" t="s">
        <v>99</v>
      </c>
      <c r="D262" s="415" t="s">
        <v>100</v>
      </c>
      <c r="E262" s="398">
        <f>206770000*1.1</f>
        <v>227447000.00000003</v>
      </c>
      <c r="F262" s="399">
        <v>236456100</v>
      </c>
      <c r="G262" s="398">
        <v>62033100</v>
      </c>
      <c r="H262" s="398">
        <v>90981880</v>
      </c>
      <c r="I262" s="398">
        <v>70668320</v>
      </c>
      <c r="J262" s="398"/>
      <c r="K262" s="393">
        <f t="shared" si="22"/>
        <v>223683300</v>
      </c>
      <c r="L262" s="393">
        <f t="shared" si="23"/>
        <v>12772800</v>
      </c>
      <c r="M262" s="418" t="s">
        <v>925</v>
      </c>
      <c r="N262" s="402"/>
      <c r="O262" s="401"/>
    </row>
    <row r="263" spans="1:18" ht="21.75" customHeight="1" x14ac:dyDescent="0.3">
      <c r="A263" s="1256"/>
      <c r="B263" s="643" t="s">
        <v>24</v>
      </c>
      <c r="C263" s="419" t="s">
        <v>340</v>
      </c>
      <c r="D263" s="420" t="s">
        <v>906</v>
      </c>
      <c r="E263" s="421">
        <v>500000</v>
      </c>
      <c r="F263" s="422"/>
      <c r="G263" s="421">
        <v>500000</v>
      </c>
      <c r="H263" s="421"/>
      <c r="I263" s="421"/>
      <c r="J263" s="421"/>
      <c r="K263" s="393">
        <f t="shared" si="22"/>
        <v>500000</v>
      </c>
      <c r="L263" s="393">
        <f t="shared" si="23"/>
        <v>0</v>
      </c>
      <c r="M263" s="424"/>
      <c r="N263" s="424"/>
      <c r="O263" s="430"/>
    </row>
    <row r="264" spans="1:18" ht="27.75" customHeight="1" x14ac:dyDescent="0.3">
      <c r="A264" s="1256"/>
      <c r="B264" s="643" t="s">
        <v>26</v>
      </c>
      <c r="C264" s="443" t="s">
        <v>926</v>
      </c>
      <c r="D264" s="420" t="s">
        <v>104</v>
      </c>
      <c r="E264" s="421">
        <v>2000000</v>
      </c>
      <c r="F264" s="422"/>
      <c r="G264" s="421">
        <v>2000000</v>
      </c>
      <c r="H264" s="421"/>
      <c r="I264" s="421"/>
      <c r="J264" s="421"/>
      <c r="K264" s="393">
        <f t="shared" si="22"/>
        <v>2000000</v>
      </c>
      <c r="L264" s="393">
        <f t="shared" si="23"/>
        <v>0</v>
      </c>
      <c r="M264" s="424"/>
      <c r="N264" s="424"/>
      <c r="O264" s="430"/>
    </row>
    <row r="265" spans="1:18" ht="22.5" customHeight="1" x14ac:dyDescent="0.3">
      <c r="A265" s="1256"/>
      <c r="B265" s="643" t="s">
        <v>28</v>
      </c>
      <c r="C265" s="419" t="s">
        <v>246</v>
      </c>
      <c r="D265" s="420" t="s">
        <v>927</v>
      </c>
      <c r="E265" s="421">
        <v>3300000</v>
      </c>
      <c r="F265" s="422"/>
      <c r="G265" s="421"/>
      <c r="H265" s="421"/>
      <c r="I265" s="421"/>
      <c r="J265" s="421"/>
      <c r="K265" s="393">
        <f t="shared" si="22"/>
        <v>0</v>
      </c>
      <c r="L265" s="393">
        <f t="shared" si="23"/>
        <v>3300000</v>
      </c>
      <c r="M265" s="424"/>
      <c r="N265" s="424"/>
      <c r="O265" s="430"/>
    </row>
    <row r="266" spans="1:18" ht="21.75" customHeight="1" x14ac:dyDescent="0.3">
      <c r="A266" s="1256"/>
      <c r="B266" s="643" t="s">
        <v>30</v>
      </c>
      <c r="C266" s="419" t="s">
        <v>913</v>
      </c>
      <c r="D266" s="459" t="s">
        <v>879</v>
      </c>
      <c r="E266" s="421"/>
      <c r="F266" s="422"/>
      <c r="G266" s="421">
        <v>2000000</v>
      </c>
      <c r="H266" s="421"/>
      <c r="I266" s="421"/>
      <c r="J266" s="421"/>
      <c r="K266" s="393">
        <f t="shared" si="22"/>
        <v>2000000</v>
      </c>
      <c r="L266" s="393"/>
      <c r="M266" s="424"/>
      <c r="N266" s="424"/>
      <c r="O266" s="430"/>
    </row>
    <row r="267" spans="1:18" ht="21.75" customHeight="1" x14ac:dyDescent="0.3">
      <c r="A267" s="1256"/>
      <c r="B267" s="643" t="s">
        <v>33</v>
      </c>
      <c r="C267" s="419" t="s">
        <v>928</v>
      </c>
      <c r="D267" s="459" t="s">
        <v>879</v>
      </c>
      <c r="E267" s="421"/>
      <c r="F267" s="422"/>
      <c r="G267" s="421">
        <v>3000000</v>
      </c>
      <c r="H267" s="421"/>
      <c r="I267" s="421"/>
      <c r="J267" s="421"/>
      <c r="K267" s="393">
        <f t="shared" si="22"/>
        <v>3000000</v>
      </c>
      <c r="L267" s="423"/>
      <c r="M267" s="424"/>
      <c r="N267" s="424"/>
      <c r="O267" s="430"/>
    </row>
    <row r="268" spans="1:18" ht="21.75" customHeight="1" x14ac:dyDescent="0.3">
      <c r="A268" s="1256"/>
      <c r="B268" s="643" t="s">
        <v>39</v>
      </c>
      <c r="C268" s="419" t="s">
        <v>175</v>
      </c>
      <c r="D268" s="420" t="s">
        <v>416</v>
      </c>
      <c r="E268" s="421">
        <v>1100000</v>
      </c>
      <c r="F268" s="422">
        <v>1100000</v>
      </c>
      <c r="G268" s="421">
        <v>1100000</v>
      </c>
      <c r="H268" s="421"/>
      <c r="I268" s="421"/>
      <c r="J268" s="421"/>
      <c r="K268" s="393">
        <f t="shared" si="22"/>
        <v>1100000</v>
      </c>
      <c r="L268" s="393">
        <f>IF(F268="",E268-K268,F268-K268)</f>
        <v>0</v>
      </c>
      <c r="M268" s="424"/>
      <c r="N268" s="424"/>
      <c r="O268" s="430"/>
    </row>
    <row r="269" spans="1:18" ht="30" customHeight="1" x14ac:dyDescent="0.3">
      <c r="A269" s="1256"/>
      <c r="B269" s="643" t="s">
        <v>44</v>
      </c>
      <c r="C269" s="419" t="s">
        <v>929</v>
      </c>
      <c r="D269" s="420" t="s">
        <v>930</v>
      </c>
      <c r="E269" s="421"/>
      <c r="F269" s="422"/>
      <c r="G269" s="421">
        <v>843000</v>
      </c>
      <c r="H269" s="421"/>
      <c r="I269" s="421"/>
      <c r="J269" s="421"/>
      <c r="K269" s="393">
        <f t="shared" si="22"/>
        <v>843000</v>
      </c>
      <c r="L269" s="393"/>
      <c r="M269" s="424"/>
      <c r="N269" s="424"/>
      <c r="O269" s="430"/>
    </row>
    <row r="270" spans="1:18" ht="21.75" customHeight="1" x14ac:dyDescent="0.3">
      <c r="A270" s="1256"/>
      <c r="B270" s="643" t="s">
        <v>49</v>
      </c>
      <c r="C270" s="419" t="s">
        <v>246</v>
      </c>
      <c r="D270" s="420" t="s">
        <v>927</v>
      </c>
      <c r="E270" s="421">
        <v>3300000</v>
      </c>
      <c r="F270" s="422"/>
      <c r="G270" s="421">
        <v>3300000</v>
      </c>
      <c r="H270" s="421"/>
      <c r="I270" s="421"/>
      <c r="J270" s="421"/>
      <c r="K270" s="393">
        <f t="shared" si="22"/>
        <v>3300000</v>
      </c>
      <c r="L270" s="393">
        <f>IF(F270="",E270-K270,F270-K270)</f>
        <v>0</v>
      </c>
      <c r="M270" s="424" t="s">
        <v>931</v>
      </c>
      <c r="N270" s="424"/>
      <c r="O270" s="430"/>
    </row>
    <row r="271" spans="1:18" ht="21.75" customHeight="1" x14ac:dyDescent="0.3">
      <c r="A271" s="1256"/>
      <c r="B271" s="643" t="s">
        <v>55</v>
      </c>
      <c r="C271" s="419" t="s">
        <v>932</v>
      </c>
      <c r="D271" s="420" t="s">
        <v>341</v>
      </c>
      <c r="E271" s="421">
        <v>4160000</v>
      </c>
      <c r="F271" s="422"/>
      <c r="G271" s="421">
        <v>2160000</v>
      </c>
      <c r="H271" s="421"/>
      <c r="I271" s="421"/>
      <c r="J271" s="421"/>
      <c r="K271" s="393">
        <f t="shared" si="22"/>
        <v>2160000</v>
      </c>
      <c r="L271" s="393">
        <f>IF(F271="",E271-K271,F271-K271)</f>
        <v>2000000</v>
      </c>
      <c r="M271" s="424"/>
      <c r="N271" s="424"/>
      <c r="O271" s="430"/>
    </row>
    <row r="272" spans="1:18" ht="21.75" customHeight="1" x14ac:dyDescent="0.3">
      <c r="A272" s="1256"/>
      <c r="B272" s="643" t="s">
        <v>59</v>
      </c>
      <c r="C272" s="419" t="s">
        <v>161</v>
      </c>
      <c r="D272" s="420" t="s">
        <v>909</v>
      </c>
      <c r="E272" s="421">
        <v>1200000</v>
      </c>
      <c r="F272" s="422"/>
      <c r="G272" s="421">
        <v>1200000</v>
      </c>
      <c r="H272" s="421"/>
      <c r="I272" s="421"/>
      <c r="J272" s="421"/>
      <c r="K272" s="393">
        <f t="shared" si="22"/>
        <v>1200000</v>
      </c>
      <c r="L272" s="393">
        <f>IF(F272="",E272-K272,F272-K272)</f>
        <v>0</v>
      </c>
      <c r="M272" s="424"/>
      <c r="N272" s="424"/>
      <c r="O272" s="430"/>
    </row>
    <row r="273" spans="1:18" s="350" customFormat="1" ht="21.75" customHeight="1" x14ac:dyDescent="0.3">
      <c r="A273" s="1256"/>
      <c r="B273" s="643" t="s">
        <v>63</v>
      </c>
      <c r="C273" s="426" t="s">
        <v>346</v>
      </c>
      <c r="D273" s="427" t="s">
        <v>915</v>
      </c>
      <c r="E273" s="422">
        <v>18544240</v>
      </c>
      <c r="F273" s="422"/>
      <c r="G273" s="422">
        <v>9272120</v>
      </c>
      <c r="H273" s="422">
        <v>9272120</v>
      </c>
      <c r="I273" s="422"/>
      <c r="J273" s="422"/>
      <c r="K273" s="393">
        <f t="shared" si="22"/>
        <v>18544240</v>
      </c>
      <c r="L273" s="393">
        <f>IF(F273="",E273-K273,F273-K273)</f>
        <v>0</v>
      </c>
      <c r="M273" s="424"/>
      <c r="N273" s="424"/>
      <c r="O273" s="431"/>
      <c r="P273" s="346"/>
      <c r="Q273" s="346"/>
      <c r="R273" s="348"/>
    </row>
    <row r="274" spans="1:18" s="350" customFormat="1" ht="21.75" customHeight="1" x14ac:dyDescent="0.3">
      <c r="A274" s="1256"/>
      <c r="B274" s="643" t="s">
        <v>67</v>
      </c>
      <c r="C274" s="426" t="s">
        <v>510</v>
      </c>
      <c r="D274" s="427" t="s">
        <v>727</v>
      </c>
      <c r="E274" s="422"/>
      <c r="F274" s="422"/>
      <c r="G274" s="422">
        <v>3764000</v>
      </c>
      <c r="H274" s="422"/>
      <c r="I274" s="422"/>
      <c r="J274" s="422"/>
      <c r="K274" s="423">
        <f t="shared" si="22"/>
        <v>3764000</v>
      </c>
      <c r="L274" s="423"/>
      <c r="M274" s="424"/>
      <c r="N274" s="424"/>
      <c r="O274" s="431"/>
      <c r="P274" s="346"/>
      <c r="Q274" s="346"/>
      <c r="R274" s="348"/>
    </row>
    <row r="275" spans="1:18" ht="21.75" customHeight="1" thickBot="1" x14ac:dyDescent="0.3">
      <c r="A275" s="1257"/>
      <c r="B275" s="656"/>
      <c r="C275" s="403"/>
      <c r="D275" s="403"/>
      <c r="E275" s="403"/>
      <c r="F275" s="404"/>
      <c r="G275" s="403"/>
      <c r="H275" s="403"/>
      <c r="I275" s="403"/>
      <c r="J275" s="403"/>
      <c r="K275" s="432">
        <f>SUM(K260:K274)</f>
        <v>465387640</v>
      </c>
      <c r="L275" s="432">
        <f>SUM(L260:L274)</f>
        <v>192779700</v>
      </c>
      <c r="M275" s="405"/>
      <c r="N275" s="405"/>
      <c r="O275" s="406"/>
    </row>
    <row r="276" spans="1:18" ht="25.5" customHeight="1" x14ac:dyDescent="0.25">
      <c r="G276" s="451"/>
    </row>
    <row r="277" spans="1:18" x14ac:dyDescent="0.25">
      <c r="F277" s="386"/>
    </row>
    <row r="278" spans="1:18" x14ac:dyDescent="0.25">
      <c r="D278" s="386"/>
      <c r="F278" s="386"/>
    </row>
    <row r="279" spans="1:18" x14ac:dyDescent="0.25">
      <c r="D279" s="386"/>
      <c r="F279" s="386"/>
      <c r="L279" s="684">
        <f>SUM(L6:L275)/2</f>
        <v>905768135.5</v>
      </c>
    </row>
    <row r="280" spans="1:18" s="350" customFormat="1" x14ac:dyDescent="0.25">
      <c r="B280" s="613"/>
      <c r="D280" s="614"/>
      <c r="E280" s="614"/>
      <c r="F280" s="614"/>
      <c r="P280" s="346"/>
      <c r="Q280" s="346"/>
      <c r="R280" s="348"/>
    </row>
    <row r="281" spans="1:18" x14ac:dyDescent="0.25">
      <c r="D281" s="386"/>
      <c r="F281" s="386"/>
    </row>
    <row r="282" spans="1:18" x14ac:dyDescent="0.25">
      <c r="D282" s="386"/>
      <c r="F282" s="386"/>
    </row>
    <row r="283" spans="1:18" s="350" customFormat="1" x14ac:dyDescent="0.25">
      <c r="B283" s="613"/>
      <c r="D283" s="614"/>
      <c r="E283" s="614"/>
      <c r="F283" s="614"/>
      <c r="P283" s="346"/>
      <c r="Q283" s="346"/>
      <c r="R283" s="348"/>
    </row>
    <row r="284" spans="1:18" x14ac:dyDescent="0.25">
      <c r="D284" s="386"/>
      <c r="F284" s="386"/>
      <c r="G284" s="386"/>
    </row>
    <row r="285" spans="1:18" x14ac:dyDescent="0.25">
      <c r="D285" s="386"/>
      <c r="F285" s="386"/>
      <c r="G285" s="386"/>
      <c r="H285" s="386"/>
    </row>
    <row r="286" spans="1:18" x14ac:dyDescent="0.25">
      <c r="D286" s="386"/>
      <c r="F286" s="386"/>
    </row>
    <row r="287" spans="1:18" x14ac:dyDescent="0.25">
      <c r="D287" s="386"/>
      <c r="F287" s="386"/>
    </row>
    <row r="288" spans="1:18" x14ac:dyDescent="0.25">
      <c r="D288" s="386"/>
    </row>
    <row r="289" spans="4:8" x14ac:dyDescent="0.25">
      <c r="D289" s="436"/>
      <c r="H289" s="386"/>
    </row>
    <row r="290" spans="4:8" x14ac:dyDescent="0.25">
      <c r="F290" s="436"/>
    </row>
    <row r="291" spans="4:8" x14ac:dyDescent="0.25">
      <c r="G291" s="386"/>
    </row>
    <row r="328" spans="6:6" x14ac:dyDescent="0.25">
      <c r="F328" s="386"/>
    </row>
    <row r="329" spans="6:6" x14ac:dyDescent="0.25">
      <c r="F329" s="436"/>
    </row>
    <row r="330" spans="6:6" x14ac:dyDescent="0.25">
      <c r="F330" s="436"/>
    </row>
  </sheetData>
  <autoFilter ref="A5:O102"/>
  <mergeCells count="19">
    <mergeCell ref="M71:M72"/>
    <mergeCell ref="N71:N72"/>
    <mergeCell ref="O71:O72"/>
    <mergeCell ref="A1:L3"/>
    <mergeCell ref="A224:A254"/>
    <mergeCell ref="A137:A150"/>
    <mergeCell ref="A103:A136"/>
    <mergeCell ref="A99:A102"/>
    <mergeCell ref="A74:A98"/>
    <mergeCell ref="A71:A73"/>
    <mergeCell ref="A54:A70"/>
    <mergeCell ref="A22:A53"/>
    <mergeCell ref="A12:A21"/>
    <mergeCell ref="A6:A11"/>
    <mergeCell ref="A260:A275"/>
    <mergeCell ref="A255:A259"/>
    <mergeCell ref="A209:A223"/>
    <mergeCell ref="A178:A208"/>
    <mergeCell ref="A151:A177"/>
  </mergeCells>
  <conditionalFormatting sqref="B136">
    <cfRule type="top10" dxfId="0" priority="1" percent="1" rank="10"/>
  </conditionalFormatting>
  <pageMargins left="0.3046875" right="0.70866141732283472" top="0.74803149606299213" bottom="0.74803149606299213" header="0.31496062992125984" footer="0.31496062992125984"/>
  <pageSetup scale="35" orientation="landscape" r:id="rId1"/>
  <rowBreaks count="4" manualBreakCount="4">
    <brk id="53" max="11" man="1"/>
    <brk id="102" max="11" man="1"/>
    <brk id="150" max="11" man="1"/>
    <brk id="208" max="11" man="1"/>
  </rowBreaks>
  <colBreaks count="1" manualBreakCount="1">
    <brk id="12" max="1048575" man="1"/>
  </colBreak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X45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H10" sqref="H10"/>
    </sheetView>
  </sheetViews>
  <sheetFormatPr defaultColWidth="9.28515625" defaultRowHeight="15" x14ac:dyDescent="0.25"/>
  <cols>
    <col min="1" max="1" width="4.28515625" style="686" hidden="1" customWidth="1"/>
    <col min="2" max="2" width="10.140625" style="887" customWidth="1"/>
    <col min="3" max="3" width="16.7109375" style="885" customWidth="1"/>
    <col min="4" max="4" width="10.85546875" style="885" customWidth="1"/>
    <col min="5" max="5" width="12" style="725" customWidth="1"/>
    <col min="6" max="7" width="12" style="687" customWidth="1"/>
    <col min="8" max="8" width="11.42578125" style="687" customWidth="1"/>
    <col min="9" max="9" width="11.7109375" style="727" customWidth="1"/>
    <col min="10" max="10" width="9.42578125" style="687" customWidth="1"/>
    <col min="11" max="11" width="15" style="686" customWidth="1"/>
    <col min="12" max="12" width="12.42578125" style="687" customWidth="1"/>
    <col min="13" max="13" width="0.7109375" style="686" hidden="1" customWidth="1"/>
    <col min="14" max="14" width="12.5703125" style="874" customWidth="1"/>
    <col min="15" max="15" width="15.85546875" style="686" hidden="1" customWidth="1"/>
    <col min="16" max="16" width="12.7109375" style="688" hidden="1" customWidth="1"/>
    <col min="17" max="17" width="14.7109375" style="687" hidden="1" customWidth="1"/>
    <col min="18" max="18" width="10.5703125" style="686" customWidth="1"/>
    <col min="19" max="19" width="14.7109375" style="686" hidden="1" customWidth="1"/>
    <col min="20" max="20" width="24.7109375" style="687" customWidth="1"/>
    <col min="21" max="21" width="16.7109375" style="687" bestFit="1" customWidth="1"/>
    <col min="22" max="23" width="15.85546875" style="687" bestFit="1" customWidth="1"/>
    <col min="24" max="24" width="20.140625" style="686" customWidth="1"/>
    <col min="25" max="16384" width="9.28515625" style="686"/>
  </cols>
  <sheetData>
    <row r="1" spans="1:24" ht="21" customHeight="1" x14ac:dyDescent="0.25">
      <c r="B1" s="1289" t="s">
        <v>689</v>
      </c>
      <c r="C1" s="1289"/>
      <c r="D1" s="1289"/>
      <c r="E1" s="1289"/>
      <c r="F1" s="1289"/>
      <c r="G1" s="1289"/>
      <c r="H1" s="1289"/>
      <c r="I1" s="1289"/>
      <c r="J1" s="1289"/>
      <c r="K1" s="1289"/>
      <c r="L1" s="1289"/>
      <c r="M1" s="1289"/>
      <c r="N1" s="1289"/>
      <c r="O1" s="1289"/>
      <c r="P1" s="1289"/>
      <c r="Q1" s="1290"/>
      <c r="R1" s="1289"/>
    </row>
    <row r="2" spans="1:24" ht="15" customHeight="1" x14ac:dyDescent="0.25">
      <c r="B2" s="1289"/>
      <c r="C2" s="1289"/>
      <c r="D2" s="1289"/>
      <c r="E2" s="1289"/>
      <c r="F2" s="1289"/>
      <c r="G2" s="1289"/>
      <c r="H2" s="1289"/>
      <c r="I2" s="1289"/>
      <c r="J2" s="1289"/>
      <c r="K2" s="1289"/>
      <c r="L2" s="1289"/>
      <c r="M2" s="1289"/>
      <c r="N2" s="1289"/>
      <c r="O2" s="1289"/>
      <c r="P2" s="1289"/>
      <c r="Q2" s="1290"/>
      <c r="R2" s="1289"/>
    </row>
    <row r="3" spans="1:24" ht="15" customHeight="1" x14ac:dyDescent="0.25">
      <c r="B3" s="1289"/>
      <c r="C3" s="1289"/>
      <c r="D3" s="1289"/>
      <c r="E3" s="1289"/>
      <c r="F3" s="1289"/>
      <c r="G3" s="1289"/>
      <c r="H3" s="1289"/>
      <c r="I3" s="1289"/>
      <c r="J3" s="1289"/>
      <c r="K3" s="1289"/>
      <c r="L3" s="1289"/>
      <c r="M3" s="1289"/>
      <c r="N3" s="1289"/>
      <c r="O3" s="1289"/>
      <c r="P3" s="1289"/>
      <c r="Q3" s="1290"/>
      <c r="R3" s="1289"/>
    </row>
    <row r="4" spans="1:24" ht="27.75" customHeight="1" x14ac:dyDescent="0.25">
      <c r="B4" s="886"/>
      <c r="C4" s="884"/>
      <c r="D4" s="884"/>
      <c r="E4" s="746"/>
      <c r="F4" s="746"/>
      <c r="G4" s="743"/>
      <c r="H4" s="744"/>
      <c r="I4" s="745"/>
      <c r="J4" s="685"/>
      <c r="K4" s="717"/>
      <c r="L4" s="685"/>
      <c r="M4" s="1182"/>
      <c r="N4" s="868"/>
      <c r="Q4" s="741"/>
    </row>
    <row r="5" spans="1:24" s="888" customFormat="1" ht="54" customHeight="1" x14ac:dyDescent="0.2">
      <c r="B5" s="889" t="s">
        <v>4</v>
      </c>
      <c r="C5" s="889" t="s">
        <v>6</v>
      </c>
      <c r="D5" s="890" t="s">
        <v>7</v>
      </c>
      <c r="E5" s="891" t="s">
        <v>8</v>
      </c>
      <c r="F5" s="892" t="s">
        <v>933</v>
      </c>
      <c r="G5" s="891" t="s">
        <v>10</v>
      </c>
      <c r="H5" s="893" t="s">
        <v>11</v>
      </c>
      <c r="I5" s="891" t="s">
        <v>12</v>
      </c>
      <c r="J5" s="893" t="s">
        <v>13</v>
      </c>
      <c r="K5" s="889" t="s">
        <v>934</v>
      </c>
      <c r="L5" s="894" t="s">
        <v>935</v>
      </c>
      <c r="M5" s="895" t="s">
        <v>936</v>
      </c>
      <c r="N5" s="896" t="s">
        <v>937</v>
      </c>
      <c r="O5" s="895" t="s">
        <v>17</v>
      </c>
      <c r="P5" s="897" t="s">
        <v>18</v>
      </c>
      <c r="Q5" s="892" t="s">
        <v>938</v>
      </c>
      <c r="R5" s="898" t="s">
        <v>605</v>
      </c>
      <c r="S5" s="899" t="s">
        <v>939</v>
      </c>
      <c r="T5" s="900" t="s">
        <v>940</v>
      </c>
      <c r="U5" s="900" t="s">
        <v>940</v>
      </c>
      <c r="V5" s="901"/>
      <c r="W5" s="901"/>
    </row>
    <row r="6" spans="1:24" s="888" customFormat="1" ht="23.25" customHeight="1" x14ac:dyDescent="0.2">
      <c r="A6" s="888">
        <v>1</v>
      </c>
      <c r="B6" s="914" t="s">
        <v>941</v>
      </c>
      <c r="C6" s="915" t="s">
        <v>691</v>
      </c>
      <c r="D6" s="915" t="s">
        <v>188</v>
      </c>
      <c r="E6" s="916">
        <v>2240100</v>
      </c>
      <c r="F6" s="917"/>
      <c r="G6" s="917">
        <v>2240100</v>
      </c>
      <c r="H6" s="917"/>
      <c r="I6" s="918"/>
      <c r="J6" s="917"/>
      <c r="K6" s="917">
        <f>SUM(G6:J6)</f>
        <v>2240100</v>
      </c>
      <c r="L6" s="917"/>
      <c r="M6" s="919">
        <f>IF(F6="",E6-K6-L6,F6-K6-L6)</f>
        <v>0</v>
      </c>
      <c r="N6" s="920">
        <f>IF($F6="",($E6-$K6),($F6-$K6))</f>
        <v>0</v>
      </c>
      <c r="O6" s="921"/>
      <c r="P6" s="922"/>
      <c r="Q6" s="917"/>
      <c r="R6" s="923"/>
      <c r="S6" s="902"/>
      <c r="T6" s="901" t="s">
        <v>942</v>
      </c>
      <c r="U6" s="901"/>
      <c r="V6" s="901"/>
      <c r="W6" s="901"/>
    </row>
    <row r="7" spans="1:24" s="888" customFormat="1" ht="23.25" customHeight="1" x14ac:dyDescent="0.2">
      <c r="B7" s="924" t="s">
        <v>941</v>
      </c>
      <c r="C7" s="925" t="s">
        <v>692</v>
      </c>
      <c r="D7" s="925" t="s">
        <v>416</v>
      </c>
      <c r="E7" s="926">
        <v>1100000</v>
      </c>
      <c r="F7" s="927"/>
      <c r="G7" s="927">
        <v>1100000</v>
      </c>
      <c r="H7" s="927"/>
      <c r="I7" s="928"/>
      <c r="J7" s="927"/>
      <c r="K7" s="927">
        <f>SUM(G7:J7)</f>
        <v>1100000</v>
      </c>
      <c r="L7" s="927"/>
      <c r="M7" s="929">
        <f t="shared" ref="M7:M14" si="0">IF(F7="",E7-K7-L7,F7-K7-L7)</f>
        <v>0</v>
      </c>
      <c r="N7" s="930">
        <f t="shared" ref="N7:N72" si="1">IF($F7="",($E7-$K7),($F7-$K7))</f>
        <v>0</v>
      </c>
      <c r="O7" s="931"/>
      <c r="P7" s="932"/>
      <c r="Q7" s="927"/>
      <c r="R7" s="933"/>
      <c r="S7" s="903" t="s">
        <v>943</v>
      </c>
      <c r="T7" s="901" t="s">
        <v>944</v>
      </c>
      <c r="U7" s="901">
        <v>1666000</v>
      </c>
      <c r="V7" s="901"/>
      <c r="W7" s="901"/>
    </row>
    <row r="8" spans="1:24" s="888" customFormat="1" ht="23.25" customHeight="1" x14ac:dyDescent="0.2">
      <c r="B8" s="924" t="s">
        <v>941</v>
      </c>
      <c r="C8" s="925" t="s">
        <v>257</v>
      </c>
      <c r="D8" s="925" t="s">
        <v>693</v>
      </c>
      <c r="E8" s="934">
        <f>K8</f>
        <v>10597500</v>
      </c>
      <c r="F8" s="927"/>
      <c r="G8" s="927">
        <v>10597500</v>
      </c>
      <c r="H8" s="927"/>
      <c r="I8" s="928"/>
      <c r="J8" s="927"/>
      <c r="K8" s="927">
        <f t="shared" ref="K8:K14" si="2">SUM(G8:J8)</f>
        <v>10597500</v>
      </c>
      <c r="L8" s="927"/>
      <c r="M8" s="929">
        <f t="shared" si="0"/>
        <v>0</v>
      </c>
      <c r="N8" s="930">
        <f t="shared" si="1"/>
        <v>0</v>
      </c>
      <c r="O8" s="931"/>
      <c r="P8" s="932"/>
      <c r="Q8" s="927"/>
      <c r="R8" s="933"/>
      <c r="S8" s="903"/>
      <c r="T8" s="901"/>
      <c r="U8" s="901"/>
      <c r="V8" s="901"/>
      <c r="W8" s="901"/>
      <c r="X8" s="904"/>
    </row>
    <row r="9" spans="1:24" s="888" customFormat="1" ht="23.25" customHeight="1" x14ac:dyDescent="0.2">
      <c r="B9" s="924" t="s">
        <v>941</v>
      </c>
      <c r="C9" s="925" t="s">
        <v>694</v>
      </c>
      <c r="D9" s="925" t="s">
        <v>695</v>
      </c>
      <c r="E9" s="926">
        <v>9075000</v>
      </c>
      <c r="F9" s="927"/>
      <c r="G9" s="927">
        <v>9075000</v>
      </c>
      <c r="H9" s="927"/>
      <c r="I9" s="928"/>
      <c r="J9" s="927"/>
      <c r="K9" s="927">
        <f t="shared" si="2"/>
        <v>9075000</v>
      </c>
      <c r="L9" s="927"/>
      <c r="M9" s="929">
        <f t="shared" si="0"/>
        <v>0</v>
      </c>
      <c r="N9" s="930">
        <f t="shared" si="1"/>
        <v>0</v>
      </c>
      <c r="O9" s="931"/>
      <c r="P9" s="932"/>
      <c r="Q9" s="927"/>
      <c r="R9" s="933"/>
      <c r="S9" s="903" t="s">
        <v>943</v>
      </c>
      <c r="T9" s="901"/>
      <c r="U9" s="901"/>
      <c r="V9" s="901"/>
      <c r="W9" s="901"/>
      <c r="X9" s="905"/>
    </row>
    <row r="10" spans="1:24" s="888" customFormat="1" ht="23.25" customHeight="1" x14ac:dyDescent="0.2">
      <c r="B10" s="924" t="s">
        <v>941</v>
      </c>
      <c r="C10" s="925" t="s">
        <v>945</v>
      </c>
      <c r="D10" s="925" t="s">
        <v>711</v>
      </c>
      <c r="E10" s="926">
        <v>1760000</v>
      </c>
      <c r="F10" s="927"/>
      <c r="G10" s="927">
        <v>1760000</v>
      </c>
      <c r="H10" s="927"/>
      <c r="I10" s="928"/>
      <c r="J10" s="927"/>
      <c r="K10" s="927">
        <f t="shared" si="2"/>
        <v>1760000</v>
      </c>
      <c r="L10" s="927"/>
      <c r="M10" s="929">
        <f t="shared" si="0"/>
        <v>0</v>
      </c>
      <c r="N10" s="930">
        <f t="shared" si="1"/>
        <v>0</v>
      </c>
      <c r="O10" s="931"/>
      <c r="P10" s="932"/>
      <c r="Q10" s="927"/>
      <c r="R10" s="933"/>
      <c r="S10" s="903"/>
      <c r="T10" s="901"/>
      <c r="U10" s="901"/>
      <c r="V10" s="901"/>
      <c r="W10" s="901"/>
      <c r="X10" s="905"/>
    </row>
    <row r="11" spans="1:24" s="888" customFormat="1" ht="23.25" customHeight="1" x14ac:dyDescent="0.2">
      <c r="B11" s="924" t="s">
        <v>941</v>
      </c>
      <c r="C11" s="925" t="s">
        <v>946</v>
      </c>
      <c r="D11" s="925" t="s">
        <v>265</v>
      </c>
      <c r="E11" s="926">
        <v>1700000</v>
      </c>
      <c r="F11" s="927"/>
      <c r="G11" s="927">
        <v>1700000</v>
      </c>
      <c r="H11" s="927"/>
      <c r="I11" s="928"/>
      <c r="J11" s="927"/>
      <c r="K11" s="927">
        <f t="shared" si="2"/>
        <v>1700000</v>
      </c>
      <c r="L11" s="927"/>
      <c r="M11" s="929">
        <f t="shared" si="0"/>
        <v>0</v>
      </c>
      <c r="N11" s="930">
        <f t="shared" si="1"/>
        <v>0</v>
      </c>
      <c r="O11" s="931"/>
      <c r="P11" s="932"/>
      <c r="Q11" s="927"/>
      <c r="R11" s="933"/>
      <c r="S11" s="903"/>
      <c r="T11" s="901"/>
      <c r="U11" s="901"/>
      <c r="V11" s="901"/>
      <c r="W11" s="901"/>
      <c r="X11" s="905"/>
    </row>
    <row r="12" spans="1:24" s="888" customFormat="1" ht="23.25" customHeight="1" x14ac:dyDescent="0.2">
      <c r="B12" s="924" t="s">
        <v>941</v>
      </c>
      <c r="C12" s="925" t="s">
        <v>215</v>
      </c>
      <c r="D12" s="925" t="s">
        <v>190</v>
      </c>
      <c r="E12" s="926">
        <v>12486000</v>
      </c>
      <c r="F12" s="927"/>
      <c r="G12" s="926">
        <v>12486000</v>
      </c>
      <c r="H12" s="927"/>
      <c r="I12" s="928"/>
      <c r="J12" s="927"/>
      <c r="K12" s="927">
        <f>SUM(G12:J12)</f>
        <v>12486000</v>
      </c>
      <c r="L12" s="927"/>
      <c r="M12" s="929">
        <f t="shared" si="0"/>
        <v>0</v>
      </c>
      <c r="N12" s="930">
        <f t="shared" si="1"/>
        <v>0</v>
      </c>
      <c r="O12" s="931"/>
      <c r="P12" s="932"/>
      <c r="Q12" s="927"/>
      <c r="R12" s="933"/>
      <c r="S12" s="903"/>
      <c r="T12" s="901"/>
      <c r="U12" s="901"/>
      <c r="V12" s="901"/>
      <c r="W12" s="901"/>
      <c r="X12" s="905"/>
    </row>
    <row r="13" spans="1:24" s="888" customFormat="1" ht="23.25" customHeight="1" x14ac:dyDescent="0.2">
      <c r="B13" s="924" t="s">
        <v>941</v>
      </c>
      <c r="C13" s="925" t="s">
        <v>947</v>
      </c>
      <c r="D13" s="925"/>
      <c r="E13" s="926"/>
      <c r="F13" s="927"/>
      <c r="G13" s="927">
        <f>U13</f>
        <v>1666000</v>
      </c>
      <c r="H13" s="927"/>
      <c r="I13" s="928"/>
      <c r="J13" s="927"/>
      <c r="K13" s="927">
        <f>SUM(G13:J13)</f>
        <v>1666000</v>
      </c>
      <c r="L13" s="927"/>
      <c r="M13" s="929">
        <f t="shared" si="0"/>
        <v>-1666000</v>
      </c>
      <c r="N13" s="930">
        <f t="shared" si="1"/>
        <v>-1666000</v>
      </c>
      <c r="O13" s="931"/>
      <c r="P13" s="932"/>
      <c r="Q13" s="927"/>
      <c r="R13" s="933"/>
      <c r="S13" s="903"/>
      <c r="T13" s="901" t="s">
        <v>948</v>
      </c>
      <c r="U13" s="901">
        <f>SUM(U7:U9)</f>
        <v>1666000</v>
      </c>
      <c r="V13" s="901"/>
      <c r="W13" s="901"/>
      <c r="X13" s="905"/>
    </row>
    <row r="14" spans="1:24" s="888" customFormat="1" ht="23.25" hidden="1" customHeight="1" x14ac:dyDescent="0.2">
      <c r="B14" s="924" t="s">
        <v>941</v>
      </c>
      <c r="C14" s="925"/>
      <c r="D14" s="925"/>
      <c r="E14" s="926"/>
      <c r="F14" s="927"/>
      <c r="G14" s="927"/>
      <c r="H14" s="927"/>
      <c r="I14" s="928"/>
      <c r="J14" s="927"/>
      <c r="K14" s="927">
        <f t="shared" si="2"/>
        <v>0</v>
      </c>
      <c r="L14" s="927"/>
      <c r="M14" s="929">
        <f t="shared" si="0"/>
        <v>0</v>
      </c>
      <c r="N14" s="930">
        <f t="shared" si="1"/>
        <v>0</v>
      </c>
      <c r="O14" s="931"/>
      <c r="P14" s="932"/>
      <c r="Q14" s="927"/>
      <c r="R14" s="933"/>
      <c r="S14" s="903"/>
      <c r="T14" s="901"/>
      <c r="U14" s="901"/>
      <c r="V14" s="901"/>
      <c r="W14" s="901"/>
      <c r="X14" s="905"/>
    </row>
    <row r="15" spans="1:24" s="906" customFormat="1" ht="25.5" x14ac:dyDescent="0.2">
      <c r="B15" s="935" t="s">
        <v>949</v>
      </c>
      <c r="C15" s="936" t="s">
        <v>950</v>
      </c>
      <c r="D15" s="937"/>
      <c r="E15" s="938"/>
      <c r="F15" s="939"/>
      <c r="G15" s="939"/>
      <c r="H15" s="939"/>
      <c r="I15" s="940"/>
      <c r="J15" s="939"/>
      <c r="K15" s="941">
        <f>SUM(K6:K14)</f>
        <v>40624600</v>
      </c>
      <c r="L15" s="941">
        <f>SUM(L6:L14)</f>
        <v>0</v>
      </c>
      <c r="M15" s="941">
        <f>SUM(M6:M14)</f>
        <v>-1666000</v>
      </c>
      <c r="N15" s="942">
        <f>SUM(N6:N14)</f>
        <v>-1666000</v>
      </c>
      <c r="O15" s="943"/>
      <c r="P15" s="944"/>
      <c r="Q15" s="939"/>
      <c r="R15" s="945"/>
      <c r="S15" s="908"/>
      <c r="T15" s="909"/>
      <c r="U15" s="909"/>
      <c r="V15" s="909"/>
      <c r="W15" s="909"/>
    </row>
    <row r="16" spans="1:24" s="888" customFormat="1" ht="26.25" customHeight="1" x14ac:dyDescent="0.2">
      <c r="A16" s="888">
        <v>2</v>
      </c>
      <c r="B16" s="924" t="s">
        <v>951</v>
      </c>
      <c r="C16" s="925" t="s">
        <v>692</v>
      </c>
      <c r="D16" s="925" t="s">
        <v>416</v>
      </c>
      <c r="E16" s="926">
        <v>1100000</v>
      </c>
      <c r="F16" s="927"/>
      <c r="G16" s="927">
        <v>1100000</v>
      </c>
      <c r="H16" s="927"/>
      <c r="I16" s="928"/>
      <c r="J16" s="927"/>
      <c r="K16" s="927">
        <f>SUM(G16:J16)</f>
        <v>1100000</v>
      </c>
      <c r="L16" s="927"/>
      <c r="M16" s="929">
        <f t="shared" ref="M16:M26" si="3">IF(F16="",E16-K16-L16,F16-K16-L16)</f>
        <v>0</v>
      </c>
      <c r="N16" s="930">
        <f t="shared" si="1"/>
        <v>0</v>
      </c>
      <c r="O16" s="931" t="s">
        <v>698</v>
      </c>
      <c r="P16" s="932">
        <v>43971</v>
      </c>
      <c r="Q16" s="927"/>
      <c r="R16" s="933"/>
      <c r="S16" s="903" t="s">
        <v>943</v>
      </c>
      <c r="T16" s="901" t="s">
        <v>952</v>
      </c>
      <c r="U16" s="901"/>
      <c r="V16" s="901"/>
      <c r="W16" s="901"/>
    </row>
    <row r="17" spans="1:23" s="888" customFormat="1" ht="26.25" customHeight="1" x14ac:dyDescent="0.2">
      <c r="B17" s="924" t="s">
        <v>951</v>
      </c>
      <c r="C17" s="925" t="s">
        <v>31</v>
      </c>
      <c r="D17" s="925" t="s">
        <v>700</v>
      </c>
      <c r="E17" s="926">
        <v>14425600</v>
      </c>
      <c r="F17" s="927"/>
      <c r="G17" s="927">
        <v>14425600</v>
      </c>
      <c r="H17" s="927"/>
      <c r="I17" s="928"/>
      <c r="J17" s="927"/>
      <c r="K17" s="927">
        <f t="shared" ref="K17:K26" si="4">SUM(G17:J17)</f>
        <v>14425600</v>
      </c>
      <c r="L17" s="927"/>
      <c r="M17" s="929">
        <f t="shared" si="3"/>
        <v>0</v>
      </c>
      <c r="N17" s="930">
        <f t="shared" si="1"/>
        <v>0</v>
      </c>
      <c r="O17" s="931"/>
      <c r="P17" s="932"/>
      <c r="Q17" s="927"/>
      <c r="R17" s="933"/>
      <c r="S17" s="903" t="s">
        <v>943</v>
      </c>
      <c r="T17" s="901" t="s">
        <v>953</v>
      </c>
      <c r="U17" s="901">
        <v>240000</v>
      </c>
      <c r="V17" s="901"/>
      <c r="W17" s="901"/>
    </row>
    <row r="18" spans="1:23" s="888" customFormat="1" ht="26.25" customHeight="1" x14ac:dyDescent="0.2">
      <c r="B18" s="924" t="s">
        <v>951</v>
      </c>
      <c r="C18" s="925" t="s">
        <v>31</v>
      </c>
      <c r="D18" s="925" t="s">
        <v>700</v>
      </c>
      <c r="E18" s="926">
        <v>3158000</v>
      </c>
      <c r="F18" s="927"/>
      <c r="G18" s="927">
        <v>3158000</v>
      </c>
      <c r="H18" s="927"/>
      <c r="I18" s="928"/>
      <c r="J18" s="927"/>
      <c r="K18" s="927">
        <f t="shared" si="4"/>
        <v>3158000</v>
      </c>
      <c r="L18" s="927"/>
      <c r="M18" s="929">
        <f t="shared" si="3"/>
        <v>0</v>
      </c>
      <c r="N18" s="930">
        <f t="shared" si="1"/>
        <v>0</v>
      </c>
      <c r="O18" s="931"/>
      <c r="P18" s="932"/>
      <c r="Q18" s="927"/>
      <c r="R18" s="933"/>
      <c r="S18" s="903" t="s">
        <v>943</v>
      </c>
      <c r="T18" s="901" t="s">
        <v>954</v>
      </c>
      <c r="U18" s="901">
        <v>876000</v>
      </c>
      <c r="V18" s="901"/>
      <c r="W18" s="901"/>
    </row>
    <row r="19" spans="1:23" s="888" customFormat="1" ht="26.25" customHeight="1" x14ac:dyDescent="0.2">
      <c r="B19" s="924" t="s">
        <v>951</v>
      </c>
      <c r="C19" s="925" t="s">
        <v>883</v>
      </c>
      <c r="D19" s="925" t="s">
        <v>704</v>
      </c>
      <c r="E19" s="926">
        <v>7700000</v>
      </c>
      <c r="F19" s="927"/>
      <c r="G19" s="927">
        <v>7700000</v>
      </c>
      <c r="H19" s="927"/>
      <c r="I19" s="928"/>
      <c r="J19" s="927"/>
      <c r="K19" s="927">
        <f t="shared" si="4"/>
        <v>7700000</v>
      </c>
      <c r="L19" s="927"/>
      <c r="M19" s="929">
        <f t="shared" si="3"/>
        <v>0</v>
      </c>
      <c r="N19" s="930">
        <f t="shared" si="1"/>
        <v>0</v>
      </c>
      <c r="O19" s="931"/>
      <c r="P19" s="932"/>
      <c r="Q19" s="927"/>
      <c r="R19" s="933"/>
      <c r="S19" s="903"/>
      <c r="T19" s="901" t="s">
        <v>955</v>
      </c>
      <c r="U19" s="901">
        <v>1370000</v>
      </c>
      <c r="V19" s="901"/>
      <c r="W19" s="901"/>
    </row>
    <row r="20" spans="1:23" s="888" customFormat="1" ht="26.25" customHeight="1" x14ac:dyDescent="0.2">
      <c r="B20" s="924" t="s">
        <v>951</v>
      </c>
      <c r="C20" s="925" t="s">
        <v>706</v>
      </c>
      <c r="D20" s="925" t="s">
        <v>104</v>
      </c>
      <c r="E20" s="926">
        <v>10000000</v>
      </c>
      <c r="F20" s="927"/>
      <c r="G20" s="927">
        <v>10000000</v>
      </c>
      <c r="H20" s="927"/>
      <c r="I20" s="928"/>
      <c r="J20" s="927"/>
      <c r="K20" s="927">
        <f t="shared" si="4"/>
        <v>10000000</v>
      </c>
      <c r="L20" s="927"/>
      <c r="M20" s="929">
        <f t="shared" si="3"/>
        <v>0</v>
      </c>
      <c r="N20" s="930">
        <f t="shared" si="1"/>
        <v>0</v>
      </c>
      <c r="O20" s="931"/>
      <c r="P20" s="932"/>
      <c r="Q20" s="927"/>
      <c r="R20" s="933"/>
      <c r="S20" s="903"/>
      <c r="T20" s="901"/>
      <c r="U20" s="901"/>
      <c r="V20" s="901"/>
      <c r="W20" s="901"/>
    </row>
    <row r="21" spans="1:23" s="888" customFormat="1" ht="26.25" customHeight="1" x14ac:dyDescent="0.2">
      <c r="B21" s="924" t="s">
        <v>951</v>
      </c>
      <c r="C21" s="925" t="s">
        <v>707</v>
      </c>
      <c r="D21" s="925" t="s">
        <v>708</v>
      </c>
      <c r="E21" s="926">
        <v>2550000</v>
      </c>
      <c r="F21" s="927"/>
      <c r="G21" s="927">
        <v>2550000</v>
      </c>
      <c r="H21" s="927"/>
      <c r="I21" s="928"/>
      <c r="J21" s="927"/>
      <c r="K21" s="927">
        <f t="shared" si="4"/>
        <v>2550000</v>
      </c>
      <c r="L21" s="927"/>
      <c r="M21" s="929">
        <f t="shared" si="3"/>
        <v>0</v>
      </c>
      <c r="N21" s="930">
        <f t="shared" si="1"/>
        <v>0</v>
      </c>
      <c r="O21" s="931"/>
      <c r="P21" s="932"/>
      <c r="Q21" s="927"/>
      <c r="R21" s="933"/>
      <c r="S21" s="903"/>
      <c r="T21" s="901"/>
      <c r="U21" s="901"/>
      <c r="V21" s="901"/>
      <c r="W21" s="901"/>
    </row>
    <row r="22" spans="1:23" s="888" customFormat="1" ht="26.25" customHeight="1" x14ac:dyDescent="0.2">
      <c r="B22" s="924" t="s">
        <v>951</v>
      </c>
      <c r="C22" s="925" t="s">
        <v>709</v>
      </c>
      <c r="D22" s="925" t="s">
        <v>168</v>
      </c>
      <c r="E22" s="926">
        <v>10700000</v>
      </c>
      <c r="F22" s="927"/>
      <c r="G22" s="927">
        <v>10700000</v>
      </c>
      <c r="H22" s="927"/>
      <c r="I22" s="928"/>
      <c r="J22" s="927"/>
      <c r="K22" s="927">
        <f t="shared" si="4"/>
        <v>10700000</v>
      </c>
      <c r="L22" s="927"/>
      <c r="M22" s="929">
        <f t="shared" si="3"/>
        <v>0</v>
      </c>
      <c r="N22" s="930">
        <f t="shared" si="1"/>
        <v>0</v>
      </c>
      <c r="O22" s="931"/>
      <c r="P22" s="932"/>
      <c r="Q22" s="927"/>
      <c r="R22" s="933"/>
      <c r="S22" s="903"/>
      <c r="T22" s="901"/>
      <c r="U22" s="901"/>
      <c r="V22" s="901"/>
      <c r="W22" s="901"/>
    </row>
    <row r="23" spans="1:23" s="888" customFormat="1" ht="26.25" customHeight="1" x14ac:dyDescent="0.2">
      <c r="B23" s="924" t="s">
        <v>951</v>
      </c>
      <c r="C23" s="925" t="s">
        <v>710</v>
      </c>
      <c r="D23" s="925" t="s">
        <v>711</v>
      </c>
      <c r="E23" s="926">
        <v>3800000</v>
      </c>
      <c r="F23" s="927"/>
      <c r="G23" s="927">
        <v>3800000</v>
      </c>
      <c r="H23" s="927"/>
      <c r="I23" s="928"/>
      <c r="J23" s="927"/>
      <c r="K23" s="927">
        <f t="shared" si="4"/>
        <v>3800000</v>
      </c>
      <c r="L23" s="927"/>
      <c r="M23" s="929">
        <f t="shared" si="3"/>
        <v>0</v>
      </c>
      <c r="N23" s="930">
        <f t="shared" si="1"/>
        <v>0</v>
      </c>
      <c r="O23" s="931"/>
      <c r="P23" s="932"/>
      <c r="Q23" s="927"/>
      <c r="R23" s="933"/>
      <c r="S23" s="903"/>
      <c r="T23" s="901"/>
      <c r="U23" s="901"/>
      <c r="V23" s="901"/>
      <c r="W23" s="901"/>
    </row>
    <row r="24" spans="1:23" s="888" customFormat="1" ht="26.25" customHeight="1" x14ac:dyDescent="0.2">
      <c r="B24" s="924" t="s">
        <v>951</v>
      </c>
      <c r="C24" s="925" t="s">
        <v>712</v>
      </c>
      <c r="D24" s="925" t="s">
        <v>956</v>
      </c>
      <c r="E24" s="926">
        <v>11436000</v>
      </c>
      <c r="F24" s="927"/>
      <c r="G24" s="946">
        <f>19004000-7568000</f>
        <v>11436000</v>
      </c>
      <c r="H24" s="927"/>
      <c r="I24" s="928"/>
      <c r="J24" s="927"/>
      <c r="K24" s="927">
        <f t="shared" si="4"/>
        <v>11436000</v>
      </c>
      <c r="L24" s="927"/>
      <c r="M24" s="929">
        <f t="shared" si="3"/>
        <v>0</v>
      </c>
      <c r="N24" s="930">
        <f t="shared" si="1"/>
        <v>0</v>
      </c>
      <c r="O24" s="931"/>
      <c r="P24" s="932"/>
      <c r="Q24" s="927"/>
      <c r="R24" s="933"/>
      <c r="S24" s="903" t="s">
        <v>957</v>
      </c>
      <c r="T24" s="901"/>
      <c r="U24" s="901"/>
      <c r="V24" s="901"/>
      <c r="W24" s="901"/>
    </row>
    <row r="25" spans="1:23" s="888" customFormat="1" ht="26.25" customHeight="1" x14ac:dyDescent="0.2">
      <c r="B25" s="924" t="s">
        <v>951</v>
      </c>
      <c r="C25" s="925" t="s">
        <v>947</v>
      </c>
      <c r="D25" s="925"/>
      <c r="E25" s="926"/>
      <c r="F25" s="927"/>
      <c r="G25" s="927">
        <f>U25</f>
        <v>2486000</v>
      </c>
      <c r="H25" s="927"/>
      <c r="I25" s="928"/>
      <c r="J25" s="927"/>
      <c r="K25" s="927">
        <f>SUM(G25:J25)</f>
        <v>2486000</v>
      </c>
      <c r="L25" s="927"/>
      <c r="M25" s="929">
        <f t="shared" si="3"/>
        <v>-2486000</v>
      </c>
      <c r="N25" s="930">
        <f t="shared" si="1"/>
        <v>-2486000</v>
      </c>
      <c r="O25" s="931"/>
      <c r="P25" s="932"/>
      <c r="Q25" s="927"/>
      <c r="R25" s="933"/>
      <c r="S25" s="903"/>
      <c r="T25" s="901" t="s">
        <v>948</v>
      </c>
      <c r="U25" s="901">
        <f>SUM(U17:U24)</f>
        <v>2486000</v>
      </c>
      <c r="V25" s="901"/>
      <c r="W25" s="901"/>
    </row>
    <row r="26" spans="1:23" s="888" customFormat="1" ht="26.25" hidden="1" customHeight="1" x14ac:dyDescent="0.2">
      <c r="B26" s="924"/>
      <c r="C26" s="925"/>
      <c r="D26" s="925"/>
      <c r="E26" s="926"/>
      <c r="F26" s="927"/>
      <c r="G26" s="927"/>
      <c r="H26" s="927"/>
      <c r="I26" s="928"/>
      <c r="J26" s="927"/>
      <c r="K26" s="927">
        <f t="shared" si="4"/>
        <v>0</v>
      </c>
      <c r="L26" s="927"/>
      <c r="M26" s="929">
        <f t="shared" si="3"/>
        <v>0</v>
      </c>
      <c r="N26" s="930">
        <f t="shared" si="1"/>
        <v>0</v>
      </c>
      <c r="O26" s="931"/>
      <c r="P26" s="932"/>
      <c r="Q26" s="927"/>
      <c r="R26" s="933"/>
      <c r="S26" s="903"/>
      <c r="T26" s="901"/>
      <c r="U26" s="901"/>
      <c r="V26" s="901"/>
      <c r="W26" s="901"/>
    </row>
    <row r="27" spans="1:23" s="906" customFormat="1" ht="15.75" customHeight="1" x14ac:dyDescent="0.2">
      <c r="B27" s="935" t="s">
        <v>949</v>
      </c>
      <c r="C27" s="936" t="s">
        <v>958</v>
      </c>
      <c r="D27" s="937"/>
      <c r="E27" s="938"/>
      <c r="F27" s="939"/>
      <c r="G27" s="939"/>
      <c r="H27" s="939"/>
      <c r="I27" s="940"/>
      <c r="J27" s="939"/>
      <c r="K27" s="941">
        <f>SUM(K16:K26)</f>
        <v>67355600</v>
      </c>
      <c r="L27" s="941">
        <f>SUM(L16:L26)</f>
        <v>0</v>
      </c>
      <c r="M27" s="941">
        <f>SUM(M16:M26)</f>
        <v>-2486000</v>
      </c>
      <c r="N27" s="942">
        <f>SUM(N16:N26)</f>
        <v>-2486000</v>
      </c>
      <c r="O27" s="943"/>
      <c r="P27" s="944"/>
      <c r="Q27" s="939"/>
      <c r="R27" s="945"/>
      <c r="S27" s="908"/>
      <c r="T27" s="909"/>
      <c r="U27" s="909"/>
      <c r="V27" s="909"/>
      <c r="W27" s="909"/>
    </row>
    <row r="28" spans="1:23" s="888" customFormat="1" ht="25.5" x14ac:dyDescent="0.2">
      <c r="A28" s="888">
        <v>3</v>
      </c>
      <c r="B28" s="947" t="s">
        <v>959</v>
      </c>
      <c r="C28" s="925" t="s">
        <v>715</v>
      </c>
      <c r="D28" s="925" t="s">
        <v>716</v>
      </c>
      <c r="E28" s="926">
        <v>34848000</v>
      </c>
      <c r="F28" s="927">
        <v>37950000</v>
      </c>
      <c r="G28" s="927">
        <v>17424000</v>
      </c>
      <c r="H28" s="927">
        <v>20526000</v>
      </c>
      <c r="I28" s="928"/>
      <c r="J28" s="927"/>
      <c r="K28" s="927">
        <f>SUM(G28:J28)</f>
        <v>37950000</v>
      </c>
      <c r="L28" s="927"/>
      <c r="M28" s="929">
        <f t="shared" ref="M28:M68" si="5">IF(F28="",E28-K28-L28,F28-K28-L28)</f>
        <v>0</v>
      </c>
      <c r="N28" s="930">
        <f t="shared" si="1"/>
        <v>0</v>
      </c>
      <c r="O28" s="931"/>
      <c r="P28" s="932"/>
      <c r="Q28" s="927"/>
      <c r="R28" s="933"/>
      <c r="S28" s="903" t="s">
        <v>943</v>
      </c>
      <c r="T28" s="901" t="s">
        <v>952</v>
      </c>
      <c r="U28" s="901"/>
      <c r="V28" s="901"/>
      <c r="W28" s="901"/>
    </row>
    <row r="29" spans="1:23" s="888" customFormat="1" ht="25.5" x14ac:dyDescent="0.2">
      <c r="B29" s="947" t="s">
        <v>959</v>
      </c>
      <c r="C29" s="925" t="s">
        <v>31</v>
      </c>
      <c r="D29" s="925" t="s">
        <v>168</v>
      </c>
      <c r="E29" s="926">
        <v>64710000</v>
      </c>
      <c r="F29" s="946">
        <v>68836000</v>
      </c>
      <c r="G29" s="927">
        <v>19413000</v>
      </c>
      <c r="H29" s="946">
        <v>27534400</v>
      </c>
      <c r="I29" s="928">
        <v>21888600</v>
      </c>
      <c r="J29" s="927"/>
      <c r="K29" s="927">
        <f t="shared" ref="K29:K54" si="6">SUM(G29:J29)</f>
        <v>68836000</v>
      </c>
      <c r="L29" s="927"/>
      <c r="M29" s="929">
        <f t="shared" si="5"/>
        <v>0</v>
      </c>
      <c r="N29" s="930">
        <f t="shared" si="1"/>
        <v>0</v>
      </c>
      <c r="O29" s="931"/>
      <c r="P29" s="932"/>
      <c r="Q29" s="927"/>
      <c r="R29" s="933"/>
      <c r="S29" s="903"/>
      <c r="T29" s="901" t="s">
        <v>960</v>
      </c>
      <c r="U29" s="901">
        <v>720000</v>
      </c>
      <c r="V29" s="901"/>
      <c r="W29" s="901"/>
    </row>
    <row r="30" spans="1:23" s="888" customFormat="1" ht="25.5" x14ac:dyDescent="0.2">
      <c r="B30" s="947" t="s">
        <v>959</v>
      </c>
      <c r="C30" s="925" t="s">
        <v>720</v>
      </c>
      <c r="D30" s="925" t="s">
        <v>721</v>
      </c>
      <c r="E30" s="926">
        <v>10785940</v>
      </c>
      <c r="F30" s="927"/>
      <c r="G30" s="927">
        <v>4347970</v>
      </c>
      <c r="H30" s="927">
        <v>6437970</v>
      </c>
      <c r="I30" s="928"/>
      <c r="J30" s="927"/>
      <c r="K30" s="927">
        <f t="shared" si="6"/>
        <v>10785940</v>
      </c>
      <c r="L30" s="927"/>
      <c r="M30" s="929">
        <f t="shared" si="5"/>
        <v>0</v>
      </c>
      <c r="N30" s="930">
        <f t="shared" si="1"/>
        <v>0</v>
      </c>
      <c r="O30" s="931"/>
      <c r="P30" s="932"/>
      <c r="Q30" s="927"/>
      <c r="R30" s="933"/>
      <c r="S30" s="903" t="s">
        <v>943</v>
      </c>
      <c r="T30" s="901" t="s">
        <v>953</v>
      </c>
      <c r="U30" s="901">
        <v>5076000</v>
      </c>
      <c r="V30" s="901"/>
      <c r="W30" s="901"/>
    </row>
    <row r="31" spans="1:23" s="888" customFormat="1" ht="25.5" x14ac:dyDescent="0.2">
      <c r="B31" s="947" t="s">
        <v>959</v>
      </c>
      <c r="C31" s="925" t="s">
        <v>723</v>
      </c>
      <c r="D31" s="925" t="s">
        <v>352</v>
      </c>
      <c r="E31" s="926">
        <v>20033200</v>
      </c>
      <c r="F31" s="927">
        <v>19487226</v>
      </c>
      <c r="G31" s="927">
        <v>10016600</v>
      </c>
      <c r="H31" s="927">
        <v>9470626</v>
      </c>
      <c r="I31" s="928"/>
      <c r="J31" s="927"/>
      <c r="K31" s="927">
        <f t="shared" si="6"/>
        <v>19487226</v>
      </c>
      <c r="L31" s="927"/>
      <c r="M31" s="929">
        <f t="shared" si="5"/>
        <v>0</v>
      </c>
      <c r="N31" s="930">
        <f t="shared" si="1"/>
        <v>0</v>
      </c>
      <c r="O31" s="931"/>
      <c r="P31" s="932"/>
      <c r="Q31" s="927"/>
      <c r="R31" s="933"/>
      <c r="S31" s="903" t="s">
        <v>943</v>
      </c>
      <c r="T31" s="901" t="s">
        <v>954</v>
      </c>
      <c r="U31" s="901">
        <v>2427000</v>
      </c>
      <c r="V31" s="901"/>
      <c r="W31" s="901"/>
    </row>
    <row r="32" spans="1:23" s="888" customFormat="1" ht="25.5" x14ac:dyDescent="0.2">
      <c r="B32" s="947" t="s">
        <v>959</v>
      </c>
      <c r="C32" s="925" t="s">
        <v>515</v>
      </c>
      <c r="D32" s="925" t="s">
        <v>229</v>
      </c>
      <c r="E32" s="926">
        <v>68622400</v>
      </c>
      <c r="F32" s="927">
        <v>72890400</v>
      </c>
      <c r="G32" s="927">
        <v>34300000</v>
      </c>
      <c r="H32" s="927">
        <v>38590400</v>
      </c>
      <c r="I32" s="928"/>
      <c r="J32" s="927"/>
      <c r="K32" s="927">
        <f t="shared" si="6"/>
        <v>72890400</v>
      </c>
      <c r="L32" s="927"/>
      <c r="M32" s="929">
        <f t="shared" si="5"/>
        <v>0</v>
      </c>
      <c r="N32" s="930">
        <f t="shared" si="1"/>
        <v>0</v>
      </c>
      <c r="O32" s="931"/>
      <c r="P32" s="932"/>
      <c r="Q32" s="927">
        <v>72890400</v>
      </c>
      <c r="R32" s="933"/>
      <c r="S32" s="903" t="s">
        <v>943</v>
      </c>
      <c r="T32" s="901" t="s">
        <v>955</v>
      </c>
      <c r="U32" s="901">
        <v>4258000</v>
      </c>
      <c r="V32" s="901"/>
      <c r="W32" s="901"/>
    </row>
    <row r="33" spans="2:21" s="901" customFormat="1" ht="25.5" x14ac:dyDescent="0.2">
      <c r="B33" s="947" t="s">
        <v>959</v>
      </c>
      <c r="C33" s="925" t="s">
        <v>726</v>
      </c>
      <c r="D33" s="925" t="s">
        <v>727</v>
      </c>
      <c r="E33" s="926">
        <v>4000000</v>
      </c>
      <c r="F33" s="927"/>
      <c r="G33" s="927">
        <v>4000000</v>
      </c>
      <c r="H33" s="927"/>
      <c r="I33" s="928"/>
      <c r="J33" s="927"/>
      <c r="K33" s="927">
        <f t="shared" si="6"/>
        <v>4000000</v>
      </c>
      <c r="L33" s="927"/>
      <c r="M33" s="929">
        <f t="shared" si="5"/>
        <v>0</v>
      </c>
      <c r="N33" s="930">
        <f t="shared" si="1"/>
        <v>0</v>
      </c>
      <c r="O33" s="931"/>
      <c r="P33" s="932"/>
      <c r="Q33" s="927"/>
      <c r="R33" s="933"/>
      <c r="S33" s="903"/>
      <c r="T33" s="901" t="s">
        <v>961</v>
      </c>
      <c r="U33" s="901">
        <v>3440000</v>
      </c>
    </row>
    <row r="34" spans="2:21" s="901" customFormat="1" ht="25.5" x14ac:dyDescent="0.2">
      <c r="B34" s="947" t="s">
        <v>959</v>
      </c>
      <c r="C34" s="925" t="s">
        <v>692</v>
      </c>
      <c r="D34" s="925" t="s">
        <v>416</v>
      </c>
      <c r="E34" s="926">
        <v>1477872</v>
      </c>
      <c r="F34" s="927"/>
      <c r="G34" s="927">
        <v>1477872</v>
      </c>
      <c r="H34" s="927"/>
      <c r="I34" s="928"/>
      <c r="J34" s="927"/>
      <c r="K34" s="927">
        <f t="shared" si="6"/>
        <v>1477872</v>
      </c>
      <c r="L34" s="927"/>
      <c r="M34" s="929">
        <f t="shared" si="5"/>
        <v>0</v>
      </c>
      <c r="N34" s="930">
        <f t="shared" si="1"/>
        <v>0</v>
      </c>
      <c r="O34" s="931"/>
      <c r="P34" s="932"/>
      <c r="Q34" s="927"/>
      <c r="R34" s="933"/>
      <c r="S34" s="903" t="s">
        <v>943</v>
      </c>
      <c r="T34" s="901" t="s">
        <v>944</v>
      </c>
      <c r="U34" s="901">
        <v>1768000</v>
      </c>
    </row>
    <row r="35" spans="2:21" s="901" customFormat="1" ht="25.5" x14ac:dyDescent="0.2">
      <c r="B35" s="947" t="s">
        <v>959</v>
      </c>
      <c r="C35" s="925" t="s">
        <v>99</v>
      </c>
      <c r="D35" s="925" t="s">
        <v>100</v>
      </c>
      <c r="E35" s="926">
        <v>228460000</v>
      </c>
      <c r="F35" s="927">
        <v>222905000</v>
      </c>
      <c r="G35" s="927">
        <v>68538000</v>
      </c>
      <c r="H35" s="946">
        <v>91384000</v>
      </c>
      <c r="I35" s="928">
        <v>51838000</v>
      </c>
      <c r="J35" s="927"/>
      <c r="K35" s="927">
        <f t="shared" si="6"/>
        <v>211760000</v>
      </c>
      <c r="L35" s="927">
        <f>11145000</f>
        <v>11145000</v>
      </c>
      <c r="M35" s="929">
        <f t="shared" si="5"/>
        <v>0</v>
      </c>
      <c r="N35" s="930">
        <f t="shared" si="1"/>
        <v>11145000</v>
      </c>
      <c r="O35" s="931"/>
      <c r="P35" s="932"/>
      <c r="Q35" s="927" t="s">
        <v>962</v>
      </c>
      <c r="R35" s="933"/>
      <c r="S35" s="903" t="s">
        <v>943</v>
      </c>
      <c r="T35" s="901" t="s">
        <v>963</v>
      </c>
      <c r="U35" s="901">
        <v>605000</v>
      </c>
    </row>
    <row r="36" spans="2:21" s="901" customFormat="1" ht="25.5" x14ac:dyDescent="0.2">
      <c r="B36" s="947" t="s">
        <v>959</v>
      </c>
      <c r="C36" s="925" t="s">
        <v>92</v>
      </c>
      <c r="D36" s="925" t="s">
        <v>204</v>
      </c>
      <c r="E36" s="926">
        <v>83430750</v>
      </c>
      <c r="F36" s="927">
        <v>85412200</v>
      </c>
      <c r="G36" s="927">
        <v>27532147</v>
      </c>
      <c r="H36" s="946">
        <v>36709530</v>
      </c>
      <c r="I36" s="928">
        <v>21170523</v>
      </c>
      <c r="J36" s="927"/>
      <c r="K36" s="927">
        <f t="shared" si="6"/>
        <v>85412200</v>
      </c>
      <c r="L36" s="927"/>
      <c r="M36" s="929">
        <f t="shared" si="5"/>
        <v>0</v>
      </c>
      <c r="N36" s="930">
        <f t="shared" si="1"/>
        <v>0</v>
      </c>
      <c r="O36" s="931"/>
      <c r="P36" s="932"/>
      <c r="Q36" s="927" t="s">
        <v>962</v>
      </c>
      <c r="R36" s="933"/>
      <c r="S36" s="903" t="s">
        <v>943</v>
      </c>
      <c r="T36" s="901" t="s">
        <v>964</v>
      </c>
      <c r="U36" s="901">
        <v>400000</v>
      </c>
    </row>
    <row r="37" spans="2:21" s="901" customFormat="1" ht="25.5" x14ac:dyDescent="0.2">
      <c r="B37" s="947" t="s">
        <v>959</v>
      </c>
      <c r="C37" s="925" t="s">
        <v>50</v>
      </c>
      <c r="D37" s="925" t="s">
        <v>730</v>
      </c>
      <c r="E37" s="926">
        <v>82080000</v>
      </c>
      <c r="F37" s="927"/>
      <c r="G37" s="927">
        <v>32832000</v>
      </c>
      <c r="H37" s="946">
        <v>49248000</v>
      </c>
      <c r="I37" s="928"/>
      <c r="J37" s="927"/>
      <c r="K37" s="927">
        <f t="shared" si="6"/>
        <v>82080000</v>
      </c>
      <c r="L37" s="927"/>
      <c r="M37" s="929">
        <f t="shared" si="5"/>
        <v>0</v>
      </c>
      <c r="N37" s="930">
        <f t="shared" si="1"/>
        <v>0</v>
      </c>
      <c r="O37" s="931"/>
      <c r="P37" s="932"/>
      <c r="Q37" s="927"/>
      <c r="R37" s="933"/>
      <c r="S37" s="903" t="s">
        <v>943</v>
      </c>
      <c r="T37" s="901" t="s">
        <v>965</v>
      </c>
      <c r="U37" s="901">
        <v>610000</v>
      </c>
    </row>
    <row r="38" spans="2:21" s="901" customFormat="1" ht="25.5" x14ac:dyDescent="0.2">
      <c r="B38" s="947" t="s">
        <v>959</v>
      </c>
      <c r="C38" s="925" t="s">
        <v>132</v>
      </c>
      <c r="D38" s="925" t="s">
        <v>731</v>
      </c>
      <c r="E38" s="926">
        <v>42487500</v>
      </c>
      <c r="F38" s="927"/>
      <c r="G38" s="927">
        <v>21243750</v>
      </c>
      <c r="H38" s="946">
        <v>21243750</v>
      </c>
      <c r="I38" s="928"/>
      <c r="J38" s="927"/>
      <c r="K38" s="927">
        <f t="shared" si="6"/>
        <v>42487500</v>
      </c>
      <c r="L38" s="927"/>
      <c r="M38" s="929">
        <f t="shared" si="5"/>
        <v>0</v>
      </c>
      <c r="N38" s="930">
        <f t="shared" si="1"/>
        <v>0</v>
      </c>
      <c r="O38" s="931"/>
      <c r="P38" s="932"/>
      <c r="Q38" s="927"/>
      <c r="R38" s="933"/>
      <c r="S38" s="903" t="s">
        <v>943</v>
      </c>
    </row>
    <row r="39" spans="2:21" s="901" customFormat="1" ht="25.5" x14ac:dyDescent="0.2">
      <c r="B39" s="947" t="s">
        <v>959</v>
      </c>
      <c r="C39" s="925" t="s">
        <v>966</v>
      </c>
      <c r="D39" s="948" t="s">
        <v>967</v>
      </c>
      <c r="E39" s="926"/>
      <c r="F39" s="927">
        <v>56446460</v>
      </c>
      <c r="G39" s="927">
        <v>9690240</v>
      </c>
      <c r="H39" s="946">
        <v>46500000</v>
      </c>
      <c r="I39" s="928"/>
      <c r="J39" s="927"/>
      <c r="K39" s="927">
        <f t="shared" si="6"/>
        <v>56190240</v>
      </c>
      <c r="L39" s="927"/>
      <c r="M39" s="929">
        <f>IF(F39="",E39-K39-L39,F39-K39-L39)</f>
        <v>256220</v>
      </c>
      <c r="N39" s="930">
        <f t="shared" si="1"/>
        <v>256220</v>
      </c>
      <c r="O39" s="931"/>
      <c r="P39" s="932"/>
      <c r="Q39" s="927"/>
      <c r="R39" s="933"/>
      <c r="S39" s="903" t="s">
        <v>968</v>
      </c>
    </row>
    <row r="40" spans="2:21" s="901" customFormat="1" ht="38.25" x14ac:dyDescent="0.2">
      <c r="B40" s="947" t="s">
        <v>959</v>
      </c>
      <c r="C40" s="925" t="s">
        <v>732</v>
      </c>
      <c r="D40" s="925" t="s">
        <v>727</v>
      </c>
      <c r="E40" s="934">
        <f>K40</f>
        <v>5000000</v>
      </c>
      <c r="F40" s="927"/>
      <c r="G40" s="927">
        <v>5000000</v>
      </c>
      <c r="H40" s="927"/>
      <c r="I40" s="928"/>
      <c r="J40" s="927"/>
      <c r="K40" s="927">
        <f t="shared" si="6"/>
        <v>5000000</v>
      </c>
      <c r="L40" s="927"/>
      <c r="M40" s="929">
        <f t="shared" si="5"/>
        <v>0</v>
      </c>
      <c r="N40" s="930">
        <f t="shared" si="1"/>
        <v>0</v>
      </c>
      <c r="O40" s="931"/>
      <c r="P40" s="932"/>
      <c r="Q40" s="927"/>
      <c r="R40" s="933"/>
      <c r="S40" s="903"/>
    </row>
    <row r="41" spans="2:21" s="901" customFormat="1" ht="25.5" x14ac:dyDescent="0.2">
      <c r="B41" s="947" t="s">
        <v>959</v>
      </c>
      <c r="C41" s="925" t="s">
        <v>733</v>
      </c>
      <c r="D41" s="925" t="s">
        <v>734</v>
      </c>
      <c r="E41" s="934">
        <f>K41</f>
        <v>5000000</v>
      </c>
      <c r="F41" s="927"/>
      <c r="G41" s="927">
        <v>5000000</v>
      </c>
      <c r="H41" s="927"/>
      <c r="I41" s="928"/>
      <c r="J41" s="927"/>
      <c r="K41" s="927">
        <f t="shared" si="6"/>
        <v>5000000</v>
      </c>
      <c r="L41" s="927"/>
      <c r="M41" s="929">
        <f t="shared" si="5"/>
        <v>0</v>
      </c>
      <c r="N41" s="930">
        <f t="shared" si="1"/>
        <v>0</v>
      </c>
      <c r="O41" s="931"/>
      <c r="P41" s="932"/>
      <c r="Q41" s="927"/>
      <c r="R41" s="933"/>
      <c r="S41" s="903"/>
    </row>
    <row r="42" spans="2:21" s="901" customFormat="1" ht="25.5" x14ac:dyDescent="0.2">
      <c r="B42" s="947" t="s">
        <v>959</v>
      </c>
      <c r="C42" s="925" t="s">
        <v>735</v>
      </c>
      <c r="D42" s="925" t="s">
        <v>736</v>
      </c>
      <c r="E42" s="926">
        <v>35150000</v>
      </c>
      <c r="F42" s="927"/>
      <c r="G42" s="927">
        <v>24605000</v>
      </c>
      <c r="H42" s="946">
        <v>10545000</v>
      </c>
      <c r="I42" s="928"/>
      <c r="J42" s="927"/>
      <c r="K42" s="927">
        <f t="shared" si="6"/>
        <v>35150000</v>
      </c>
      <c r="L42" s="927"/>
      <c r="M42" s="929">
        <f t="shared" si="5"/>
        <v>0</v>
      </c>
      <c r="N42" s="930">
        <f t="shared" si="1"/>
        <v>0</v>
      </c>
      <c r="O42" s="931"/>
      <c r="P42" s="932"/>
      <c r="Q42" s="927"/>
      <c r="R42" s="933"/>
      <c r="S42" s="903" t="s">
        <v>943</v>
      </c>
    </row>
    <row r="43" spans="2:21" s="901" customFormat="1" ht="25.5" x14ac:dyDescent="0.2">
      <c r="B43" s="947" t="s">
        <v>959</v>
      </c>
      <c r="C43" s="925" t="s">
        <v>170</v>
      </c>
      <c r="D43" s="925" t="s">
        <v>738</v>
      </c>
      <c r="E43" s="934">
        <f>K43</f>
        <v>9645000</v>
      </c>
      <c r="F43" s="927"/>
      <c r="G43" s="927">
        <v>9645000</v>
      </c>
      <c r="H43" s="927"/>
      <c r="I43" s="928"/>
      <c r="J43" s="927"/>
      <c r="K43" s="927">
        <f t="shared" si="6"/>
        <v>9645000</v>
      </c>
      <c r="L43" s="927"/>
      <c r="M43" s="929">
        <f t="shared" si="5"/>
        <v>0</v>
      </c>
      <c r="N43" s="930">
        <f t="shared" si="1"/>
        <v>0</v>
      </c>
      <c r="O43" s="931"/>
      <c r="P43" s="932"/>
      <c r="Q43" s="927"/>
      <c r="R43" s="933"/>
      <c r="S43" s="903"/>
    </row>
    <row r="44" spans="2:21" s="901" customFormat="1" ht="25.5" x14ac:dyDescent="0.2">
      <c r="B44" s="947" t="s">
        <v>959</v>
      </c>
      <c r="C44" s="925" t="s">
        <v>292</v>
      </c>
      <c r="D44" s="925" t="s">
        <v>104</v>
      </c>
      <c r="E44" s="926">
        <v>16800000</v>
      </c>
      <c r="F44" s="927">
        <v>16800000</v>
      </c>
      <c r="G44" s="927">
        <v>11760000</v>
      </c>
      <c r="H44" s="927">
        <v>5040000</v>
      </c>
      <c r="I44" s="928"/>
      <c r="J44" s="927"/>
      <c r="K44" s="927">
        <f t="shared" si="6"/>
        <v>16800000</v>
      </c>
      <c r="L44" s="927"/>
      <c r="M44" s="929">
        <f>IF(F44="",E44-K44-L44,F44-K44-L44)</f>
        <v>0</v>
      </c>
      <c r="N44" s="930">
        <f t="shared" si="1"/>
        <v>0</v>
      </c>
      <c r="O44" s="931"/>
      <c r="P44" s="932"/>
      <c r="Q44" s="927"/>
      <c r="R44" s="933"/>
      <c r="S44" s="903"/>
    </row>
    <row r="45" spans="2:21" s="901" customFormat="1" ht="25.5" x14ac:dyDescent="0.2">
      <c r="B45" s="947" t="s">
        <v>959</v>
      </c>
      <c r="C45" s="925" t="s">
        <v>514</v>
      </c>
      <c r="D45" s="925" t="s">
        <v>114</v>
      </c>
      <c r="E45" s="926">
        <v>1650000</v>
      </c>
      <c r="F45" s="927"/>
      <c r="G45" s="927">
        <v>1650000</v>
      </c>
      <c r="H45" s="927"/>
      <c r="I45" s="928"/>
      <c r="J45" s="927"/>
      <c r="K45" s="927">
        <f t="shared" si="6"/>
        <v>1650000</v>
      </c>
      <c r="L45" s="927"/>
      <c r="M45" s="929">
        <f t="shared" si="5"/>
        <v>0</v>
      </c>
      <c r="N45" s="930">
        <f t="shared" si="1"/>
        <v>0</v>
      </c>
      <c r="O45" s="931"/>
      <c r="P45" s="932"/>
      <c r="Q45" s="927"/>
      <c r="R45" s="933"/>
      <c r="S45" s="903" t="s">
        <v>957</v>
      </c>
    </row>
    <row r="46" spans="2:21" s="901" customFormat="1" ht="25.5" x14ac:dyDescent="0.2">
      <c r="B46" s="947" t="s">
        <v>959</v>
      </c>
      <c r="C46" s="925" t="s">
        <v>340</v>
      </c>
      <c r="D46" s="925" t="s">
        <v>341</v>
      </c>
      <c r="E46" s="926">
        <v>11340000</v>
      </c>
      <c r="F46" s="927"/>
      <c r="G46" s="927">
        <v>4000000</v>
      </c>
      <c r="H46" s="927">
        <v>7340000</v>
      </c>
      <c r="I46" s="928"/>
      <c r="J46" s="927"/>
      <c r="K46" s="927">
        <f t="shared" si="6"/>
        <v>11340000</v>
      </c>
      <c r="L46" s="927"/>
      <c r="M46" s="929">
        <f t="shared" si="5"/>
        <v>0</v>
      </c>
      <c r="N46" s="930">
        <f t="shared" si="1"/>
        <v>0</v>
      </c>
      <c r="O46" s="931"/>
      <c r="P46" s="932"/>
      <c r="Q46" s="927"/>
      <c r="R46" s="933"/>
      <c r="S46" s="903"/>
    </row>
    <row r="47" spans="2:21" s="901" customFormat="1" ht="25.5" x14ac:dyDescent="0.2">
      <c r="B47" s="947" t="s">
        <v>959</v>
      </c>
      <c r="C47" s="925" t="s">
        <v>739</v>
      </c>
      <c r="D47" s="925" t="s">
        <v>727</v>
      </c>
      <c r="E47" s="934">
        <f>K47</f>
        <v>2000000</v>
      </c>
      <c r="F47" s="927"/>
      <c r="G47" s="946">
        <v>2000000</v>
      </c>
      <c r="H47" s="927"/>
      <c r="I47" s="928"/>
      <c r="J47" s="927"/>
      <c r="K47" s="927">
        <f t="shared" si="6"/>
        <v>2000000</v>
      </c>
      <c r="L47" s="927"/>
      <c r="M47" s="929">
        <f t="shared" si="5"/>
        <v>0</v>
      </c>
      <c r="N47" s="930">
        <f t="shared" si="1"/>
        <v>0</v>
      </c>
      <c r="O47" s="931"/>
      <c r="P47" s="932"/>
      <c r="Q47" s="927"/>
      <c r="R47" s="933"/>
      <c r="S47" s="903"/>
    </row>
    <row r="48" spans="2:21" s="901" customFormat="1" ht="25.5" x14ac:dyDescent="0.2">
      <c r="B48" s="947" t="s">
        <v>959</v>
      </c>
      <c r="C48" s="925" t="s">
        <v>740</v>
      </c>
      <c r="D48" s="925" t="s">
        <v>397</v>
      </c>
      <c r="E48" s="926">
        <f>40174200+3423750</f>
        <v>43597950</v>
      </c>
      <c r="F48" s="927"/>
      <c r="G48" s="927">
        <v>40174200</v>
      </c>
      <c r="H48" s="927">
        <v>3423750</v>
      </c>
      <c r="I48" s="928"/>
      <c r="J48" s="927"/>
      <c r="K48" s="927">
        <f t="shared" si="6"/>
        <v>43597950</v>
      </c>
      <c r="L48" s="927"/>
      <c r="M48" s="929">
        <f t="shared" si="5"/>
        <v>0</v>
      </c>
      <c r="N48" s="930">
        <f t="shared" si="1"/>
        <v>0</v>
      </c>
      <c r="O48" s="931"/>
      <c r="P48" s="932"/>
      <c r="Q48" s="927"/>
      <c r="R48" s="933"/>
      <c r="S48" s="903"/>
    </row>
    <row r="49" spans="2:19" s="901" customFormat="1" ht="25.5" x14ac:dyDescent="0.2">
      <c r="B49" s="947" t="s">
        <v>959</v>
      </c>
      <c r="C49" s="925" t="s">
        <v>715</v>
      </c>
      <c r="D49" s="925" t="s">
        <v>229</v>
      </c>
      <c r="E49" s="926">
        <v>30254400</v>
      </c>
      <c r="F49" s="927">
        <v>31509500</v>
      </c>
      <c r="G49" s="927">
        <v>15127200</v>
      </c>
      <c r="H49" s="946">
        <v>16382300</v>
      </c>
      <c r="I49" s="928"/>
      <c r="J49" s="927"/>
      <c r="K49" s="927">
        <f t="shared" si="6"/>
        <v>31509500</v>
      </c>
      <c r="L49" s="927"/>
      <c r="M49" s="929">
        <f>IF(F49="",E49-K49-L49,F49-K49-L49)</f>
        <v>0</v>
      </c>
      <c r="N49" s="930">
        <f t="shared" si="1"/>
        <v>0</v>
      </c>
      <c r="O49" s="931" t="s">
        <v>969</v>
      </c>
      <c r="P49" s="932">
        <v>43977</v>
      </c>
      <c r="Q49" s="927">
        <v>31509500</v>
      </c>
      <c r="R49" s="933"/>
      <c r="S49" s="903" t="s">
        <v>943</v>
      </c>
    </row>
    <row r="50" spans="2:19" s="901" customFormat="1" ht="38.25" x14ac:dyDescent="0.2">
      <c r="B50" s="947" t="s">
        <v>959</v>
      </c>
      <c r="C50" s="925" t="s">
        <v>50</v>
      </c>
      <c r="D50" s="925" t="s">
        <v>65</v>
      </c>
      <c r="E50" s="926">
        <v>6930000</v>
      </c>
      <c r="F50" s="927">
        <v>6930000</v>
      </c>
      <c r="G50" s="927">
        <v>3150000</v>
      </c>
      <c r="H50" s="927">
        <v>3780000</v>
      </c>
      <c r="I50" s="928"/>
      <c r="J50" s="927"/>
      <c r="K50" s="927">
        <f t="shared" si="6"/>
        <v>6930000</v>
      </c>
      <c r="L50" s="927"/>
      <c r="M50" s="929">
        <f t="shared" si="5"/>
        <v>0</v>
      </c>
      <c r="N50" s="930">
        <f t="shared" si="1"/>
        <v>0</v>
      </c>
      <c r="O50" s="931"/>
      <c r="P50" s="932"/>
      <c r="Q50" s="927"/>
      <c r="R50" s="933"/>
      <c r="S50" s="903" t="s">
        <v>957</v>
      </c>
    </row>
    <row r="51" spans="2:19" s="901" customFormat="1" ht="25.5" x14ac:dyDescent="0.2">
      <c r="B51" s="947" t="s">
        <v>959</v>
      </c>
      <c r="C51" s="925" t="s">
        <v>363</v>
      </c>
      <c r="D51" s="925" t="s">
        <v>339</v>
      </c>
      <c r="E51" s="926">
        <v>8859200</v>
      </c>
      <c r="F51" s="927"/>
      <c r="G51" s="927">
        <v>8859200</v>
      </c>
      <c r="H51" s="927"/>
      <c r="I51" s="928"/>
      <c r="J51" s="927"/>
      <c r="K51" s="927">
        <f t="shared" si="6"/>
        <v>8859200</v>
      </c>
      <c r="L51" s="927"/>
      <c r="M51" s="929">
        <f t="shared" si="5"/>
        <v>0</v>
      </c>
      <c r="N51" s="930">
        <f t="shared" si="1"/>
        <v>0</v>
      </c>
      <c r="O51" s="931"/>
      <c r="P51" s="932"/>
      <c r="Q51" s="927"/>
      <c r="R51" s="933"/>
      <c r="S51" s="903" t="s">
        <v>943</v>
      </c>
    </row>
    <row r="52" spans="2:19" s="901" customFormat="1" ht="25.5" x14ac:dyDescent="0.2">
      <c r="B52" s="947" t="s">
        <v>959</v>
      </c>
      <c r="C52" s="925" t="s">
        <v>970</v>
      </c>
      <c r="D52" s="925" t="s">
        <v>742</v>
      </c>
      <c r="E52" s="926">
        <v>5880000</v>
      </c>
      <c r="F52" s="927"/>
      <c r="G52" s="927">
        <v>2940000</v>
      </c>
      <c r="H52" s="927">
        <v>2940000</v>
      </c>
      <c r="I52" s="928"/>
      <c r="J52" s="927"/>
      <c r="K52" s="927">
        <f t="shared" si="6"/>
        <v>5880000</v>
      </c>
      <c r="L52" s="927"/>
      <c r="M52" s="929">
        <f t="shared" si="5"/>
        <v>0</v>
      </c>
      <c r="N52" s="930">
        <f t="shared" si="1"/>
        <v>0</v>
      </c>
      <c r="O52" s="931"/>
      <c r="P52" s="932"/>
      <c r="Q52" s="927"/>
      <c r="R52" s="933"/>
      <c r="S52" s="903" t="s">
        <v>943</v>
      </c>
    </row>
    <row r="53" spans="2:19" s="901" customFormat="1" ht="25.5" x14ac:dyDescent="0.2">
      <c r="B53" s="947" t="s">
        <v>959</v>
      </c>
      <c r="C53" s="925" t="s">
        <v>743</v>
      </c>
      <c r="D53" s="925" t="s">
        <v>744</v>
      </c>
      <c r="E53" s="926">
        <v>3800000</v>
      </c>
      <c r="F53" s="927"/>
      <c r="G53" s="927">
        <v>3800000</v>
      </c>
      <c r="H53" s="927"/>
      <c r="I53" s="928"/>
      <c r="J53" s="927"/>
      <c r="K53" s="927">
        <f t="shared" si="6"/>
        <v>3800000</v>
      </c>
      <c r="L53" s="927"/>
      <c r="M53" s="929">
        <f t="shared" si="5"/>
        <v>0</v>
      </c>
      <c r="N53" s="930">
        <f t="shared" si="1"/>
        <v>0</v>
      </c>
      <c r="O53" s="931"/>
      <c r="P53" s="932"/>
      <c r="Q53" s="927"/>
      <c r="R53" s="933"/>
      <c r="S53" s="903"/>
    </row>
    <row r="54" spans="2:19" s="901" customFormat="1" ht="25.5" x14ac:dyDescent="0.2">
      <c r="B54" s="947" t="s">
        <v>959</v>
      </c>
      <c r="C54" s="925" t="s">
        <v>158</v>
      </c>
      <c r="D54" s="925" t="s">
        <v>971</v>
      </c>
      <c r="E54" s="926">
        <v>3850000</v>
      </c>
      <c r="F54" s="927"/>
      <c r="G54" s="927">
        <v>3850000</v>
      </c>
      <c r="H54" s="927"/>
      <c r="I54" s="928"/>
      <c r="J54" s="927"/>
      <c r="K54" s="927">
        <f t="shared" si="6"/>
        <v>3850000</v>
      </c>
      <c r="L54" s="927"/>
      <c r="M54" s="929">
        <f t="shared" si="5"/>
        <v>0</v>
      </c>
      <c r="N54" s="930">
        <f t="shared" si="1"/>
        <v>0</v>
      </c>
      <c r="O54" s="931"/>
      <c r="P54" s="932"/>
      <c r="Q54" s="927"/>
      <c r="R54" s="933"/>
      <c r="S54" s="903"/>
    </row>
    <row r="55" spans="2:19" s="901" customFormat="1" ht="25.5" x14ac:dyDescent="0.2">
      <c r="B55" s="947" t="s">
        <v>959</v>
      </c>
      <c r="C55" s="925" t="s">
        <v>745</v>
      </c>
      <c r="D55" s="925" t="s">
        <v>746</v>
      </c>
      <c r="E55" s="926">
        <v>27885000</v>
      </c>
      <c r="F55" s="927"/>
      <c r="G55" s="927">
        <v>27885000</v>
      </c>
      <c r="H55" s="927"/>
      <c r="I55" s="928"/>
      <c r="J55" s="927"/>
      <c r="K55" s="927">
        <f t="shared" ref="K55:K63" si="7">SUM(G55:J55)</f>
        <v>27885000</v>
      </c>
      <c r="L55" s="927"/>
      <c r="M55" s="929">
        <f t="shared" si="5"/>
        <v>0</v>
      </c>
      <c r="N55" s="930">
        <f t="shared" si="1"/>
        <v>0</v>
      </c>
      <c r="O55" s="931"/>
      <c r="P55" s="932"/>
      <c r="Q55" s="927"/>
      <c r="R55" s="933"/>
      <c r="S55" s="903" t="s">
        <v>943</v>
      </c>
    </row>
    <row r="56" spans="2:19" s="901" customFormat="1" ht="25.5" x14ac:dyDescent="0.2">
      <c r="B56" s="947" t="s">
        <v>959</v>
      </c>
      <c r="C56" s="925" t="s">
        <v>747</v>
      </c>
      <c r="D56" s="925" t="s">
        <v>146</v>
      </c>
      <c r="E56" s="926">
        <v>1330000</v>
      </c>
      <c r="F56" s="927"/>
      <c r="G56" s="927">
        <v>1330000</v>
      </c>
      <c r="H56" s="927"/>
      <c r="I56" s="928"/>
      <c r="J56" s="927"/>
      <c r="K56" s="927">
        <f t="shared" si="7"/>
        <v>1330000</v>
      </c>
      <c r="L56" s="927"/>
      <c r="M56" s="929">
        <f t="shared" si="5"/>
        <v>0</v>
      </c>
      <c r="N56" s="930">
        <f t="shared" si="1"/>
        <v>0</v>
      </c>
      <c r="O56" s="931"/>
      <c r="P56" s="932"/>
      <c r="Q56" s="927"/>
      <c r="R56" s="933"/>
      <c r="S56" s="903" t="s">
        <v>968</v>
      </c>
    </row>
    <row r="57" spans="2:19" s="901" customFormat="1" ht="25.5" x14ac:dyDescent="0.2">
      <c r="B57" s="947" t="s">
        <v>959</v>
      </c>
      <c r="C57" s="925" t="s">
        <v>748</v>
      </c>
      <c r="D57" s="925" t="s">
        <v>57</v>
      </c>
      <c r="E57" s="926">
        <v>2760000</v>
      </c>
      <c r="F57" s="927"/>
      <c r="G57" s="927">
        <v>2760000</v>
      </c>
      <c r="H57" s="927"/>
      <c r="I57" s="928"/>
      <c r="J57" s="927"/>
      <c r="K57" s="927">
        <f t="shared" si="7"/>
        <v>2760000</v>
      </c>
      <c r="L57" s="927"/>
      <c r="M57" s="929">
        <f t="shared" si="5"/>
        <v>0</v>
      </c>
      <c r="N57" s="930">
        <f t="shared" si="1"/>
        <v>0</v>
      </c>
      <c r="O57" s="931"/>
      <c r="P57" s="932"/>
      <c r="Q57" s="927"/>
      <c r="R57" s="933"/>
      <c r="S57" s="903" t="s">
        <v>968</v>
      </c>
    </row>
    <row r="58" spans="2:19" s="901" customFormat="1" ht="38.25" x14ac:dyDescent="0.2">
      <c r="B58" s="947" t="s">
        <v>959</v>
      </c>
      <c r="C58" s="925" t="s">
        <v>215</v>
      </c>
      <c r="D58" s="925" t="s">
        <v>750</v>
      </c>
      <c r="E58" s="926">
        <v>29551609</v>
      </c>
      <c r="F58" s="927">
        <v>29551609</v>
      </c>
      <c r="G58" s="946">
        <v>29551609</v>
      </c>
      <c r="H58" s="927"/>
      <c r="I58" s="928"/>
      <c r="J58" s="927"/>
      <c r="K58" s="927">
        <f t="shared" si="7"/>
        <v>29551609</v>
      </c>
      <c r="L58" s="927"/>
      <c r="M58" s="929">
        <f t="shared" si="5"/>
        <v>0</v>
      </c>
      <c r="N58" s="930">
        <f t="shared" si="1"/>
        <v>0</v>
      </c>
      <c r="O58" s="931" t="s">
        <v>972</v>
      </c>
      <c r="P58" s="932">
        <v>43975</v>
      </c>
      <c r="Q58" s="927">
        <v>29551609</v>
      </c>
      <c r="R58" s="933"/>
      <c r="S58" s="903" t="s">
        <v>943</v>
      </c>
    </row>
    <row r="59" spans="2:19" s="901" customFormat="1" ht="25.5" x14ac:dyDescent="0.2">
      <c r="B59" s="947" t="s">
        <v>959</v>
      </c>
      <c r="C59" s="925" t="s">
        <v>973</v>
      </c>
      <c r="D59" s="925" t="s">
        <v>974</v>
      </c>
      <c r="E59" s="926">
        <f>1000000+796000</f>
        <v>1796000</v>
      </c>
      <c r="F59" s="927"/>
      <c r="G59" s="946">
        <v>1000000</v>
      </c>
      <c r="H59" s="927">
        <v>796000</v>
      </c>
      <c r="I59" s="928"/>
      <c r="J59" s="927"/>
      <c r="K59" s="927">
        <f t="shared" si="7"/>
        <v>1796000</v>
      </c>
      <c r="L59" s="927"/>
      <c r="M59" s="929">
        <f t="shared" si="5"/>
        <v>0</v>
      </c>
      <c r="N59" s="930">
        <f t="shared" si="1"/>
        <v>0</v>
      </c>
      <c r="O59" s="931"/>
      <c r="P59" s="932"/>
      <c r="Q59" s="927"/>
      <c r="R59" s="933"/>
      <c r="S59" s="903"/>
    </row>
    <row r="60" spans="2:19" s="901" customFormat="1" ht="25.5" x14ac:dyDescent="0.2">
      <c r="B60" s="947" t="s">
        <v>959</v>
      </c>
      <c r="C60" s="925" t="s">
        <v>970</v>
      </c>
      <c r="D60" s="925" t="s">
        <v>975</v>
      </c>
      <c r="E60" s="926">
        <v>2419000</v>
      </c>
      <c r="F60" s="927"/>
      <c r="G60" s="946">
        <v>2419000</v>
      </c>
      <c r="H60" s="927"/>
      <c r="I60" s="928"/>
      <c r="J60" s="927"/>
      <c r="K60" s="927">
        <f t="shared" si="7"/>
        <v>2419000</v>
      </c>
      <c r="L60" s="927"/>
      <c r="M60" s="929">
        <f t="shared" si="5"/>
        <v>0</v>
      </c>
      <c r="N60" s="930">
        <f t="shared" si="1"/>
        <v>0</v>
      </c>
      <c r="O60" s="931"/>
      <c r="P60" s="932"/>
      <c r="Q60" s="927"/>
      <c r="R60" s="933"/>
      <c r="S60" s="903"/>
    </row>
    <row r="61" spans="2:19" s="901" customFormat="1" ht="25.5" x14ac:dyDescent="0.2">
      <c r="B61" s="947" t="s">
        <v>959</v>
      </c>
      <c r="C61" s="925" t="s">
        <v>118</v>
      </c>
      <c r="D61" s="925" t="s">
        <v>315</v>
      </c>
      <c r="E61" s="926">
        <v>2000000</v>
      </c>
      <c r="F61" s="927"/>
      <c r="G61" s="946">
        <v>2000000</v>
      </c>
      <c r="H61" s="927"/>
      <c r="I61" s="928"/>
      <c r="J61" s="927"/>
      <c r="K61" s="927">
        <f t="shared" si="7"/>
        <v>2000000</v>
      </c>
      <c r="L61" s="927"/>
      <c r="M61" s="929">
        <f t="shared" si="5"/>
        <v>0</v>
      </c>
      <c r="N61" s="930">
        <f t="shared" si="1"/>
        <v>0</v>
      </c>
      <c r="O61" s="931"/>
      <c r="P61" s="932"/>
      <c r="Q61" s="927"/>
      <c r="R61" s="933"/>
      <c r="S61" s="903"/>
    </row>
    <row r="62" spans="2:19" s="901" customFormat="1" ht="25.5" x14ac:dyDescent="0.2">
      <c r="B62" s="947" t="s">
        <v>959</v>
      </c>
      <c r="C62" s="925" t="s">
        <v>92</v>
      </c>
      <c r="D62" s="925" t="s">
        <v>976</v>
      </c>
      <c r="E62" s="926"/>
      <c r="F62" s="927">
        <v>5015000</v>
      </c>
      <c r="G62" s="946">
        <v>5015000</v>
      </c>
      <c r="H62" s="927"/>
      <c r="I62" s="928"/>
      <c r="J62" s="927"/>
      <c r="K62" s="927">
        <f t="shared" si="7"/>
        <v>5015000</v>
      </c>
      <c r="L62" s="927"/>
      <c r="M62" s="929">
        <f t="shared" si="5"/>
        <v>0</v>
      </c>
      <c r="N62" s="930">
        <f t="shared" si="1"/>
        <v>0</v>
      </c>
      <c r="O62" s="931"/>
      <c r="P62" s="932"/>
      <c r="Q62" s="927" t="s">
        <v>977</v>
      </c>
      <c r="R62" s="933"/>
      <c r="S62" s="903"/>
    </row>
    <row r="63" spans="2:19" s="901" customFormat="1" ht="15.75" customHeight="1" x14ac:dyDescent="0.2">
      <c r="B63" s="947" t="s">
        <v>959</v>
      </c>
      <c r="C63" s="925" t="s">
        <v>978</v>
      </c>
      <c r="D63" s="925"/>
      <c r="E63" s="926">
        <v>1000000</v>
      </c>
      <c r="F63" s="927"/>
      <c r="G63" s="946">
        <v>1000000</v>
      </c>
      <c r="H63" s="927"/>
      <c r="I63" s="928"/>
      <c r="J63" s="927"/>
      <c r="K63" s="927">
        <f t="shared" si="7"/>
        <v>1000000</v>
      </c>
      <c r="L63" s="927"/>
      <c r="M63" s="929">
        <f t="shared" si="5"/>
        <v>0</v>
      </c>
      <c r="N63" s="930">
        <f t="shared" si="1"/>
        <v>0</v>
      </c>
      <c r="O63" s="931"/>
      <c r="P63" s="932"/>
      <c r="Q63" s="927"/>
      <c r="R63" s="933"/>
      <c r="S63" s="903"/>
    </row>
    <row r="64" spans="2:19" s="901" customFormat="1" ht="15.75" customHeight="1" x14ac:dyDescent="0.2">
      <c r="B64" s="947" t="s">
        <v>959</v>
      </c>
      <c r="C64" s="925" t="s">
        <v>394</v>
      </c>
      <c r="D64" s="925" t="s">
        <v>190</v>
      </c>
      <c r="E64" s="926">
        <v>61400000</v>
      </c>
      <c r="F64" s="927"/>
      <c r="G64" s="946">
        <v>61400000</v>
      </c>
      <c r="H64" s="927"/>
      <c r="I64" s="928"/>
      <c r="J64" s="927"/>
      <c r="K64" s="927">
        <f>SUM(G64:J64)</f>
        <v>61400000</v>
      </c>
      <c r="L64" s="927"/>
      <c r="M64" s="929">
        <f t="shared" si="5"/>
        <v>0</v>
      </c>
      <c r="N64" s="930">
        <f t="shared" si="1"/>
        <v>0</v>
      </c>
      <c r="O64" s="931"/>
      <c r="P64" s="932"/>
      <c r="Q64" s="927"/>
      <c r="R64" s="933"/>
      <c r="S64" s="903"/>
    </row>
    <row r="65" spans="1:23" s="888" customFormat="1" ht="15.75" customHeight="1" x14ac:dyDescent="0.2">
      <c r="B65" s="947" t="s">
        <v>959</v>
      </c>
      <c r="C65" s="925" t="s">
        <v>979</v>
      </c>
      <c r="D65" s="925" t="s">
        <v>980</v>
      </c>
      <c r="E65" s="926">
        <v>250000</v>
      </c>
      <c r="F65" s="927"/>
      <c r="G65" s="946">
        <v>250000</v>
      </c>
      <c r="H65" s="927"/>
      <c r="I65" s="928"/>
      <c r="J65" s="927"/>
      <c r="K65" s="927">
        <f>SUM(G65:J65)</f>
        <v>250000</v>
      </c>
      <c r="L65" s="927"/>
      <c r="M65" s="929">
        <f t="shared" si="5"/>
        <v>0</v>
      </c>
      <c r="N65" s="930">
        <f t="shared" si="1"/>
        <v>0</v>
      </c>
      <c r="O65" s="931"/>
      <c r="P65" s="932"/>
      <c r="Q65" s="927"/>
      <c r="R65" s="933"/>
      <c r="S65" s="903"/>
      <c r="T65" s="901"/>
      <c r="U65" s="901"/>
      <c r="V65" s="901"/>
      <c r="W65" s="901"/>
    </row>
    <row r="66" spans="1:23" s="888" customFormat="1" ht="15.75" customHeight="1" x14ac:dyDescent="0.2">
      <c r="B66" s="947" t="s">
        <v>959</v>
      </c>
      <c r="C66" s="925" t="s">
        <v>981</v>
      </c>
      <c r="D66" s="925" t="s">
        <v>100</v>
      </c>
      <c r="E66" s="927">
        <v>1350000</v>
      </c>
      <c r="F66" s="927"/>
      <c r="G66" s="946">
        <v>1350000</v>
      </c>
      <c r="H66" s="927"/>
      <c r="I66" s="928"/>
      <c r="J66" s="927"/>
      <c r="K66" s="927">
        <f>SUM(G66:J66)</f>
        <v>1350000</v>
      </c>
      <c r="L66" s="927"/>
      <c r="M66" s="929"/>
      <c r="N66" s="930">
        <f t="shared" si="1"/>
        <v>0</v>
      </c>
      <c r="O66" s="931"/>
      <c r="P66" s="932"/>
      <c r="Q66" s="927"/>
      <c r="R66" s="933"/>
      <c r="S66" s="903"/>
      <c r="T66" s="901"/>
      <c r="U66" s="901"/>
      <c r="V66" s="901"/>
      <c r="W66" s="901"/>
    </row>
    <row r="67" spans="1:23" s="888" customFormat="1" ht="15.75" customHeight="1" x14ac:dyDescent="0.2">
      <c r="B67" s="947" t="s">
        <v>959</v>
      </c>
      <c r="C67" s="925" t="s">
        <v>982</v>
      </c>
      <c r="D67" s="925" t="s">
        <v>983</v>
      </c>
      <c r="E67" s="949">
        <v>13600000</v>
      </c>
      <c r="F67" s="927"/>
      <c r="G67" s="949">
        <v>13600000</v>
      </c>
      <c r="H67" s="927"/>
      <c r="I67" s="928"/>
      <c r="J67" s="927"/>
      <c r="K67" s="927">
        <f>SUM(G67:J67)</f>
        <v>13600000</v>
      </c>
      <c r="L67" s="927"/>
      <c r="M67" s="929"/>
      <c r="N67" s="930">
        <f t="shared" si="1"/>
        <v>0</v>
      </c>
      <c r="O67" s="931"/>
      <c r="P67" s="932"/>
      <c r="Q67" s="927"/>
      <c r="R67" s="933"/>
      <c r="S67" s="903"/>
      <c r="T67" s="901"/>
      <c r="U67" s="901"/>
      <c r="V67" s="901"/>
      <c r="W67" s="901"/>
    </row>
    <row r="68" spans="1:23" s="888" customFormat="1" ht="25.5" x14ac:dyDescent="0.2">
      <c r="B68" s="947" t="s">
        <v>959</v>
      </c>
      <c r="C68" s="925" t="s">
        <v>947</v>
      </c>
      <c r="D68" s="925"/>
      <c r="E68" s="926"/>
      <c r="F68" s="927"/>
      <c r="G68" s="927">
        <f>U68</f>
        <v>19304000</v>
      </c>
      <c r="H68" s="927"/>
      <c r="I68" s="928"/>
      <c r="J68" s="927"/>
      <c r="K68" s="927">
        <f>SUM(G68:J68)</f>
        <v>19304000</v>
      </c>
      <c r="L68" s="927"/>
      <c r="M68" s="929">
        <f t="shared" si="5"/>
        <v>-19304000</v>
      </c>
      <c r="N68" s="930">
        <f t="shared" si="1"/>
        <v>-19304000</v>
      </c>
      <c r="O68" s="931"/>
      <c r="P68" s="932"/>
      <c r="Q68" s="927"/>
      <c r="R68" s="933"/>
      <c r="S68" s="903"/>
      <c r="T68" s="901" t="s">
        <v>948</v>
      </c>
      <c r="U68" s="901">
        <f>SUM(U29:U58)</f>
        <v>19304000</v>
      </c>
      <c r="V68" s="901"/>
      <c r="W68" s="901"/>
    </row>
    <row r="69" spans="1:23" s="888" customFormat="1" ht="12.75" x14ac:dyDescent="0.2">
      <c r="B69" s="947"/>
      <c r="C69" s="925"/>
      <c r="D69" s="925"/>
      <c r="E69" s="926"/>
      <c r="F69" s="927"/>
      <c r="G69" s="927"/>
      <c r="H69" s="927"/>
      <c r="I69" s="928"/>
      <c r="J69" s="927"/>
      <c r="K69" s="927"/>
      <c r="L69" s="927"/>
      <c r="M69" s="929"/>
      <c r="N69" s="930"/>
      <c r="O69" s="931"/>
      <c r="P69" s="932"/>
      <c r="Q69" s="927"/>
      <c r="R69" s="933"/>
      <c r="S69" s="903"/>
      <c r="T69" s="901"/>
      <c r="U69" s="901"/>
      <c r="V69" s="901"/>
      <c r="W69" s="901"/>
    </row>
    <row r="70" spans="1:23" s="906" customFormat="1" ht="25.5" x14ac:dyDescent="0.2">
      <c r="B70" s="935" t="s">
        <v>949</v>
      </c>
      <c r="C70" s="936" t="s">
        <v>984</v>
      </c>
      <c r="D70" s="937"/>
      <c r="E70" s="938"/>
      <c r="F70" s="939"/>
      <c r="G70" s="939"/>
      <c r="H70" s="939"/>
      <c r="I70" s="940"/>
      <c r="J70" s="939"/>
      <c r="K70" s="950">
        <f>SUM(K28:K69)</f>
        <v>1054029637</v>
      </c>
      <c r="L70" s="950">
        <f>SUM(L28:L69)</f>
        <v>11145000</v>
      </c>
      <c r="M70" s="950">
        <f>SUM(M28:M69)</f>
        <v>-19047780</v>
      </c>
      <c r="N70" s="942">
        <f>SUM(N28:N69)</f>
        <v>-7902780</v>
      </c>
      <c r="O70" s="943"/>
      <c r="P70" s="944"/>
      <c r="Q70" s="939"/>
      <c r="R70" s="945"/>
      <c r="S70" s="908"/>
      <c r="T70" s="909"/>
      <c r="U70" s="909"/>
      <c r="V70" s="909"/>
      <c r="W70" s="909"/>
    </row>
    <row r="71" spans="1:23" s="888" customFormat="1" ht="25.5" x14ac:dyDescent="0.2">
      <c r="A71" s="888">
        <v>4</v>
      </c>
      <c r="B71" s="947" t="s">
        <v>985</v>
      </c>
      <c r="C71" s="925" t="s">
        <v>752</v>
      </c>
      <c r="D71" s="925" t="s">
        <v>526</v>
      </c>
      <c r="E71" s="934">
        <v>5089300</v>
      </c>
      <c r="F71" s="927"/>
      <c r="G71" s="927">
        <v>5000000</v>
      </c>
      <c r="H71" s="946">
        <v>89300</v>
      </c>
      <c r="I71" s="928"/>
      <c r="J71" s="927"/>
      <c r="K71" s="927">
        <f>SUM(G71:J71)</f>
        <v>5089300</v>
      </c>
      <c r="L71" s="927"/>
      <c r="M71" s="929">
        <f t="shared" ref="M71:M94" si="8">IF(F71="",E71-K71-L71,F71-K71-L71)</f>
        <v>0</v>
      </c>
      <c r="N71" s="930">
        <f t="shared" si="1"/>
        <v>0</v>
      </c>
      <c r="O71" s="931" t="s">
        <v>717</v>
      </c>
      <c r="P71" s="932">
        <v>43965</v>
      </c>
      <c r="Q71" s="927"/>
      <c r="R71" s="933"/>
      <c r="S71" s="902"/>
      <c r="T71" s="901" t="s">
        <v>952</v>
      </c>
      <c r="U71" s="901"/>
      <c r="V71" s="901"/>
      <c r="W71" s="901"/>
    </row>
    <row r="72" spans="1:23" s="888" customFormat="1" ht="12.75" x14ac:dyDescent="0.2">
      <c r="B72" s="947" t="s">
        <v>986</v>
      </c>
      <c r="C72" s="925" t="s">
        <v>50</v>
      </c>
      <c r="D72" s="925" t="s">
        <v>323</v>
      </c>
      <c r="E72" s="926">
        <v>19428000</v>
      </c>
      <c r="F72" s="927"/>
      <c r="G72" s="927">
        <v>9714000</v>
      </c>
      <c r="H72" s="946">
        <v>9714000</v>
      </c>
      <c r="I72" s="928"/>
      <c r="J72" s="927"/>
      <c r="K72" s="927">
        <f t="shared" ref="K72:K94" si="9">SUM(G72:J72)</f>
        <v>19428000</v>
      </c>
      <c r="L72" s="927"/>
      <c r="M72" s="929">
        <f t="shared" si="8"/>
        <v>0</v>
      </c>
      <c r="N72" s="930">
        <f t="shared" si="1"/>
        <v>0</v>
      </c>
      <c r="O72" s="931"/>
      <c r="P72" s="932"/>
      <c r="Q72" s="927"/>
      <c r="R72" s="933"/>
      <c r="S72" s="903" t="s">
        <v>943</v>
      </c>
      <c r="T72" s="901" t="s">
        <v>960</v>
      </c>
      <c r="U72" s="901">
        <v>640000</v>
      </c>
      <c r="V72" s="901"/>
      <c r="W72" s="901"/>
    </row>
    <row r="73" spans="1:23" s="888" customFormat="1" ht="12.75" x14ac:dyDescent="0.2">
      <c r="B73" s="947" t="s">
        <v>986</v>
      </c>
      <c r="C73" s="925" t="s">
        <v>50</v>
      </c>
      <c r="D73" s="925" t="s">
        <v>754</v>
      </c>
      <c r="E73" s="926">
        <v>3500000</v>
      </c>
      <c r="F73" s="927"/>
      <c r="G73" s="927">
        <v>1750000</v>
      </c>
      <c r="H73" s="946">
        <v>1750000</v>
      </c>
      <c r="I73" s="928"/>
      <c r="J73" s="927"/>
      <c r="K73" s="927">
        <f t="shared" si="9"/>
        <v>3500000</v>
      </c>
      <c r="L73" s="927"/>
      <c r="M73" s="929">
        <f t="shared" si="8"/>
        <v>0</v>
      </c>
      <c r="N73" s="930">
        <f t="shared" ref="N73:N137" si="10">IF($F73="",($E73-$K73),($F73-$K73))</f>
        <v>0</v>
      </c>
      <c r="O73" s="931"/>
      <c r="P73" s="932"/>
      <c r="Q73" s="927"/>
      <c r="R73" s="933"/>
      <c r="S73" s="903" t="s">
        <v>943</v>
      </c>
      <c r="T73" s="901" t="s">
        <v>953</v>
      </c>
      <c r="U73" s="901">
        <v>1371000</v>
      </c>
      <c r="V73" s="901"/>
      <c r="W73" s="901"/>
    </row>
    <row r="74" spans="1:23" s="888" customFormat="1" ht="25.5" x14ac:dyDescent="0.2">
      <c r="B74" s="947" t="s">
        <v>986</v>
      </c>
      <c r="C74" s="925" t="s">
        <v>755</v>
      </c>
      <c r="D74" s="925" t="s">
        <v>756</v>
      </c>
      <c r="E74" s="926">
        <v>2150000</v>
      </c>
      <c r="F74" s="927"/>
      <c r="G74" s="927">
        <v>2150000</v>
      </c>
      <c r="H74" s="946"/>
      <c r="I74" s="928"/>
      <c r="J74" s="927"/>
      <c r="K74" s="927">
        <f t="shared" si="9"/>
        <v>2150000</v>
      </c>
      <c r="L74" s="927"/>
      <c r="M74" s="929">
        <f t="shared" si="8"/>
        <v>0</v>
      </c>
      <c r="N74" s="930">
        <f t="shared" si="10"/>
        <v>0</v>
      </c>
      <c r="O74" s="931"/>
      <c r="P74" s="932"/>
      <c r="Q74" s="927"/>
      <c r="R74" s="933"/>
      <c r="S74" s="903" t="s">
        <v>943</v>
      </c>
      <c r="T74" s="901" t="s">
        <v>954</v>
      </c>
      <c r="U74" s="901">
        <v>3996000</v>
      </c>
      <c r="V74" s="901"/>
      <c r="W74" s="901"/>
    </row>
    <row r="75" spans="1:23" s="888" customFormat="1" ht="12.75" x14ac:dyDescent="0.2">
      <c r="B75" s="947" t="s">
        <v>986</v>
      </c>
      <c r="C75" s="925" t="s">
        <v>99</v>
      </c>
      <c r="D75" s="925" t="s">
        <v>100</v>
      </c>
      <c r="E75" s="926">
        <v>112180000</v>
      </c>
      <c r="F75" s="927">
        <v>124592000</v>
      </c>
      <c r="G75" s="927">
        <v>33645000</v>
      </c>
      <c r="H75" s="946">
        <v>44872000</v>
      </c>
      <c r="I75" s="928">
        <v>39846000</v>
      </c>
      <c r="J75" s="927"/>
      <c r="K75" s="927">
        <f t="shared" si="9"/>
        <v>118363000</v>
      </c>
      <c r="L75" s="927">
        <v>6229000</v>
      </c>
      <c r="M75" s="929">
        <f t="shared" si="8"/>
        <v>0</v>
      </c>
      <c r="N75" s="930">
        <f t="shared" si="10"/>
        <v>6229000</v>
      </c>
      <c r="O75" s="931" t="s">
        <v>725</v>
      </c>
      <c r="P75" s="932"/>
      <c r="Q75" s="927"/>
      <c r="R75" s="933"/>
      <c r="S75" s="903" t="s">
        <v>943</v>
      </c>
      <c r="T75" s="901" t="s">
        <v>955</v>
      </c>
      <c r="U75" s="901">
        <v>1700000</v>
      </c>
      <c r="V75" s="901"/>
      <c r="W75" s="901"/>
    </row>
    <row r="76" spans="1:23" s="888" customFormat="1" ht="12.75" x14ac:dyDescent="0.2">
      <c r="B76" s="947" t="s">
        <v>986</v>
      </c>
      <c r="C76" s="925" t="s">
        <v>107</v>
      </c>
      <c r="D76" s="925" t="s">
        <v>156</v>
      </c>
      <c r="E76" s="926">
        <v>21640000</v>
      </c>
      <c r="F76" s="927"/>
      <c r="G76" s="927">
        <v>6000000</v>
      </c>
      <c r="H76" s="946">
        <v>12000000</v>
      </c>
      <c r="I76" s="928"/>
      <c r="J76" s="927"/>
      <c r="K76" s="927">
        <f t="shared" si="9"/>
        <v>18000000</v>
      </c>
      <c r="L76" s="927"/>
      <c r="M76" s="929">
        <f t="shared" si="8"/>
        <v>3640000</v>
      </c>
      <c r="N76" s="930">
        <f t="shared" si="10"/>
        <v>3640000</v>
      </c>
      <c r="O76" s="931"/>
      <c r="P76" s="932"/>
      <c r="Q76" s="927"/>
      <c r="R76" s="933"/>
      <c r="S76" s="903"/>
      <c r="T76" s="901" t="s">
        <v>961</v>
      </c>
      <c r="U76" s="901">
        <v>1280000</v>
      </c>
      <c r="V76" s="901"/>
      <c r="W76" s="901"/>
    </row>
    <row r="77" spans="1:23" s="888" customFormat="1" ht="25.5" x14ac:dyDescent="0.2">
      <c r="B77" s="947" t="s">
        <v>986</v>
      </c>
      <c r="C77" s="925" t="s">
        <v>515</v>
      </c>
      <c r="D77" s="925" t="s">
        <v>229</v>
      </c>
      <c r="E77" s="926">
        <v>51584330</v>
      </c>
      <c r="F77" s="927">
        <v>39461400</v>
      </c>
      <c r="G77" s="927">
        <v>25750000</v>
      </c>
      <c r="H77" s="946">
        <v>13711400</v>
      </c>
      <c r="I77" s="928"/>
      <c r="J77" s="927"/>
      <c r="K77" s="927">
        <f t="shared" si="9"/>
        <v>39461400</v>
      </c>
      <c r="L77" s="927"/>
      <c r="M77" s="929">
        <f t="shared" si="8"/>
        <v>0</v>
      </c>
      <c r="N77" s="930">
        <f t="shared" si="10"/>
        <v>0</v>
      </c>
      <c r="O77" s="931" t="s">
        <v>729</v>
      </c>
      <c r="P77" s="932">
        <v>43964</v>
      </c>
      <c r="Q77" s="927">
        <v>39461400</v>
      </c>
      <c r="R77" s="933"/>
      <c r="S77" s="903" t="s">
        <v>943</v>
      </c>
      <c r="T77" s="901" t="s">
        <v>944</v>
      </c>
      <c r="U77" s="901">
        <v>320000</v>
      </c>
      <c r="V77" s="901"/>
      <c r="W77" s="901"/>
    </row>
    <row r="78" spans="1:23" s="888" customFormat="1" ht="12.75" x14ac:dyDescent="0.2">
      <c r="B78" s="947" t="s">
        <v>986</v>
      </c>
      <c r="C78" s="925" t="s">
        <v>132</v>
      </c>
      <c r="D78" s="925" t="s">
        <v>731</v>
      </c>
      <c r="E78" s="926">
        <v>15273880</v>
      </c>
      <c r="F78" s="927"/>
      <c r="G78" s="927">
        <v>7636940</v>
      </c>
      <c r="H78" s="946">
        <v>7636940</v>
      </c>
      <c r="I78" s="928"/>
      <c r="J78" s="927"/>
      <c r="K78" s="927">
        <f t="shared" si="9"/>
        <v>15273880</v>
      </c>
      <c r="L78" s="927"/>
      <c r="M78" s="929">
        <f t="shared" si="8"/>
        <v>0</v>
      </c>
      <c r="N78" s="930">
        <f t="shared" si="10"/>
        <v>0</v>
      </c>
      <c r="O78" s="931"/>
      <c r="P78" s="932"/>
      <c r="Q78" s="927"/>
      <c r="R78" s="933"/>
      <c r="S78" s="903" t="s">
        <v>943</v>
      </c>
      <c r="T78" s="901" t="s">
        <v>944</v>
      </c>
      <c r="U78" s="901">
        <v>490000</v>
      </c>
      <c r="V78" s="901"/>
      <c r="W78" s="901"/>
    </row>
    <row r="79" spans="1:23" s="888" customFormat="1" ht="12.75" x14ac:dyDescent="0.2">
      <c r="B79" s="947" t="s">
        <v>986</v>
      </c>
      <c r="C79" s="925" t="s">
        <v>292</v>
      </c>
      <c r="D79" s="925" t="s">
        <v>104</v>
      </c>
      <c r="E79" s="926">
        <v>5250000</v>
      </c>
      <c r="F79" s="927"/>
      <c r="G79" s="927">
        <v>5250000</v>
      </c>
      <c r="H79" s="927"/>
      <c r="I79" s="928"/>
      <c r="J79" s="927"/>
      <c r="K79" s="927">
        <f t="shared" si="9"/>
        <v>5250000</v>
      </c>
      <c r="L79" s="927"/>
      <c r="M79" s="929">
        <f t="shared" si="8"/>
        <v>0</v>
      </c>
      <c r="N79" s="930">
        <f t="shared" si="10"/>
        <v>0</v>
      </c>
      <c r="O79" s="931"/>
      <c r="P79" s="932"/>
      <c r="Q79" s="927"/>
      <c r="R79" s="933"/>
      <c r="S79" s="903"/>
      <c r="T79" s="901" t="s">
        <v>963</v>
      </c>
      <c r="U79" s="901">
        <v>320000</v>
      </c>
      <c r="V79" s="901"/>
      <c r="W79" s="901"/>
    </row>
    <row r="80" spans="1:23" s="888" customFormat="1" ht="25.5" x14ac:dyDescent="0.2">
      <c r="B80" s="947" t="s">
        <v>986</v>
      </c>
      <c r="C80" s="925" t="s">
        <v>514</v>
      </c>
      <c r="D80" s="925" t="s">
        <v>114</v>
      </c>
      <c r="E80" s="926">
        <v>1650000</v>
      </c>
      <c r="F80" s="927"/>
      <c r="G80" s="927">
        <v>1650000</v>
      </c>
      <c r="H80" s="927"/>
      <c r="I80" s="928"/>
      <c r="J80" s="927"/>
      <c r="K80" s="927">
        <f t="shared" si="9"/>
        <v>1650000</v>
      </c>
      <c r="L80" s="927"/>
      <c r="M80" s="929">
        <f t="shared" si="8"/>
        <v>0</v>
      </c>
      <c r="N80" s="930">
        <f t="shared" si="10"/>
        <v>0</v>
      </c>
      <c r="O80" s="931"/>
      <c r="P80" s="932"/>
      <c r="Q80" s="927"/>
      <c r="R80" s="933"/>
      <c r="S80" s="903" t="s">
        <v>957</v>
      </c>
      <c r="T80" s="901" t="s">
        <v>964</v>
      </c>
      <c r="U80" s="901">
        <v>320000</v>
      </c>
      <c r="V80" s="901"/>
      <c r="W80" s="901"/>
    </row>
    <row r="81" spans="1:23" s="888" customFormat="1" ht="12.75" x14ac:dyDescent="0.2">
      <c r="B81" s="947" t="s">
        <v>986</v>
      </c>
      <c r="C81" s="925" t="s">
        <v>346</v>
      </c>
      <c r="D81" s="925" t="s">
        <v>757</v>
      </c>
      <c r="E81" s="926">
        <v>25363286</v>
      </c>
      <c r="F81" s="927"/>
      <c r="G81" s="927">
        <v>12681643</v>
      </c>
      <c r="H81" s="927"/>
      <c r="I81" s="928"/>
      <c r="J81" s="927"/>
      <c r="K81" s="927">
        <f t="shared" si="9"/>
        <v>12681643</v>
      </c>
      <c r="L81" s="927"/>
      <c r="M81" s="929">
        <f t="shared" si="8"/>
        <v>12681643</v>
      </c>
      <c r="N81" s="930">
        <f t="shared" si="10"/>
        <v>12681643</v>
      </c>
      <c r="O81" s="931"/>
      <c r="P81" s="932"/>
      <c r="Q81" s="927"/>
      <c r="R81" s="933"/>
      <c r="S81" s="903"/>
      <c r="T81" s="901"/>
      <c r="U81" s="901"/>
      <c r="V81" s="901"/>
      <c r="W81" s="901"/>
    </row>
    <row r="82" spans="1:23" s="888" customFormat="1" ht="12.75" x14ac:dyDescent="0.2">
      <c r="B82" s="947" t="s">
        <v>986</v>
      </c>
      <c r="C82" s="925" t="s">
        <v>740</v>
      </c>
      <c r="D82" s="925" t="s">
        <v>397</v>
      </c>
      <c r="E82" s="926">
        <v>3423750</v>
      </c>
      <c r="F82" s="927"/>
      <c r="G82" s="946">
        <v>3423750</v>
      </c>
      <c r="H82" s="927"/>
      <c r="I82" s="928"/>
      <c r="J82" s="927"/>
      <c r="K82" s="927">
        <f t="shared" si="9"/>
        <v>3423750</v>
      </c>
      <c r="L82" s="927"/>
      <c r="M82" s="929">
        <f t="shared" si="8"/>
        <v>0</v>
      </c>
      <c r="N82" s="930">
        <f t="shared" si="10"/>
        <v>0</v>
      </c>
      <c r="O82" s="931"/>
      <c r="P82" s="932"/>
      <c r="Q82" s="927"/>
      <c r="R82" s="933"/>
      <c r="S82" s="903"/>
      <c r="T82" s="901"/>
      <c r="U82" s="901"/>
      <c r="V82" s="901"/>
      <c r="W82" s="901"/>
    </row>
    <row r="83" spans="1:23" s="888" customFormat="1" ht="12.75" x14ac:dyDescent="0.2">
      <c r="B83" s="947" t="s">
        <v>986</v>
      </c>
      <c r="C83" s="925" t="s">
        <v>363</v>
      </c>
      <c r="D83" s="925" t="s">
        <v>339</v>
      </c>
      <c r="E83" s="926">
        <v>2350000</v>
      </c>
      <c r="F83" s="927"/>
      <c r="G83" s="946">
        <v>2350000</v>
      </c>
      <c r="H83" s="927"/>
      <c r="I83" s="928"/>
      <c r="J83" s="927"/>
      <c r="K83" s="927">
        <f t="shared" si="9"/>
        <v>2350000</v>
      </c>
      <c r="L83" s="927"/>
      <c r="M83" s="929">
        <f t="shared" si="8"/>
        <v>0</v>
      </c>
      <c r="N83" s="930">
        <f t="shared" si="10"/>
        <v>0</v>
      </c>
      <c r="O83" s="931"/>
      <c r="P83" s="932"/>
      <c r="Q83" s="927"/>
      <c r="R83" s="933"/>
      <c r="S83" s="903" t="s">
        <v>943</v>
      </c>
      <c r="T83" s="901"/>
      <c r="U83" s="901"/>
      <c r="V83" s="901"/>
      <c r="W83" s="901"/>
    </row>
    <row r="84" spans="1:23" s="888" customFormat="1" ht="12.75" x14ac:dyDescent="0.2">
      <c r="B84" s="947" t="s">
        <v>986</v>
      </c>
      <c r="C84" s="925" t="s">
        <v>164</v>
      </c>
      <c r="D84" s="925" t="s">
        <v>173</v>
      </c>
      <c r="E84" s="926">
        <v>22641000</v>
      </c>
      <c r="F84" s="927"/>
      <c r="G84" s="946">
        <v>22641000</v>
      </c>
      <c r="H84" s="927"/>
      <c r="I84" s="928"/>
      <c r="J84" s="927"/>
      <c r="K84" s="927">
        <f t="shared" si="9"/>
        <v>22641000</v>
      </c>
      <c r="L84" s="927"/>
      <c r="M84" s="929">
        <f t="shared" si="8"/>
        <v>0</v>
      </c>
      <c r="N84" s="930">
        <f t="shared" si="10"/>
        <v>0</v>
      </c>
      <c r="O84" s="931"/>
      <c r="P84" s="932"/>
      <c r="Q84" s="927"/>
      <c r="R84" s="933"/>
      <c r="S84" s="903"/>
      <c r="T84" s="901"/>
      <c r="U84" s="901"/>
      <c r="V84" s="901"/>
      <c r="W84" s="901"/>
    </row>
    <row r="85" spans="1:23" s="888" customFormat="1" ht="12.75" x14ac:dyDescent="0.2">
      <c r="B85" s="947" t="s">
        <v>986</v>
      </c>
      <c r="C85" s="925" t="s">
        <v>118</v>
      </c>
      <c r="D85" s="925" t="s">
        <v>301</v>
      </c>
      <c r="E85" s="926">
        <v>28517050</v>
      </c>
      <c r="F85" s="927"/>
      <c r="G85" s="946">
        <v>28517050</v>
      </c>
      <c r="H85" s="927"/>
      <c r="I85" s="928"/>
      <c r="J85" s="927"/>
      <c r="K85" s="927">
        <f t="shared" si="9"/>
        <v>28517050</v>
      </c>
      <c r="L85" s="927"/>
      <c r="M85" s="929">
        <f t="shared" si="8"/>
        <v>0</v>
      </c>
      <c r="N85" s="930">
        <f t="shared" si="10"/>
        <v>0</v>
      </c>
      <c r="O85" s="931"/>
      <c r="P85" s="932"/>
      <c r="Q85" s="927"/>
      <c r="R85" s="933"/>
      <c r="S85" s="903"/>
      <c r="T85" s="901"/>
      <c r="U85" s="901"/>
      <c r="V85" s="901"/>
      <c r="W85" s="901"/>
    </row>
    <row r="86" spans="1:23" s="888" customFormat="1" ht="25.5" x14ac:dyDescent="0.2">
      <c r="B86" s="947" t="s">
        <v>986</v>
      </c>
      <c r="C86" s="925" t="s">
        <v>532</v>
      </c>
      <c r="D86" s="925" t="s">
        <v>204</v>
      </c>
      <c r="E86" s="926">
        <v>26858900</v>
      </c>
      <c r="F86" s="927"/>
      <c r="G86" s="946">
        <v>26858900</v>
      </c>
      <c r="H86" s="927"/>
      <c r="I86" s="928"/>
      <c r="J86" s="927"/>
      <c r="K86" s="927">
        <f t="shared" si="9"/>
        <v>26858900</v>
      </c>
      <c r="L86" s="927"/>
      <c r="M86" s="929">
        <f t="shared" si="8"/>
        <v>0</v>
      </c>
      <c r="N86" s="930">
        <f t="shared" si="10"/>
        <v>0</v>
      </c>
      <c r="O86" s="931"/>
      <c r="P86" s="932"/>
      <c r="Q86" s="927"/>
      <c r="R86" s="933"/>
      <c r="S86" s="903" t="s">
        <v>943</v>
      </c>
      <c r="T86" s="901"/>
      <c r="U86" s="901"/>
      <c r="V86" s="901"/>
      <c r="W86" s="901"/>
    </row>
    <row r="87" spans="1:23" s="888" customFormat="1" ht="25.5" x14ac:dyDescent="0.2">
      <c r="B87" s="947" t="s">
        <v>986</v>
      </c>
      <c r="C87" s="925" t="s">
        <v>31</v>
      </c>
      <c r="D87" s="925" t="s">
        <v>168</v>
      </c>
      <c r="E87" s="926">
        <v>24932000</v>
      </c>
      <c r="F87" s="927"/>
      <c r="G87" s="946">
        <v>24932000</v>
      </c>
      <c r="H87" s="927"/>
      <c r="I87" s="928"/>
      <c r="J87" s="927"/>
      <c r="K87" s="927">
        <f t="shared" si="9"/>
        <v>24932000</v>
      </c>
      <c r="L87" s="927"/>
      <c r="M87" s="929">
        <f t="shared" si="8"/>
        <v>0</v>
      </c>
      <c r="N87" s="930">
        <f t="shared" si="10"/>
        <v>0</v>
      </c>
      <c r="O87" s="931"/>
      <c r="P87" s="932"/>
      <c r="Q87" s="927"/>
      <c r="R87" s="933"/>
      <c r="S87" s="903"/>
      <c r="T87" s="901"/>
      <c r="U87" s="901"/>
      <c r="V87" s="901"/>
      <c r="W87" s="901"/>
    </row>
    <row r="88" spans="1:23" s="888" customFormat="1" ht="12.75" x14ac:dyDescent="0.2">
      <c r="B88" s="947" t="s">
        <v>986</v>
      </c>
      <c r="C88" s="925" t="s">
        <v>987</v>
      </c>
      <c r="D88" s="925" t="s">
        <v>173</v>
      </c>
      <c r="E88" s="926">
        <v>11236000</v>
      </c>
      <c r="F88" s="927"/>
      <c r="G88" s="946">
        <v>11236000</v>
      </c>
      <c r="H88" s="927"/>
      <c r="I88" s="928"/>
      <c r="J88" s="927"/>
      <c r="K88" s="927">
        <f t="shared" si="9"/>
        <v>11236000</v>
      </c>
      <c r="L88" s="927"/>
      <c r="M88" s="929">
        <f t="shared" si="8"/>
        <v>0</v>
      </c>
      <c r="N88" s="930">
        <f t="shared" si="10"/>
        <v>0</v>
      </c>
      <c r="O88" s="931"/>
      <c r="P88" s="932"/>
      <c r="Q88" s="927"/>
      <c r="R88" s="933"/>
      <c r="S88" s="903"/>
      <c r="T88" s="901"/>
      <c r="U88" s="901"/>
      <c r="V88" s="901"/>
      <c r="W88" s="901"/>
    </row>
    <row r="89" spans="1:23" s="888" customFormat="1" ht="25.5" x14ac:dyDescent="0.2">
      <c r="B89" s="947" t="s">
        <v>986</v>
      </c>
      <c r="C89" s="925" t="s">
        <v>988</v>
      </c>
      <c r="D89" s="925" t="s">
        <v>989</v>
      </c>
      <c r="E89" s="926">
        <v>526000</v>
      </c>
      <c r="F89" s="927"/>
      <c r="G89" s="946">
        <v>526000</v>
      </c>
      <c r="H89" s="927"/>
      <c r="I89" s="928"/>
      <c r="J89" s="927"/>
      <c r="K89" s="927">
        <f t="shared" si="9"/>
        <v>526000</v>
      </c>
      <c r="L89" s="927"/>
      <c r="M89" s="929">
        <f t="shared" si="8"/>
        <v>0</v>
      </c>
      <c r="N89" s="930">
        <f t="shared" si="10"/>
        <v>0</v>
      </c>
      <c r="O89" s="931"/>
      <c r="P89" s="932"/>
      <c r="Q89" s="927"/>
      <c r="R89" s="933"/>
      <c r="S89" s="903"/>
      <c r="T89" s="901"/>
      <c r="U89" s="901"/>
      <c r="V89" s="901"/>
      <c r="W89" s="901"/>
    </row>
    <row r="90" spans="1:23" s="888" customFormat="1" ht="12.75" x14ac:dyDescent="0.2">
      <c r="B90" s="947" t="s">
        <v>986</v>
      </c>
      <c r="C90" s="925" t="s">
        <v>394</v>
      </c>
      <c r="D90" s="925" t="s">
        <v>190</v>
      </c>
      <c r="E90" s="926">
        <v>10640000</v>
      </c>
      <c r="F90" s="927"/>
      <c r="G90" s="946">
        <v>10640000</v>
      </c>
      <c r="H90" s="927"/>
      <c r="I90" s="928"/>
      <c r="J90" s="927"/>
      <c r="K90" s="927">
        <f t="shared" si="9"/>
        <v>10640000</v>
      </c>
      <c r="L90" s="927"/>
      <c r="M90" s="929">
        <f t="shared" si="8"/>
        <v>0</v>
      </c>
      <c r="N90" s="930">
        <f t="shared" si="10"/>
        <v>0</v>
      </c>
      <c r="O90" s="931"/>
      <c r="P90" s="932"/>
      <c r="Q90" s="927"/>
      <c r="R90" s="933"/>
      <c r="S90" s="903"/>
      <c r="T90" s="901"/>
      <c r="U90" s="901"/>
      <c r="V90" s="901"/>
      <c r="W90" s="901"/>
    </row>
    <row r="91" spans="1:23" s="888" customFormat="1" ht="12.75" x14ac:dyDescent="0.2">
      <c r="B91" s="947" t="s">
        <v>986</v>
      </c>
      <c r="C91" s="925" t="s">
        <v>990</v>
      </c>
      <c r="D91" s="925"/>
      <c r="E91" s="926">
        <v>1510063</v>
      </c>
      <c r="F91" s="927"/>
      <c r="G91" s="946">
        <v>1510063</v>
      </c>
      <c r="H91" s="927"/>
      <c r="I91" s="928"/>
      <c r="J91" s="927"/>
      <c r="K91" s="927">
        <f t="shared" si="9"/>
        <v>1510063</v>
      </c>
      <c r="L91" s="927"/>
      <c r="M91" s="929">
        <f t="shared" si="8"/>
        <v>0</v>
      </c>
      <c r="N91" s="930">
        <f t="shared" si="10"/>
        <v>0</v>
      </c>
      <c r="O91" s="931"/>
      <c r="P91" s="932"/>
      <c r="Q91" s="927"/>
      <c r="R91" s="933"/>
      <c r="S91" s="903"/>
      <c r="T91" s="901"/>
      <c r="U91" s="901"/>
      <c r="V91" s="901"/>
      <c r="W91" s="901"/>
    </row>
    <row r="92" spans="1:23" s="888" customFormat="1" ht="25.5" x14ac:dyDescent="0.2">
      <c r="B92" s="947" t="s">
        <v>986</v>
      </c>
      <c r="C92" s="925" t="s">
        <v>945</v>
      </c>
      <c r="D92" s="925" t="s">
        <v>559</v>
      </c>
      <c r="E92" s="927">
        <v>8245000</v>
      </c>
      <c r="F92" s="927"/>
      <c r="G92" s="946">
        <v>8245000</v>
      </c>
      <c r="H92" s="927"/>
      <c r="I92" s="928"/>
      <c r="J92" s="927"/>
      <c r="K92" s="927">
        <f t="shared" si="9"/>
        <v>8245000</v>
      </c>
      <c r="L92" s="927"/>
      <c r="M92" s="929">
        <f t="shared" si="8"/>
        <v>0</v>
      </c>
      <c r="N92" s="930">
        <f t="shared" si="10"/>
        <v>0</v>
      </c>
      <c r="O92" s="931"/>
      <c r="P92" s="932"/>
      <c r="Q92" s="927"/>
      <c r="R92" s="933"/>
      <c r="S92" s="903"/>
      <c r="T92" s="901"/>
      <c r="U92" s="901"/>
      <c r="V92" s="901"/>
      <c r="W92" s="901"/>
    </row>
    <row r="93" spans="1:23" s="888" customFormat="1" ht="12.75" x14ac:dyDescent="0.2">
      <c r="B93" s="947" t="s">
        <v>986</v>
      </c>
      <c r="C93" s="925" t="s">
        <v>947</v>
      </c>
      <c r="D93" s="925"/>
      <c r="E93" s="926"/>
      <c r="F93" s="927"/>
      <c r="G93" s="927">
        <f>U93</f>
        <v>10437000</v>
      </c>
      <c r="H93" s="927"/>
      <c r="I93" s="928"/>
      <c r="J93" s="927"/>
      <c r="K93" s="927">
        <f t="shared" si="9"/>
        <v>10437000</v>
      </c>
      <c r="L93" s="927"/>
      <c r="M93" s="929">
        <f t="shared" si="8"/>
        <v>-10437000</v>
      </c>
      <c r="N93" s="930">
        <f t="shared" si="10"/>
        <v>-10437000</v>
      </c>
      <c r="O93" s="931"/>
      <c r="P93" s="932"/>
      <c r="Q93" s="927"/>
      <c r="R93" s="933"/>
      <c r="S93" s="903"/>
      <c r="T93" s="901" t="s">
        <v>948</v>
      </c>
      <c r="U93" s="901">
        <f>SUM(U72:U86)</f>
        <v>10437000</v>
      </c>
      <c r="V93" s="901"/>
      <c r="W93" s="901"/>
    </row>
    <row r="94" spans="1:23" s="888" customFormat="1" ht="12.75" x14ac:dyDescent="0.2">
      <c r="B94" s="947"/>
      <c r="C94" s="925"/>
      <c r="D94" s="925"/>
      <c r="E94" s="926"/>
      <c r="F94" s="927"/>
      <c r="G94" s="927"/>
      <c r="H94" s="927"/>
      <c r="I94" s="928"/>
      <c r="J94" s="927"/>
      <c r="K94" s="927">
        <f t="shared" si="9"/>
        <v>0</v>
      </c>
      <c r="L94" s="927"/>
      <c r="M94" s="929">
        <f t="shared" si="8"/>
        <v>0</v>
      </c>
      <c r="N94" s="930">
        <f t="shared" si="10"/>
        <v>0</v>
      </c>
      <c r="O94" s="931"/>
      <c r="P94" s="932"/>
      <c r="Q94" s="927"/>
      <c r="R94" s="933"/>
      <c r="S94" s="903"/>
      <c r="T94" s="901"/>
      <c r="U94" s="901"/>
      <c r="V94" s="901"/>
      <c r="W94" s="901"/>
    </row>
    <row r="95" spans="1:23" s="906" customFormat="1" ht="20.25" customHeight="1" x14ac:dyDescent="0.2">
      <c r="B95" s="935" t="s">
        <v>949</v>
      </c>
      <c r="C95" s="936" t="s">
        <v>991</v>
      </c>
      <c r="D95" s="937"/>
      <c r="E95" s="938"/>
      <c r="F95" s="939"/>
      <c r="G95" s="939"/>
      <c r="H95" s="939"/>
      <c r="I95" s="940"/>
      <c r="J95" s="939"/>
      <c r="K95" s="941">
        <f>SUM(K71:K94)</f>
        <v>392163986</v>
      </c>
      <c r="L95" s="941">
        <f>SUM(L71:L94)</f>
        <v>6229000</v>
      </c>
      <c r="M95" s="941">
        <f>SUM(M71:M94)</f>
        <v>5884643</v>
      </c>
      <c r="N95" s="942">
        <f>SUM(N71:N94)</f>
        <v>12113643</v>
      </c>
      <c r="O95" s="943"/>
      <c r="P95" s="944"/>
      <c r="Q95" s="939"/>
      <c r="R95" s="945"/>
      <c r="S95" s="908"/>
      <c r="T95" s="909"/>
      <c r="U95" s="909"/>
      <c r="V95" s="909"/>
      <c r="W95" s="909"/>
    </row>
    <row r="96" spans="1:23" s="911" customFormat="1" ht="25.5" x14ac:dyDescent="0.2">
      <c r="A96" s="911">
        <v>5</v>
      </c>
      <c r="B96" s="951" t="s">
        <v>758</v>
      </c>
      <c r="C96" s="948" t="s">
        <v>759</v>
      </c>
      <c r="D96" s="948" t="s">
        <v>695</v>
      </c>
      <c r="E96" s="934"/>
      <c r="F96" s="946">
        <v>116113574</v>
      </c>
      <c r="G96" s="946">
        <v>44758247</v>
      </c>
      <c r="H96" s="946">
        <v>119335327</v>
      </c>
      <c r="I96" s="952"/>
      <c r="J96" s="946"/>
      <c r="K96" s="946">
        <f t="shared" ref="K96:K101" si="11">SUM(G96:J96)</f>
        <v>164093574</v>
      </c>
      <c r="L96" s="946"/>
      <c r="M96" s="929">
        <f t="shared" ref="M96:M101" si="12">IF(F96="",E96-K96-L96,F96-K96-L96)</f>
        <v>-47980000</v>
      </c>
      <c r="N96" s="930">
        <f t="shared" si="10"/>
        <v>-47980000</v>
      </c>
      <c r="O96" s="953" t="s">
        <v>760</v>
      </c>
      <c r="P96" s="954">
        <v>43913</v>
      </c>
      <c r="Q96" s="946"/>
      <c r="R96" s="955"/>
      <c r="S96" s="903" t="s">
        <v>943</v>
      </c>
      <c r="T96" s="912"/>
      <c r="U96" s="912"/>
      <c r="V96" s="912"/>
      <c r="W96" s="912"/>
    </row>
    <row r="97" spans="1:23" s="888" customFormat="1" ht="25.5" x14ac:dyDescent="0.2">
      <c r="B97" s="947" t="s">
        <v>758</v>
      </c>
      <c r="C97" s="925" t="s">
        <v>761</v>
      </c>
      <c r="D97" s="925" t="s">
        <v>695</v>
      </c>
      <c r="E97" s="926">
        <v>334041823</v>
      </c>
      <c r="F97" s="927"/>
      <c r="G97" s="927">
        <v>91102316</v>
      </c>
      <c r="H97" s="946">
        <v>242939507</v>
      </c>
      <c r="I97" s="928"/>
      <c r="J97" s="927"/>
      <c r="K97" s="927">
        <f t="shared" si="11"/>
        <v>334041823</v>
      </c>
      <c r="L97" s="927"/>
      <c r="M97" s="929">
        <f t="shared" si="12"/>
        <v>0</v>
      </c>
      <c r="N97" s="930">
        <f t="shared" si="10"/>
        <v>0</v>
      </c>
      <c r="O97" s="953" t="s">
        <v>760</v>
      </c>
      <c r="P97" s="954">
        <v>43913</v>
      </c>
      <c r="Q97" s="927">
        <v>334041824</v>
      </c>
      <c r="R97" s="933"/>
      <c r="S97" s="903" t="s">
        <v>943</v>
      </c>
      <c r="T97" s="901"/>
      <c r="U97" s="901"/>
      <c r="V97" s="901"/>
      <c r="W97" s="901"/>
    </row>
    <row r="98" spans="1:23" s="888" customFormat="1" ht="38.25" x14ac:dyDescent="0.2">
      <c r="B98" s="947" t="s">
        <v>758</v>
      </c>
      <c r="C98" s="925" t="s">
        <v>992</v>
      </c>
      <c r="D98" s="925" t="s">
        <v>993</v>
      </c>
      <c r="E98" s="926">
        <v>7550000</v>
      </c>
      <c r="F98" s="927"/>
      <c r="G98" s="927">
        <v>7550000</v>
      </c>
      <c r="H98" s="946"/>
      <c r="I98" s="928"/>
      <c r="J98" s="927"/>
      <c r="K98" s="927">
        <f t="shared" si="11"/>
        <v>7550000</v>
      </c>
      <c r="L98" s="927"/>
      <c r="M98" s="929">
        <f t="shared" si="12"/>
        <v>0</v>
      </c>
      <c r="N98" s="930">
        <f t="shared" si="10"/>
        <v>0</v>
      </c>
      <c r="O98" s="953"/>
      <c r="P98" s="954"/>
      <c r="Q98" s="927"/>
      <c r="R98" s="933"/>
      <c r="S98" s="903"/>
      <c r="T98" s="901"/>
      <c r="U98" s="901"/>
      <c r="V98" s="901"/>
      <c r="W98" s="901"/>
    </row>
    <row r="99" spans="1:23" s="888" customFormat="1" ht="25.5" x14ac:dyDescent="0.2">
      <c r="B99" s="947" t="s">
        <v>758</v>
      </c>
      <c r="C99" s="925" t="s">
        <v>994</v>
      </c>
      <c r="D99" s="925" t="s">
        <v>995</v>
      </c>
      <c r="E99" s="926">
        <f>400000+500000</f>
        <v>900000</v>
      </c>
      <c r="F99" s="927"/>
      <c r="G99" s="927">
        <f>400000+500000</f>
        <v>900000</v>
      </c>
      <c r="H99" s="946"/>
      <c r="I99" s="928"/>
      <c r="J99" s="927"/>
      <c r="K99" s="927">
        <f t="shared" si="11"/>
        <v>900000</v>
      </c>
      <c r="L99" s="927"/>
      <c r="M99" s="929">
        <f t="shared" si="12"/>
        <v>0</v>
      </c>
      <c r="N99" s="930">
        <f t="shared" si="10"/>
        <v>0</v>
      </c>
      <c r="O99" s="953"/>
      <c r="P99" s="954"/>
      <c r="Q99" s="927"/>
      <c r="R99" s="933"/>
      <c r="S99" s="903"/>
      <c r="T99" s="901"/>
      <c r="U99" s="901"/>
      <c r="V99" s="901"/>
      <c r="W99" s="901"/>
    </row>
    <row r="100" spans="1:23" s="888" customFormat="1" ht="25.5" x14ac:dyDescent="0.2">
      <c r="B100" s="947" t="s">
        <v>758</v>
      </c>
      <c r="C100" s="925" t="s">
        <v>996</v>
      </c>
      <c r="D100" s="925" t="s">
        <v>980</v>
      </c>
      <c r="E100" s="926">
        <v>2000000</v>
      </c>
      <c r="F100" s="927"/>
      <c r="G100" s="927">
        <v>2000000</v>
      </c>
      <c r="H100" s="946"/>
      <c r="I100" s="928"/>
      <c r="J100" s="927"/>
      <c r="K100" s="927">
        <f t="shared" si="11"/>
        <v>2000000</v>
      </c>
      <c r="L100" s="927"/>
      <c r="M100" s="929">
        <f t="shared" si="12"/>
        <v>0</v>
      </c>
      <c r="N100" s="930">
        <f t="shared" si="10"/>
        <v>0</v>
      </c>
      <c r="O100" s="953"/>
      <c r="P100" s="954"/>
      <c r="Q100" s="927"/>
      <c r="R100" s="933"/>
      <c r="S100" s="903"/>
      <c r="T100" s="901"/>
      <c r="U100" s="901"/>
      <c r="V100" s="901"/>
      <c r="W100" s="901"/>
    </row>
    <row r="101" spans="1:23" s="888" customFormat="1" ht="25.5" x14ac:dyDescent="0.2">
      <c r="B101" s="947" t="s">
        <v>758</v>
      </c>
      <c r="C101" s="925" t="s">
        <v>947</v>
      </c>
      <c r="D101" s="925"/>
      <c r="E101" s="926"/>
      <c r="F101" s="927"/>
      <c r="G101" s="927">
        <f>U101</f>
        <v>0</v>
      </c>
      <c r="H101" s="927"/>
      <c r="I101" s="928"/>
      <c r="J101" s="927"/>
      <c r="K101" s="927">
        <f t="shared" si="11"/>
        <v>0</v>
      </c>
      <c r="L101" s="927"/>
      <c r="M101" s="929">
        <f t="shared" si="12"/>
        <v>0</v>
      </c>
      <c r="N101" s="930">
        <f t="shared" si="10"/>
        <v>0</v>
      </c>
      <c r="O101" s="931"/>
      <c r="P101" s="932"/>
      <c r="Q101" s="927"/>
      <c r="R101" s="933"/>
      <c r="S101" s="903"/>
      <c r="T101" s="901" t="s">
        <v>948</v>
      </c>
      <c r="U101" s="901">
        <f>SUM(U96:U97)</f>
        <v>0</v>
      </c>
      <c r="V101" s="901"/>
      <c r="W101" s="901"/>
    </row>
    <row r="102" spans="1:23" s="906" customFormat="1" ht="12.75" x14ac:dyDescent="0.2">
      <c r="B102" s="935" t="s">
        <v>997</v>
      </c>
      <c r="C102" s="936" t="s">
        <v>998</v>
      </c>
      <c r="D102" s="937"/>
      <c r="E102" s="938"/>
      <c r="F102" s="939"/>
      <c r="G102" s="939"/>
      <c r="H102" s="939"/>
      <c r="I102" s="940"/>
      <c r="J102" s="939"/>
      <c r="K102" s="950">
        <f>SUM(K96:K101)</f>
        <v>508585397</v>
      </c>
      <c r="L102" s="950">
        <f>SUM(L96:L101)</f>
        <v>0</v>
      </c>
      <c r="M102" s="950">
        <f>SUM(M96:M101)</f>
        <v>-47980000</v>
      </c>
      <c r="N102" s="942">
        <f>SUM(N96:N101)</f>
        <v>-47980000</v>
      </c>
      <c r="O102" s="943"/>
      <c r="P102" s="944"/>
      <c r="Q102" s="939"/>
      <c r="R102" s="945"/>
      <c r="S102" s="908"/>
      <c r="T102" s="909"/>
      <c r="U102" s="909"/>
      <c r="V102" s="909"/>
      <c r="W102" s="909"/>
    </row>
    <row r="103" spans="1:23" s="888" customFormat="1" ht="25.5" x14ac:dyDescent="0.2">
      <c r="A103" s="888">
        <v>6</v>
      </c>
      <c r="B103" s="947" t="s">
        <v>762</v>
      </c>
      <c r="C103" s="925" t="s">
        <v>201</v>
      </c>
      <c r="D103" s="925" t="s">
        <v>200</v>
      </c>
      <c r="E103" s="926">
        <v>49280572</v>
      </c>
      <c r="F103" s="927">
        <v>49259836</v>
      </c>
      <c r="G103" s="927">
        <v>24640286</v>
      </c>
      <c r="H103" s="927">
        <v>19712229</v>
      </c>
      <c r="I103" s="928">
        <v>4907321</v>
      </c>
      <c r="J103" s="927"/>
      <c r="K103" s="927">
        <f>SUM(G103:J103)</f>
        <v>49259836</v>
      </c>
      <c r="L103" s="927"/>
      <c r="M103" s="929">
        <f t="shared" ref="M103:M112" si="13">IF(F103="",E103-K103-L103,F103-K103-L103)</f>
        <v>0</v>
      </c>
      <c r="N103" s="930">
        <f t="shared" si="10"/>
        <v>0</v>
      </c>
      <c r="O103" s="931"/>
      <c r="P103" s="932"/>
      <c r="Q103" s="927"/>
      <c r="R103" s="933"/>
      <c r="S103" s="902" t="s">
        <v>957</v>
      </c>
      <c r="T103" s="901" t="s">
        <v>763</v>
      </c>
      <c r="U103" s="901"/>
      <c r="V103" s="901"/>
      <c r="W103" s="901"/>
    </row>
    <row r="104" spans="1:23" s="888" customFormat="1" ht="25.5" x14ac:dyDescent="0.2">
      <c r="B104" s="947" t="s">
        <v>762</v>
      </c>
      <c r="C104" s="925" t="s">
        <v>764</v>
      </c>
      <c r="D104" s="925" t="s">
        <v>200</v>
      </c>
      <c r="E104" s="926">
        <v>20600000</v>
      </c>
      <c r="F104" s="927"/>
      <c r="G104" s="927">
        <v>20600000</v>
      </c>
      <c r="H104" s="927"/>
      <c r="I104" s="928"/>
      <c r="J104" s="927"/>
      <c r="K104" s="927">
        <f t="shared" ref="K104:K134" si="14">SUM(G104:J104)</f>
        <v>20600000</v>
      </c>
      <c r="L104" s="927"/>
      <c r="M104" s="929">
        <f t="shared" si="13"/>
        <v>0</v>
      </c>
      <c r="N104" s="930">
        <f t="shared" si="10"/>
        <v>0</v>
      </c>
      <c r="O104" s="931"/>
      <c r="P104" s="932"/>
      <c r="Q104" s="927"/>
      <c r="R104" s="933"/>
      <c r="S104" s="903" t="s">
        <v>957</v>
      </c>
      <c r="T104" s="901" t="s">
        <v>999</v>
      </c>
      <c r="U104" s="901">
        <v>1950000</v>
      </c>
      <c r="V104" s="901"/>
      <c r="W104" s="901"/>
    </row>
    <row r="105" spans="1:23" s="888" customFormat="1" ht="25.5" x14ac:dyDescent="0.2">
      <c r="B105" s="947" t="s">
        <v>762</v>
      </c>
      <c r="C105" s="925" t="s">
        <v>31</v>
      </c>
      <c r="D105" s="925" t="s">
        <v>385</v>
      </c>
      <c r="E105" s="926">
        <v>52050039</v>
      </c>
      <c r="F105" s="927">
        <v>68065463</v>
      </c>
      <c r="G105" s="927">
        <v>15615000</v>
      </c>
      <c r="H105" s="927">
        <v>52450463</v>
      </c>
      <c r="I105" s="928"/>
      <c r="J105" s="927"/>
      <c r="K105" s="927">
        <f t="shared" si="14"/>
        <v>68065463</v>
      </c>
      <c r="L105" s="927"/>
      <c r="M105" s="929">
        <f t="shared" si="13"/>
        <v>0</v>
      </c>
      <c r="N105" s="930">
        <f t="shared" si="10"/>
        <v>0</v>
      </c>
      <c r="O105" s="931"/>
      <c r="P105" s="932"/>
      <c r="Q105" s="927"/>
      <c r="R105" s="933"/>
      <c r="S105" s="903" t="s">
        <v>943</v>
      </c>
      <c r="T105" s="901" t="s">
        <v>1000</v>
      </c>
      <c r="U105" s="901">
        <v>4500000</v>
      </c>
      <c r="V105" s="901"/>
      <c r="W105" s="901"/>
    </row>
    <row r="106" spans="1:23" s="888" customFormat="1" ht="25.5" x14ac:dyDescent="0.2">
      <c r="B106" s="947" t="s">
        <v>762</v>
      </c>
      <c r="C106" s="925" t="s">
        <v>215</v>
      </c>
      <c r="D106" s="925" t="s">
        <v>216</v>
      </c>
      <c r="E106" s="926">
        <v>110176769</v>
      </c>
      <c r="F106" s="927"/>
      <c r="G106" s="927">
        <v>40064280</v>
      </c>
      <c r="H106" s="927">
        <v>40064280</v>
      </c>
      <c r="I106" s="928"/>
      <c r="J106" s="927"/>
      <c r="K106" s="927">
        <f t="shared" si="14"/>
        <v>80128560</v>
      </c>
      <c r="L106" s="927"/>
      <c r="M106" s="929">
        <f t="shared" si="13"/>
        <v>30048209</v>
      </c>
      <c r="N106" s="930">
        <f t="shared" si="10"/>
        <v>30048209</v>
      </c>
      <c r="O106" s="931"/>
      <c r="P106" s="932"/>
      <c r="Q106" s="927"/>
      <c r="R106" s="933"/>
      <c r="S106" s="903" t="s">
        <v>943</v>
      </c>
      <c r="T106" s="901" t="s">
        <v>1001</v>
      </c>
      <c r="U106" s="901">
        <v>5950000</v>
      </c>
      <c r="V106" s="901"/>
      <c r="W106" s="901"/>
    </row>
    <row r="107" spans="1:23" s="888" customFormat="1" ht="25.5" x14ac:dyDescent="0.2">
      <c r="B107" s="947" t="s">
        <v>762</v>
      </c>
      <c r="C107" s="925" t="s">
        <v>50</v>
      </c>
      <c r="D107" s="925" t="s">
        <v>323</v>
      </c>
      <c r="E107" s="926">
        <v>30676800</v>
      </c>
      <c r="F107" s="927"/>
      <c r="G107" s="927">
        <v>19521600</v>
      </c>
      <c r="H107" s="927"/>
      <c r="I107" s="928"/>
      <c r="J107" s="927"/>
      <c r="K107" s="927">
        <f t="shared" si="14"/>
        <v>19521600</v>
      </c>
      <c r="L107" s="927"/>
      <c r="M107" s="929">
        <f t="shared" si="13"/>
        <v>11155200</v>
      </c>
      <c r="N107" s="930">
        <f t="shared" si="10"/>
        <v>11155200</v>
      </c>
      <c r="O107" s="931" t="s">
        <v>767</v>
      </c>
      <c r="P107" s="932">
        <v>43941</v>
      </c>
      <c r="Q107" s="927"/>
      <c r="R107" s="933"/>
      <c r="S107" s="903" t="s">
        <v>943</v>
      </c>
      <c r="T107" s="901" t="s">
        <v>1002</v>
      </c>
      <c r="U107" s="901">
        <v>8550000</v>
      </c>
      <c r="V107" s="901"/>
      <c r="W107" s="901"/>
    </row>
    <row r="108" spans="1:23" s="888" customFormat="1" ht="25.5" x14ac:dyDescent="0.2">
      <c r="B108" s="947" t="s">
        <v>762</v>
      </c>
      <c r="C108" s="925" t="s">
        <v>99</v>
      </c>
      <c r="D108" s="925" t="s">
        <v>100</v>
      </c>
      <c r="E108" s="926">
        <v>230040000</v>
      </c>
      <c r="F108" s="927">
        <v>230330000</v>
      </c>
      <c r="G108" s="927">
        <v>69012000</v>
      </c>
      <c r="H108" s="927">
        <v>149801500</v>
      </c>
      <c r="I108" s="928"/>
      <c r="J108" s="927"/>
      <c r="K108" s="927">
        <f t="shared" si="14"/>
        <v>218813500</v>
      </c>
      <c r="L108" s="927"/>
      <c r="M108" s="929">
        <f t="shared" si="13"/>
        <v>11516500</v>
      </c>
      <c r="N108" s="930">
        <f t="shared" si="10"/>
        <v>11516500</v>
      </c>
      <c r="O108" s="931"/>
      <c r="P108" s="932"/>
      <c r="Q108" s="927"/>
      <c r="R108" s="933"/>
      <c r="S108" s="903" t="s">
        <v>943</v>
      </c>
      <c r="T108" s="901" t="s">
        <v>1003</v>
      </c>
      <c r="U108" s="901">
        <v>300000</v>
      </c>
      <c r="V108" s="901"/>
      <c r="W108" s="901"/>
    </row>
    <row r="109" spans="1:23" s="888" customFormat="1" ht="25.5" x14ac:dyDescent="0.2">
      <c r="B109" s="947" t="s">
        <v>762</v>
      </c>
      <c r="C109" s="925" t="s">
        <v>692</v>
      </c>
      <c r="D109" s="925" t="s">
        <v>176</v>
      </c>
      <c r="E109" s="926">
        <v>6845234</v>
      </c>
      <c r="F109" s="927"/>
      <c r="G109" s="927">
        <v>6845234</v>
      </c>
      <c r="H109" s="927"/>
      <c r="I109" s="928"/>
      <c r="J109" s="927"/>
      <c r="K109" s="927">
        <f t="shared" si="14"/>
        <v>6845234</v>
      </c>
      <c r="L109" s="927"/>
      <c r="M109" s="929">
        <f t="shared" si="13"/>
        <v>0</v>
      </c>
      <c r="N109" s="930">
        <f t="shared" si="10"/>
        <v>0</v>
      </c>
      <c r="O109" s="931"/>
      <c r="P109" s="932"/>
      <c r="Q109" s="927"/>
      <c r="R109" s="933"/>
      <c r="S109" s="903" t="s">
        <v>943</v>
      </c>
      <c r="T109" s="901" t="s">
        <v>1004</v>
      </c>
      <c r="U109" s="901">
        <v>1810000</v>
      </c>
      <c r="V109" s="901"/>
      <c r="W109" s="901"/>
    </row>
    <row r="110" spans="1:23" s="888" customFormat="1" ht="25.5" x14ac:dyDescent="0.2">
      <c r="B110" s="947" t="s">
        <v>762</v>
      </c>
      <c r="C110" s="925" t="s">
        <v>34</v>
      </c>
      <c r="D110" s="925" t="s">
        <v>204</v>
      </c>
      <c r="E110" s="926">
        <v>55505340</v>
      </c>
      <c r="F110" s="927">
        <v>52345480</v>
      </c>
      <c r="G110" s="927">
        <v>15137820</v>
      </c>
      <c r="H110" s="927">
        <v>20183760</v>
      </c>
      <c r="I110" s="928">
        <v>17023900</v>
      </c>
      <c r="J110" s="927"/>
      <c r="K110" s="927">
        <f t="shared" si="14"/>
        <v>52345480</v>
      </c>
      <c r="L110" s="927"/>
      <c r="M110" s="929">
        <f t="shared" si="13"/>
        <v>0</v>
      </c>
      <c r="N110" s="930">
        <f t="shared" si="10"/>
        <v>0</v>
      </c>
      <c r="O110" s="931" t="s">
        <v>768</v>
      </c>
      <c r="P110" s="932">
        <v>43942</v>
      </c>
      <c r="Q110" s="927"/>
      <c r="R110" s="933"/>
      <c r="S110" s="903" t="s">
        <v>943</v>
      </c>
      <c r="T110" s="901" t="s">
        <v>1005</v>
      </c>
      <c r="U110" s="901">
        <v>1118000</v>
      </c>
      <c r="V110" s="901"/>
      <c r="W110" s="901"/>
    </row>
    <row r="111" spans="1:23" s="888" customFormat="1" ht="25.5" x14ac:dyDescent="0.2">
      <c r="B111" s="947" t="s">
        <v>762</v>
      </c>
      <c r="C111" s="925" t="s">
        <v>118</v>
      </c>
      <c r="D111" s="925" t="s">
        <v>315</v>
      </c>
      <c r="E111" s="926">
        <v>28216000</v>
      </c>
      <c r="F111" s="927">
        <v>28286400</v>
      </c>
      <c r="G111" s="927">
        <v>11286400</v>
      </c>
      <c r="H111" s="927">
        <v>17000000</v>
      </c>
      <c r="I111" s="928"/>
      <c r="J111" s="927"/>
      <c r="K111" s="927">
        <f t="shared" si="14"/>
        <v>28286400</v>
      </c>
      <c r="L111" s="927"/>
      <c r="M111" s="929">
        <f t="shared" si="13"/>
        <v>0</v>
      </c>
      <c r="N111" s="930">
        <f t="shared" si="10"/>
        <v>0</v>
      </c>
      <c r="O111" s="931"/>
      <c r="P111" s="932"/>
      <c r="Q111" s="927"/>
      <c r="R111" s="933"/>
      <c r="S111" s="903" t="s">
        <v>957</v>
      </c>
      <c r="T111" s="901" t="s">
        <v>1006</v>
      </c>
      <c r="U111" s="901">
        <v>2138000</v>
      </c>
      <c r="V111" s="901"/>
      <c r="W111" s="901"/>
    </row>
    <row r="112" spans="1:23" s="888" customFormat="1" ht="25.5" x14ac:dyDescent="0.2">
      <c r="B112" s="947" t="s">
        <v>762</v>
      </c>
      <c r="C112" s="925" t="s">
        <v>1007</v>
      </c>
      <c r="D112" s="925" t="s">
        <v>229</v>
      </c>
      <c r="E112" s="926">
        <v>33258500</v>
      </c>
      <c r="F112" s="927">
        <v>30195000</v>
      </c>
      <c r="G112" s="927">
        <v>16629000</v>
      </c>
      <c r="H112" s="927"/>
      <c r="I112" s="928"/>
      <c r="J112" s="927"/>
      <c r="K112" s="927">
        <f t="shared" si="14"/>
        <v>16629000</v>
      </c>
      <c r="L112" s="927"/>
      <c r="M112" s="929">
        <f t="shared" si="13"/>
        <v>13566000</v>
      </c>
      <c r="N112" s="930">
        <f t="shared" si="10"/>
        <v>13566000</v>
      </c>
      <c r="O112" s="931"/>
      <c r="P112" s="932"/>
      <c r="Q112" s="927"/>
      <c r="R112" s="933"/>
      <c r="S112" s="903" t="s">
        <v>943</v>
      </c>
      <c r="T112" s="901" t="s">
        <v>1008</v>
      </c>
      <c r="U112" s="901">
        <v>3280000</v>
      </c>
      <c r="V112" s="901"/>
      <c r="W112" s="901"/>
    </row>
    <row r="113" spans="2:21" s="901" customFormat="1" ht="25.5" x14ac:dyDescent="0.2">
      <c r="B113" s="947" t="s">
        <v>762</v>
      </c>
      <c r="C113" s="925" t="s">
        <v>257</v>
      </c>
      <c r="D113" s="925" t="s">
        <v>286</v>
      </c>
      <c r="E113" s="934">
        <f>K113</f>
        <v>6875000</v>
      </c>
      <c r="F113" s="927"/>
      <c r="G113" s="927">
        <v>6875000</v>
      </c>
      <c r="H113" s="927"/>
      <c r="I113" s="928"/>
      <c r="J113" s="927"/>
      <c r="K113" s="927">
        <f t="shared" si="14"/>
        <v>6875000</v>
      </c>
      <c r="L113" s="927"/>
      <c r="M113" s="929"/>
      <c r="N113" s="930">
        <f t="shared" si="10"/>
        <v>0</v>
      </c>
      <c r="O113" s="931"/>
      <c r="P113" s="932"/>
      <c r="Q113" s="927"/>
      <c r="R113" s="933"/>
      <c r="S113" s="903"/>
      <c r="T113" s="901" t="s">
        <v>960</v>
      </c>
      <c r="U113" s="901">
        <v>2546000</v>
      </c>
    </row>
    <row r="114" spans="2:21" s="901" customFormat="1" ht="25.5" x14ac:dyDescent="0.2">
      <c r="B114" s="947" t="s">
        <v>762</v>
      </c>
      <c r="C114" s="925" t="s">
        <v>170</v>
      </c>
      <c r="D114" s="925" t="s">
        <v>171</v>
      </c>
      <c r="E114" s="926">
        <v>10220430</v>
      </c>
      <c r="F114" s="927"/>
      <c r="G114" s="927">
        <v>10220430</v>
      </c>
      <c r="H114" s="927"/>
      <c r="I114" s="928"/>
      <c r="J114" s="927"/>
      <c r="K114" s="927">
        <f t="shared" si="14"/>
        <v>10220430</v>
      </c>
      <c r="L114" s="927"/>
      <c r="M114" s="929">
        <f t="shared" ref="M114:M134" si="15">IF(F114="",E114-K114-L114,F114-K114-L114)</f>
        <v>0</v>
      </c>
      <c r="N114" s="930">
        <f t="shared" si="10"/>
        <v>0</v>
      </c>
      <c r="O114" s="931"/>
      <c r="P114" s="932"/>
      <c r="Q114" s="927"/>
      <c r="R114" s="933"/>
      <c r="S114" s="903" t="s">
        <v>171</v>
      </c>
      <c r="T114" s="901" t="s">
        <v>953</v>
      </c>
      <c r="U114" s="901">
        <v>460000</v>
      </c>
    </row>
    <row r="115" spans="2:21" s="901" customFormat="1" ht="25.5" x14ac:dyDescent="0.2">
      <c r="B115" s="947" t="s">
        <v>762</v>
      </c>
      <c r="C115" s="925" t="s">
        <v>514</v>
      </c>
      <c r="D115" s="925" t="s">
        <v>114</v>
      </c>
      <c r="E115" s="926">
        <v>13612000</v>
      </c>
      <c r="F115" s="927"/>
      <c r="G115" s="927">
        <v>13612000</v>
      </c>
      <c r="H115" s="927"/>
      <c r="I115" s="928"/>
      <c r="J115" s="927"/>
      <c r="K115" s="927">
        <f t="shared" si="14"/>
        <v>13612000</v>
      </c>
      <c r="L115" s="927"/>
      <c r="M115" s="929">
        <f t="shared" si="15"/>
        <v>0</v>
      </c>
      <c r="N115" s="930">
        <f t="shared" si="10"/>
        <v>0</v>
      </c>
      <c r="O115" s="931"/>
      <c r="P115" s="932"/>
      <c r="Q115" s="927"/>
      <c r="R115" s="933"/>
      <c r="S115" s="903" t="s">
        <v>968</v>
      </c>
      <c r="T115" s="901" t="s">
        <v>964</v>
      </c>
      <c r="U115" s="901">
        <v>1600000</v>
      </c>
    </row>
    <row r="116" spans="2:21" s="901" customFormat="1" ht="38.25" x14ac:dyDescent="0.2">
      <c r="B116" s="947" t="s">
        <v>762</v>
      </c>
      <c r="C116" s="925" t="s">
        <v>50</v>
      </c>
      <c r="D116" s="925" t="s">
        <v>65</v>
      </c>
      <c r="E116" s="926">
        <v>7260000</v>
      </c>
      <c r="F116" s="927"/>
      <c r="G116" s="927">
        <v>2178000</v>
      </c>
      <c r="H116" s="927">
        <v>5082000</v>
      </c>
      <c r="I116" s="928"/>
      <c r="J116" s="927"/>
      <c r="K116" s="927">
        <f t="shared" si="14"/>
        <v>7260000</v>
      </c>
      <c r="L116" s="927"/>
      <c r="M116" s="929">
        <f t="shared" si="15"/>
        <v>0</v>
      </c>
      <c r="N116" s="930">
        <f t="shared" si="10"/>
        <v>0</v>
      </c>
      <c r="O116" s="931"/>
      <c r="P116" s="932"/>
      <c r="Q116" s="927"/>
      <c r="R116" s="933"/>
      <c r="S116" s="903" t="s">
        <v>957</v>
      </c>
    </row>
    <row r="117" spans="2:21" s="901" customFormat="1" ht="25.5" x14ac:dyDescent="0.2">
      <c r="B117" s="947" t="s">
        <v>762</v>
      </c>
      <c r="C117" s="925" t="s">
        <v>34</v>
      </c>
      <c r="D117" s="925" t="s">
        <v>695</v>
      </c>
      <c r="E117" s="926">
        <v>5115000</v>
      </c>
      <c r="F117" s="927"/>
      <c r="G117" s="927">
        <v>5115000</v>
      </c>
      <c r="H117" s="927"/>
      <c r="I117" s="928"/>
      <c r="J117" s="927"/>
      <c r="K117" s="927">
        <f t="shared" si="14"/>
        <v>5115000</v>
      </c>
      <c r="L117" s="927"/>
      <c r="M117" s="929">
        <f t="shared" si="15"/>
        <v>0</v>
      </c>
      <c r="N117" s="930">
        <f t="shared" si="10"/>
        <v>0</v>
      </c>
      <c r="O117" s="931"/>
      <c r="P117" s="932"/>
      <c r="Q117" s="927"/>
      <c r="R117" s="933"/>
      <c r="S117" s="903" t="s">
        <v>943</v>
      </c>
    </row>
    <row r="118" spans="2:21" s="901" customFormat="1" ht="25.5" x14ac:dyDescent="0.2">
      <c r="B118" s="947" t="s">
        <v>762</v>
      </c>
      <c r="C118" s="925" t="s">
        <v>107</v>
      </c>
      <c r="D118" s="925" t="s">
        <v>341</v>
      </c>
      <c r="E118" s="926"/>
      <c r="F118" s="927">
        <v>8640000</v>
      </c>
      <c r="G118" s="927">
        <v>4000000</v>
      </c>
      <c r="H118" s="927">
        <v>4640000</v>
      </c>
      <c r="I118" s="928"/>
      <c r="J118" s="927"/>
      <c r="K118" s="927">
        <f t="shared" si="14"/>
        <v>8640000</v>
      </c>
      <c r="L118" s="927"/>
      <c r="M118" s="929">
        <f t="shared" si="15"/>
        <v>0</v>
      </c>
      <c r="N118" s="930">
        <f t="shared" si="10"/>
        <v>0</v>
      </c>
      <c r="O118" s="931"/>
      <c r="P118" s="932"/>
      <c r="Q118" s="927"/>
      <c r="R118" s="933"/>
      <c r="S118" s="903"/>
    </row>
    <row r="119" spans="2:21" s="901" customFormat="1" ht="25.5" x14ac:dyDescent="0.2">
      <c r="B119" s="947" t="s">
        <v>762</v>
      </c>
      <c r="C119" s="925" t="s">
        <v>771</v>
      </c>
      <c r="D119" s="925" t="s">
        <v>772</v>
      </c>
      <c r="E119" s="926">
        <v>550000</v>
      </c>
      <c r="F119" s="927"/>
      <c r="G119" s="927">
        <v>550000</v>
      </c>
      <c r="H119" s="927"/>
      <c r="I119" s="928"/>
      <c r="J119" s="927"/>
      <c r="K119" s="927">
        <f t="shared" si="14"/>
        <v>550000</v>
      </c>
      <c r="L119" s="927"/>
      <c r="M119" s="929">
        <f t="shared" si="15"/>
        <v>0</v>
      </c>
      <c r="N119" s="930">
        <f t="shared" si="10"/>
        <v>0</v>
      </c>
      <c r="O119" s="931"/>
      <c r="P119" s="932"/>
      <c r="Q119" s="927"/>
      <c r="R119" s="933"/>
      <c r="S119" s="903" t="s">
        <v>943</v>
      </c>
    </row>
    <row r="120" spans="2:21" s="901" customFormat="1" ht="25.5" x14ac:dyDescent="0.2">
      <c r="B120" s="947" t="s">
        <v>762</v>
      </c>
      <c r="C120" s="925" t="s">
        <v>773</v>
      </c>
      <c r="D120" s="925"/>
      <c r="E120" s="926">
        <v>15480000</v>
      </c>
      <c r="F120" s="927"/>
      <c r="G120" s="927">
        <v>15480000</v>
      </c>
      <c r="H120" s="927"/>
      <c r="I120" s="928"/>
      <c r="J120" s="927"/>
      <c r="K120" s="927">
        <f t="shared" si="14"/>
        <v>15480000</v>
      </c>
      <c r="L120" s="927"/>
      <c r="M120" s="929">
        <f t="shared" si="15"/>
        <v>0</v>
      </c>
      <c r="N120" s="930">
        <f t="shared" si="10"/>
        <v>0</v>
      </c>
      <c r="O120" s="931"/>
      <c r="P120" s="932"/>
      <c r="Q120" s="927"/>
      <c r="R120" s="933"/>
      <c r="S120" s="903"/>
    </row>
    <row r="121" spans="2:21" s="901" customFormat="1" ht="25.5" x14ac:dyDescent="0.2">
      <c r="B121" s="947" t="s">
        <v>762</v>
      </c>
      <c r="C121" s="925" t="s">
        <v>158</v>
      </c>
      <c r="D121" s="925" t="s">
        <v>247</v>
      </c>
      <c r="E121" s="926">
        <v>4875000</v>
      </c>
      <c r="F121" s="927"/>
      <c r="G121" s="927">
        <v>4875000</v>
      </c>
      <c r="H121" s="927"/>
      <c r="I121" s="928"/>
      <c r="J121" s="927"/>
      <c r="K121" s="927">
        <f t="shared" si="14"/>
        <v>4875000</v>
      </c>
      <c r="L121" s="927"/>
      <c r="M121" s="929">
        <f t="shared" si="15"/>
        <v>0</v>
      </c>
      <c r="N121" s="930">
        <f t="shared" si="10"/>
        <v>0</v>
      </c>
      <c r="O121" s="931"/>
      <c r="P121" s="932"/>
      <c r="Q121" s="927"/>
      <c r="R121" s="933"/>
      <c r="S121" s="903" t="s">
        <v>943</v>
      </c>
    </row>
    <row r="122" spans="2:21" s="901" customFormat="1" ht="25.5" x14ac:dyDescent="0.2">
      <c r="B122" s="947" t="s">
        <v>762</v>
      </c>
      <c r="C122" s="925" t="s">
        <v>774</v>
      </c>
      <c r="D122" s="925" t="s">
        <v>229</v>
      </c>
      <c r="E122" s="926">
        <v>126060000</v>
      </c>
      <c r="F122" s="927"/>
      <c r="G122" s="927">
        <v>126060000</v>
      </c>
      <c r="H122" s="927"/>
      <c r="I122" s="928"/>
      <c r="J122" s="927"/>
      <c r="K122" s="927">
        <f t="shared" si="14"/>
        <v>126060000</v>
      </c>
      <c r="L122" s="927"/>
      <c r="M122" s="929">
        <f t="shared" si="15"/>
        <v>0</v>
      </c>
      <c r="N122" s="930">
        <f t="shared" si="10"/>
        <v>0</v>
      </c>
      <c r="O122" s="931" t="s">
        <v>775</v>
      </c>
      <c r="P122" s="932">
        <v>43978</v>
      </c>
      <c r="Q122" s="927"/>
      <c r="R122" s="933"/>
      <c r="S122" s="903" t="s">
        <v>943</v>
      </c>
    </row>
    <row r="123" spans="2:21" s="901" customFormat="1" ht="25.5" x14ac:dyDescent="0.2">
      <c r="B123" s="947" t="s">
        <v>762</v>
      </c>
      <c r="C123" s="925" t="s">
        <v>776</v>
      </c>
      <c r="D123" s="925" t="s">
        <v>229</v>
      </c>
      <c r="E123" s="926">
        <v>64878000</v>
      </c>
      <c r="F123" s="927"/>
      <c r="G123" s="927">
        <v>32439000</v>
      </c>
      <c r="H123" s="927"/>
      <c r="I123" s="928"/>
      <c r="J123" s="927"/>
      <c r="K123" s="927">
        <f t="shared" si="14"/>
        <v>32439000</v>
      </c>
      <c r="L123" s="927"/>
      <c r="M123" s="929">
        <f t="shared" si="15"/>
        <v>32439000</v>
      </c>
      <c r="N123" s="930">
        <f t="shared" si="10"/>
        <v>32439000</v>
      </c>
      <c r="O123" s="931" t="s">
        <v>775</v>
      </c>
      <c r="P123" s="932">
        <v>43978</v>
      </c>
      <c r="Q123" s="927"/>
      <c r="R123" s="933"/>
      <c r="S123" s="903" t="s">
        <v>943</v>
      </c>
    </row>
    <row r="124" spans="2:21" s="901" customFormat="1" ht="25.5" x14ac:dyDescent="0.2">
      <c r="B124" s="947" t="s">
        <v>762</v>
      </c>
      <c r="C124" s="925" t="s">
        <v>394</v>
      </c>
      <c r="D124" s="925" t="s">
        <v>162</v>
      </c>
      <c r="E124" s="926">
        <v>31600000</v>
      </c>
      <c r="F124" s="927"/>
      <c r="G124" s="927">
        <v>31600000</v>
      </c>
      <c r="H124" s="927"/>
      <c r="I124" s="928"/>
      <c r="J124" s="927"/>
      <c r="K124" s="927">
        <f t="shared" si="14"/>
        <v>31600000</v>
      </c>
      <c r="L124" s="927"/>
      <c r="M124" s="929">
        <f t="shared" si="15"/>
        <v>0</v>
      </c>
      <c r="N124" s="930">
        <f t="shared" si="10"/>
        <v>0</v>
      </c>
      <c r="O124" s="931"/>
      <c r="P124" s="932"/>
      <c r="Q124" s="927"/>
      <c r="R124" s="933"/>
      <c r="S124" s="903"/>
    </row>
    <row r="125" spans="2:21" s="901" customFormat="1" ht="25.5" x14ac:dyDescent="0.2">
      <c r="B125" s="947" t="s">
        <v>762</v>
      </c>
      <c r="C125" s="925" t="s">
        <v>777</v>
      </c>
      <c r="D125" s="925" t="s">
        <v>778</v>
      </c>
      <c r="E125" s="934">
        <f>K125</f>
        <v>5328400</v>
      </c>
      <c r="F125" s="927"/>
      <c r="G125" s="927">
        <v>5328400</v>
      </c>
      <c r="H125" s="927"/>
      <c r="I125" s="928"/>
      <c r="J125" s="927"/>
      <c r="K125" s="927">
        <f t="shared" si="14"/>
        <v>5328400</v>
      </c>
      <c r="L125" s="927"/>
      <c r="M125" s="929">
        <f t="shared" si="15"/>
        <v>0</v>
      </c>
      <c r="N125" s="930">
        <f t="shared" si="10"/>
        <v>0</v>
      </c>
      <c r="O125" s="931"/>
      <c r="P125" s="932"/>
      <c r="Q125" s="927"/>
      <c r="R125" s="933"/>
      <c r="S125" s="903" t="s">
        <v>943</v>
      </c>
    </row>
    <row r="126" spans="2:21" s="901" customFormat="1" ht="25.5" x14ac:dyDescent="0.2">
      <c r="B126" s="947" t="s">
        <v>762</v>
      </c>
      <c r="C126" s="925" t="s">
        <v>966</v>
      </c>
      <c r="D126" s="948" t="s">
        <v>967</v>
      </c>
      <c r="E126" s="934">
        <f>K126</f>
        <v>46500000</v>
      </c>
      <c r="F126" s="927"/>
      <c r="G126" s="927">
        <v>46500000</v>
      </c>
      <c r="H126" s="927"/>
      <c r="I126" s="928"/>
      <c r="J126" s="927"/>
      <c r="K126" s="927">
        <f t="shared" si="14"/>
        <v>46500000</v>
      </c>
      <c r="L126" s="927"/>
      <c r="M126" s="929">
        <f t="shared" si="15"/>
        <v>0</v>
      </c>
      <c r="N126" s="930">
        <f t="shared" si="10"/>
        <v>0</v>
      </c>
      <c r="O126" s="931"/>
      <c r="P126" s="932"/>
      <c r="Q126" s="927"/>
      <c r="R126" s="933"/>
      <c r="S126" s="903" t="s">
        <v>957</v>
      </c>
    </row>
    <row r="127" spans="2:21" s="901" customFormat="1" ht="25.5" x14ac:dyDescent="0.2">
      <c r="B127" s="947" t="s">
        <v>762</v>
      </c>
      <c r="C127" s="925" t="s">
        <v>1009</v>
      </c>
      <c r="D127" s="925" t="s">
        <v>229</v>
      </c>
      <c r="E127" s="934">
        <v>29150000</v>
      </c>
      <c r="F127" s="927"/>
      <c r="G127" s="946">
        <v>29150000</v>
      </c>
      <c r="H127" s="927"/>
      <c r="I127" s="928"/>
      <c r="J127" s="927"/>
      <c r="K127" s="927">
        <f t="shared" si="14"/>
        <v>29150000</v>
      </c>
      <c r="L127" s="927"/>
      <c r="M127" s="929">
        <f t="shared" si="15"/>
        <v>0</v>
      </c>
      <c r="N127" s="930">
        <f t="shared" si="10"/>
        <v>0</v>
      </c>
      <c r="O127" s="931"/>
      <c r="P127" s="932"/>
      <c r="Q127" s="927"/>
      <c r="R127" s="933"/>
      <c r="S127" s="903" t="s">
        <v>943</v>
      </c>
    </row>
    <row r="128" spans="2:21" s="901" customFormat="1" ht="25.5" x14ac:dyDescent="0.2">
      <c r="B128" s="947" t="s">
        <v>762</v>
      </c>
      <c r="C128" s="925" t="s">
        <v>1010</v>
      </c>
      <c r="D128" s="925" t="s">
        <v>1011</v>
      </c>
      <c r="E128" s="934">
        <v>4124000</v>
      </c>
      <c r="F128" s="927"/>
      <c r="G128" s="946">
        <v>2276000</v>
      </c>
      <c r="H128" s="927">
        <v>1848000</v>
      </c>
      <c r="I128" s="928"/>
      <c r="J128" s="927"/>
      <c r="K128" s="927">
        <f t="shared" si="14"/>
        <v>4124000</v>
      </c>
      <c r="L128" s="927"/>
      <c r="M128" s="929">
        <f t="shared" si="15"/>
        <v>0</v>
      </c>
      <c r="N128" s="930">
        <f t="shared" si="10"/>
        <v>0</v>
      </c>
      <c r="O128" s="931"/>
      <c r="P128" s="932"/>
      <c r="Q128" s="927"/>
      <c r="R128" s="933"/>
      <c r="S128" s="903"/>
    </row>
    <row r="129" spans="1:23" s="888" customFormat="1" ht="25.5" x14ac:dyDescent="0.2">
      <c r="B129" s="947" t="s">
        <v>762</v>
      </c>
      <c r="C129" s="925" t="s">
        <v>945</v>
      </c>
      <c r="D129" s="925" t="s">
        <v>1012</v>
      </c>
      <c r="E129" s="934">
        <v>1500000</v>
      </c>
      <c r="F129" s="927"/>
      <c r="G129" s="946">
        <v>1500000</v>
      </c>
      <c r="H129" s="927"/>
      <c r="I129" s="928"/>
      <c r="J129" s="927"/>
      <c r="K129" s="927">
        <f t="shared" si="14"/>
        <v>1500000</v>
      </c>
      <c r="L129" s="927"/>
      <c r="M129" s="929">
        <f t="shared" si="15"/>
        <v>0</v>
      </c>
      <c r="N129" s="930">
        <f t="shared" si="10"/>
        <v>0</v>
      </c>
      <c r="O129" s="931"/>
      <c r="P129" s="932"/>
      <c r="Q129" s="927"/>
      <c r="R129" s="933"/>
      <c r="S129" s="903"/>
      <c r="T129" s="901"/>
      <c r="U129" s="901"/>
      <c r="V129" s="901"/>
      <c r="W129" s="901"/>
    </row>
    <row r="130" spans="1:23" s="888" customFormat="1" ht="25.5" x14ac:dyDescent="0.2">
      <c r="B130" s="947" t="s">
        <v>762</v>
      </c>
      <c r="C130" s="925" t="s">
        <v>1013</v>
      </c>
      <c r="D130" s="925" t="s">
        <v>251</v>
      </c>
      <c r="E130" s="934">
        <v>3753600</v>
      </c>
      <c r="F130" s="927"/>
      <c r="G130" s="946">
        <v>3753600</v>
      </c>
      <c r="H130" s="927"/>
      <c r="I130" s="928"/>
      <c r="J130" s="927"/>
      <c r="K130" s="927">
        <f t="shared" si="14"/>
        <v>3753600</v>
      </c>
      <c r="L130" s="927"/>
      <c r="M130" s="929">
        <f t="shared" si="15"/>
        <v>0</v>
      </c>
      <c r="N130" s="930">
        <f t="shared" si="10"/>
        <v>0</v>
      </c>
      <c r="O130" s="931"/>
      <c r="P130" s="932"/>
      <c r="Q130" s="927"/>
      <c r="R130" s="933"/>
      <c r="S130" s="903"/>
      <c r="T130" s="901"/>
      <c r="U130" s="901"/>
      <c r="V130" s="901"/>
      <c r="W130" s="901"/>
    </row>
    <row r="131" spans="1:23" s="888" customFormat="1" ht="38.25" x14ac:dyDescent="0.2">
      <c r="B131" s="947" t="s">
        <v>762</v>
      </c>
      <c r="C131" s="925" t="s">
        <v>264</v>
      </c>
      <c r="D131" s="925" t="s">
        <v>704</v>
      </c>
      <c r="E131" s="934">
        <v>17670000</v>
      </c>
      <c r="F131" s="927"/>
      <c r="G131" s="946">
        <v>17670000</v>
      </c>
      <c r="H131" s="927"/>
      <c r="I131" s="928"/>
      <c r="J131" s="927"/>
      <c r="K131" s="927">
        <f t="shared" si="14"/>
        <v>17670000</v>
      </c>
      <c r="L131" s="927"/>
      <c r="M131" s="929">
        <f t="shared" si="15"/>
        <v>0</v>
      </c>
      <c r="N131" s="930">
        <f t="shared" si="10"/>
        <v>0</v>
      </c>
      <c r="O131" s="931"/>
      <c r="P131" s="932"/>
      <c r="Q131" s="927"/>
      <c r="R131" s="933"/>
      <c r="S131" s="903"/>
      <c r="T131" s="901"/>
      <c r="U131" s="901"/>
      <c r="V131" s="901"/>
      <c r="W131" s="901"/>
    </row>
    <row r="132" spans="1:23" s="888" customFormat="1" ht="25.5" x14ac:dyDescent="0.2">
      <c r="B132" s="947" t="s">
        <v>762</v>
      </c>
      <c r="C132" s="925" t="s">
        <v>1014</v>
      </c>
      <c r="D132" s="925" t="s">
        <v>980</v>
      </c>
      <c r="E132" s="934">
        <v>3000000</v>
      </c>
      <c r="F132" s="927"/>
      <c r="G132" s="946">
        <v>3000000</v>
      </c>
      <c r="H132" s="927"/>
      <c r="I132" s="928"/>
      <c r="J132" s="927"/>
      <c r="K132" s="927">
        <f t="shared" si="14"/>
        <v>3000000</v>
      </c>
      <c r="L132" s="927"/>
      <c r="M132" s="929">
        <f t="shared" si="15"/>
        <v>0</v>
      </c>
      <c r="N132" s="930">
        <f t="shared" si="10"/>
        <v>0</v>
      </c>
      <c r="O132" s="931"/>
      <c r="P132" s="932"/>
      <c r="Q132" s="927"/>
      <c r="R132" s="933"/>
      <c r="S132" s="903"/>
      <c r="T132" s="901"/>
      <c r="U132" s="901"/>
      <c r="V132" s="901"/>
      <c r="W132" s="901"/>
    </row>
    <row r="133" spans="1:23" s="888" customFormat="1" ht="25.5" x14ac:dyDescent="0.2">
      <c r="B133" s="947" t="s">
        <v>762</v>
      </c>
      <c r="C133" s="925" t="s">
        <v>215</v>
      </c>
      <c r="D133" s="925" t="s">
        <v>216</v>
      </c>
      <c r="E133" s="927">
        <v>34693395</v>
      </c>
      <c r="F133" s="927"/>
      <c r="G133" s="927">
        <v>34693395</v>
      </c>
      <c r="H133" s="927"/>
      <c r="I133" s="928"/>
      <c r="J133" s="927"/>
      <c r="K133" s="927">
        <f t="shared" si="14"/>
        <v>34693395</v>
      </c>
      <c r="L133" s="927"/>
      <c r="M133" s="929">
        <f t="shared" si="15"/>
        <v>0</v>
      </c>
      <c r="N133" s="930">
        <f t="shared" si="10"/>
        <v>0</v>
      </c>
      <c r="O133" s="931"/>
      <c r="P133" s="932"/>
      <c r="Q133" s="927"/>
      <c r="R133" s="933"/>
      <c r="S133" s="903"/>
      <c r="T133" s="901"/>
      <c r="U133" s="901"/>
      <c r="V133" s="901"/>
      <c r="W133" s="901"/>
    </row>
    <row r="134" spans="1:23" s="888" customFormat="1" ht="25.5" x14ac:dyDescent="0.2">
      <c r="B134" s="947" t="s">
        <v>762</v>
      </c>
      <c r="C134" s="925" t="s">
        <v>947</v>
      </c>
      <c r="D134" s="925"/>
      <c r="E134" s="926"/>
      <c r="F134" s="927"/>
      <c r="G134" s="927">
        <f>U134</f>
        <v>34202000</v>
      </c>
      <c r="H134" s="927"/>
      <c r="I134" s="928"/>
      <c r="J134" s="927"/>
      <c r="K134" s="927">
        <f t="shared" si="14"/>
        <v>34202000</v>
      </c>
      <c r="L134" s="927"/>
      <c r="M134" s="929">
        <f t="shared" si="15"/>
        <v>-34202000</v>
      </c>
      <c r="N134" s="930">
        <f t="shared" si="10"/>
        <v>-34202000</v>
      </c>
      <c r="O134" s="931"/>
      <c r="P134" s="932"/>
      <c r="Q134" s="927"/>
      <c r="R134" s="933"/>
      <c r="S134" s="903"/>
      <c r="T134" s="901" t="s">
        <v>948</v>
      </c>
      <c r="U134" s="901">
        <f>SUM(U104:U126)</f>
        <v>34202000</v>
      </c>
      <c r="V134" s="901"/>
      <c r="W134" s="901"/>
    </row>
    <row r="135" spans="1:23" s="906" customFormat="1" ht="25.5" x14ac:dyDescent="0.2">
      <c r="B135" s="935" t="s">
        <v>949</v>
      </c>
      <c r="C135" s="936" t="s">
        <v>762</v>
      </c>
      <c r="D135" s="937"/>
      <c r="E135" s="938"/>
      <c r="F135" s="939"/>
      <c r="G135" s="939"/>
      <c r="H135" s="939"/>
      <c r="I135" s="940"/>
      <c r="J135" s="939"/>
      <c r="K135" s="950">
        <f>SUM(K103:K134)</f>
        <v>1003142898</v>
      </c>
      <c r="L135" s="950">
        <f>SUM(L103:L134)</f>
        <v>0</v>
      </c>
      <c r="M135" s="950">
        <f>SUM(M103:M134)</f>
        <v>64522909</v>
      </c>
      <c r="N135" s="942">
        <f>SUM(N103:N134)</f>
        <v>64522909</v>
      </c>
      <c r="O135" s="943"/>
      <c r="P135" s="944"/>
      <c r="Q135" s="939"/>
      <c r="R135" s="945"/>
      <c r="S135" s="908"/>
      <c r="T135" s="909"/>
      <c r="U135" s="909"/>
      <c r="V135" s="909"/>
      <c r="W135" s="909"/>
    </row>
    <row r="136" spans="1:23" s="888" customFormat="1" ht="12.75" x14ac:dyDescent="0.2">
      <c r="A136" s="888">
        <v>7</v>
      </c>
      <c r="B136" s="951" t="s">
        <v>781</v>
      </c>
      <c r="C136" s="925" t="s">
        <v>340</v>
      </c>
      <c r="D136" s="925" t="s">
        <v>341</v>
      </c>
      <c r="E136" s="926">
        <v>500000</v>
      </c>
      <c r="F136" s="927"/>
      <c r="G136" s="927">
        <v>500000</v>
      </c>
      <c r="H136" s="927"/>
      <c r="I136" s="928"/>
      <c r="J136" s="927"/>
      <c r="K136" s="927">
        <f>SUM(G136:J136)</f>
        <v>500000</v>
      </c>
      <c r="L136" s="927"/>
      <c r="M136" s="929">
        <f>IF(F136="",E136-K136-L136,F136-K136-L136)</f>
        <v>0</v>
      </c>
      <c r="N136" s="930">
        <f t="shared" si="10"/>
        <v>0</v>
      </c>
      <c r="O136" s="931"/>
      <c r="P136" s="932"/>
      <c r="Q136" s="927"/>
      <c r="R136" s="933"/>
      <c r="S136" s="902"/>
      <c r="T136" s="901" t="s">
        <v>1015</v>
      </c>
      <c r="U136" s="901"/>
      <c r="V136" s="901"/>
      <c r="W136" s="901"/>
    </row>
    <row r="137" spans="1:23" s="888" customFormat="1" ht="12.75" x14ac:dyDescent="0.2">
      <c r="B137" s="947" t="s">
        <v>781</v>
      </c>
      <c r="C137" s="925" t="s">
        <v>99</v>
      </c>
      <c r="D137" s="925" t="s">
        <v>100</v>
      </c>
      <c r="E137" s="926">
        <v>14800000</v>
      </c>
      <c r="F137" s="927"/>
      <c r="G137" s="927">
        <v>14800000</v>
      </c>
      <c r="H137" s="927"/>
      <c r="I137" s="928"/>
      <c r="J137" s="927"/>
      <c r="K137" s="927">
        <f>SUM(G137:J137)</f>
        <v>14800000</v>
      </c>
      <c r="L137" s="927"/>
      <c r="M137" s="929">
        <f>IF(F137="",E137-K137-L137,F137-K137-L137)</f>
        <v>0</v>
      </c>
      <c r="N137" s="930">
        <f t="shared" si="10"/>
        <v>0</v>
      </c>
      <c r="O137" s="931"/>
      <c r="P137" s="932"/>
      <c r="Q137" s="927"/>
      <c r="R137" s="933"/>
      <c r="S137" s="903" t="s">
        <v>943</v>
      </c>
      <c r="T137" s="901" t="s">
        <v>565</v>
      </c>
      <c r="U137" s="901">
        <v>1350000</v>
      </c>
      <c r="V137" s="901"/>
      <c r="W137" s="901"/>
    </row>
    <row r="138" spans="1:23" s="888" customFormat="1" ht="12.75" x14ac:dyDescent="0.2">
      <c r="B138" s="947" t="s">
        <v>781</v>
      </c>
      <c r="C138" s="925" t="s">
        <v>118</v>
      </c>
      <c r="D138" s="925" t="s">
        <v>301</v>
      </c>
      <c r="E138" s="926">
        <v>1259000</v>
      </c>
      <c r="F138" s="927"/>
      <c r="G138" s="927">
        <v>1259000</v>
      </c>
      <c r="H138" s="927"/>
      <c r="I138" s="928"/>
      <c r="J138" s="927"/>
      <c r="K138" s="927">
        <f>SUM(G138:J138)</f>
        <v>1259000</v>
      </c>
      <c r="L138" s="927"/>
      <c r="M138" s="929">
        <f>IF(F138="",E138-K138-L138,F138-K138-L138)</f>
        <v>0</v>
      </c>
      <c r="N138" s="930">
        <f>IF($F138="",($E138-$K138),($F138-$K138))</f>
        <v>0</v>
      </c>
      <c r="O138" s="931"/>
      <c r="P138" s="932"/>
      <c r="Q138" s="927"/>
      <c r="R138" s="933"/>
      <c r="S138" s="903"/>
      <c r="T138" s="901" t="s">
        <v>1016</v>
      </c>
      <c r="U138" s="901">
        <v>250000</v>
      </c>
      <c r="V138" s="901"/>
      <c r="W138" s="901"/>
    </row>
    <row r="139" spans="1:23" s="888" customFormat="1" ht="12.75" x14ac:dyDescent="0.2">
      <c r="B139" s="947" t="s">
        <v>781</v>
      </c>
      <c r="C139" s="925" t="s">
        <v>947</v>
      </c>
      <c r="D139" s="925"/>
      <c r="E139" s="926"/>
      <c r="F139" s="927"/>
      <c r="G139" s="927">
        <f>U139</f>
        <v>1600000</v>
      </c>
      <c r="H139" s="927"/>
      <c r="I139" s="928"/>
      <c r="J139" s="927"/>
      <c r="K139" s="927">
        <f>SUM(G139:J139)</f>
        <v>1600000</v>
      </c>
      <c r="L139" s="927"/>
      <c r="M139" s="929">
        <f>IF(F139="",E139-K139-L139,F139-K139-L139)</f>
        <v>-1600000</v>
      </c>
      <c r="N139" s="930">
        <f>IF($F139="",($E139-$K139),($F139-$K139))</f>
        <v>-1600000</v>
      </c>
      <c r="O139" s="931"/>
      <c r="P139" s="932"/>
      <c r="Q139" s="927"/>
      <c r="R139" s="933"/>
      <c r="S139" s="903"/>
      <c r="T139" s="901" t="s">
        <v>948</v>
      </c>
      <c r="U139" s="901">
        <f>SUM(U136:U138)</f>
        <v>1600000</v>
      </c>
      <c r="V139" s="901"/>
      <c r="W139" s="901"/>
    </row>
    <row r="140" spans="1:23" s="906" customFormat="1" ht="12.75" x14ac:dyDescent="0.2">
      <c r="B140" s="935" t="s">
        <v>949</v>
      </c>
      <c r="C140" s="936" t="s">
        <v>781</v>
      </c>
      <c r="D140" s="937"/>
      <c r="E140" s="938"/>
      <c r="F140" s="939"/>
      <c r="G140" s="939"/>
      <c r="H140" s="939"/>
      <c r="I140" s="940"/>
      <c r="J140" s="939"/>
      <c r="K140" s="950">
        <f>SUM(K136:K139)</f>
        <v>18159000</v>
      </c>
      <c r="L140" s="950">
        <f>SUM(L136:L139)</f>
        <v>0</v>
      </c>
      <c r="M140" s="950">
        <f>SUM(M136:M139)</f>
        <v>-1600000</v>
      </c>
      <c r="N140" s="942">
        <f>SUM(N136:N139)</f>
        <v>-1600000</v>
      </c>
      <c r="O140" s="943"/>
      <c r="P140" s="944"/>
      <c r="Q140" s="939"/>
      <c r="R140" s="945"/>
      <c r="S140" s="908"/>
      <c r="T140" s="909"/>
      <c r="U140" s="909"/>
      <c r="V140" s="909"/>
      <c r="W140" s="909"/>
    </row>
    <row r="141" spans="1:23" s="888" customFormat="1" ht="25.5" x14ac:dyDescent="0.2">
      <c r="A141" s="888">
        <v>8</v>
      </c>
      <c r="B141" s="947" t="s">
        <v>1017</v>
      </c>
      <c r="C141" s="925" t="s">
        <v>31</v>
      </c>
      <c r="D141" s="925" t="s">
        <v>168</v>
      </c>
      <c r="E141" s="926">
        <v>72650000</v>
      </c>
      <c r="F141" s="927">
        <v>86709000</v>
      </c>
      <c r="G141" s="927">
        <v>21795000</v>
      </c>
      <c r="H141" s="927">
        <v>29060000</v>
      </c>
      <c r="I141" s="928">
        <v>35854000</v>
      </c>
      <c r="J141" s="927"/>
      <c r="K141" s="927">
        <f>SUM(G141:J141)</f>
        <v>86709000</v>
      </c>
      <c r="L141" s="927"/>
      <c r="M141" s="929">
        <f t="shared" ref="M141:M176" si="16">IF(F141="",E141-K141-L141,F141-K141-L141)</f>
        <v>0</v>
      </c>
      <c r="N141" s="930">
        <f t="shared" ref="N141:N204" si="17">IF($F141="",($E141-$K141),($F141-$K141))</f>
        <v>0</v>
      </c>
      <c r="O141" s="931"/>
      <c r="P141" s="932"/>
      <c r="Q141" s="927"/>
      <c r="R141" s="933"/>
      <c r="S141" s="902"/>
      <c r="T141" s="901" t="s">
        <v>783</v>
      </c>
      <c r="U141" s="901"/>
      <c r="V141" s="901"/>
      <c r="W141" s="901"/>
    </row>
    <row r="142" spans="1:23" s="888" customFormat="1" ht="25.5" x14ac:dyDescent="0.2">
      <c r="B142" s="947" t="s">
        <v>1017</v>
      </c>
      <c r="C142" s="925" t="s">
        <v>492</v>
      </c>
      <c r="D142" s="925" t="s">
        <v>784</v>
      </c>
      <c r="E142" s="926">
        <v>174999000</v>
      </c>
      <c r="F142" s="927">
        <v>174999000</v>
      </c>
      <c r="G142" s="927">
        <v>122499300</v>
      </c>
      <c r="H142" s="927">
        <v>52499700</v>
      </c>
      <c r="I142" s="928"/>
      <c r="J142" s="927"/>
      <c r="K142" s="927">
        <f t="shared" ref="K142:K175" si="18">SUM(G142:J142)</f>
        <v>174999000</v>
      </c>
      <c r="L142" s="927"/>
      <c r="M142" s="929">
        <f t="shared" si="16"/>
        <v>0</v>
      </c>
      <c r="N142" s="930">
        <f t="shared" si="17"/>
        <v>0</v>
      </c>
      <c r="O142" s="931"/>
      <c r="P142" s="932"/>
      <c r="Q142" s="927"/>
      <c r="R142" s="933"/>
      <c r="S142" s="903" t="s">
        <v>943</v>
      </c>
      <c r="T142" s="901" t="s">
        <v>1018</v>
      </c>
      <c r="U142" s="901">
        <v>465000</v>
      </c>
      <c r="V142" s="901"/>
      <c r="W142" s="901"/>
    </row>
    <row r="143" spans="1:23" s="888" customFormat="1" ht="25.5" x14ac:dyDescent="0.2">
      <c r="B143" s="947" t="s">
        <v>1017</v>
      </c>
      <c r="C143" s="925" t="s">
        <v>257</v>
      </c>
      <c r="D143" s="925" t="s">
        <v>286</v>
      </c>
      <c r="E143" s="926"/>
      <c r="F143" s="927">
        <v>15068277</v>
      </c>
      <c r="G143" s="927">
        <v>15068277</v>
      </c>
      <c r="H143" s="927"/>
      <c r="I143" s="928"/>
      <c r="J143" s="927"/>
      <c r="K143" s="927">
        <f t="shared" si="18"/>
        <v>15068277</v>
      </c>
      <c r="L143" s="927"/>
      <c r="M143" s="929">
        <f t="shared" si="16"/>
        <v>0</v>
      </c>
      <c r="N143" s="930">
        <f t="shared" si="17"/>
        <v>0</v>
      </c>
      <c r="O143" s="931"/>
      <c r="P143" s="932"/>
      <c r="Q143" s="927"/>
      <c r="R143" s="933"/>
      <c r="S143" s="903"/>
      <c r="T143" s="901" t="s">
        <v>1019</v>
      </c>
      <c r="U143" s="901">
        <v>2100000</v>
      </c>
      <c r="V143" s="901"/>
      <c r="W143" s="901"/>
    </row>
    <row r="144" spans="1:23" s="888" customFormat="1" ht="25.5" x14ac:dyDescent="0.2">
      <c r="B144" s="947" t="s">
        <v>1017</v>
      </c>
      <c r="C144" s="925" t="s">
        <v>691</v>
      </c>
      <c r="D144" s="925"/>
      <c r="E144" s="926">
        <v>41434195</v>
      </c>
      <c r="F144" s="927"/>
      <c r="G144" s="927">
        <f>E144/2</f>
        <v>20717097.5</v>
      </c>
      <c r="H144" s="927"/>
      <c r="I144" s="928"/>
      <c r="J144" s="927"/>
      <c r="K144" s="927">
        <f t="shared" si="18"/>
        <v>20717097.5</v>
      </c>
      <c r="L144" s="927"/>
      <c r="M144" s="929">
        <f t="shared" si="16"/>
        <v>20717097.5</v>
      </c>
      <c r="N144" s="930">
        <f t="shared" si="17"/>
        <v>20717097.5</v>
      </c>
      <c r="O144" s="931"/>
      <c r="P144" s="932"/>
      <c r="Q144" s="927"/>
      <c r="R144" s="933"/>
      <c r="S144" s="903"/>
      <c r="T144" s="901" t="s">
        <v>1016</v>
      </c>
      <c r="U144" s="901">
        <v>2237500</v>
      </c>
      <c r="V144" s="901"/>
      <c r="W144" s="901"/>
    </row>
    <row r="145" spans="2:21" s="901" customFormat="1" ht="25.5" x14ac:dyDescent="0.2">
      <c r="B145" s="947" t="s">
        <v>1017</v>
      </c>
      <c r="C145" s="925" t="s">
        <v>785</v>
      </c>
      <c r="D145" s="925"/>
      <c r="E145" s="934">
        <f>K145</f>
        <v>10000000</v>
      </c>
      <c r="F145" s="927"/>
      <c r="G145" s="927">
        <v>5000000</v>
      </c>
      <c r="H145" s="927">
        <v>5000000</v>
      </c>
      <c r="I145" s="928"/>
      <c r="J145" s="927"/>
      <c r="K145" s="927">
        <f t="shared" si="18"/>
        <v>10000000</v>
      </c>
      <c r="L145" s="927"/>
      <c r="M145" s="929">
        <f t="shared" si="16"/>
        <v>0</v>
      </c>
      <c r="N145" s="930">
        <f t="shared" si="17"/>
        <v>0</v>
      </c>
      <c r="O145" s="931"/>
      <c r="P145" s="932"/>
      <c r="Q145" s="927"/>
      <c r="R145" s="933"/>
      <c r="S145" s="903"/>
      <c r="T145" s="901" t="s">
        <v>1020</v>
      </c>
      <c r="U145" s="901">
        <v>1036000</v>
      </c>
    </row>
    <row r="146" spans="2:21" s="901" customFormat="1" ht="25.5" x14ac:dyDescent="0.2">
      <c r="B146" s="947" t="s">
        <v>1017</v>
      </c>
      <c r="C146" s="925" t="s">
        <v>34</v>
      </c>
      <c r="D146" s="925" t="s">
        <v>204</v>
      </c>
      <c r="E146" s="926">
        <v>146799840</v>
      </c>
      <c r="F146" s="927">
        <v>150106000</v>
      </c>
      <c r="G146" s="927">
        <v>40036320</v>
      </c>
      <c r="H146" s="927">
        <v>53381760</v>
      </c>
      <c r="I146" s="928">
        <v>56687920</v>
      </c>
      <c r="J146" s="927"/>
      <c r="K146" s="927">
        <f t="shared" si="18"/>
        <v>150106000</v>
      </c>
      <c r="L146" s="927"/>
      <c r="M146" s="929">
        <f t="shared" si="16"/>
        <v>0</v>
      </c>
      <c r="N146" s="930">
        <f t="shared" si="17"/>
        <v>0</v>
      </c>
      <c r="O146" s="931" t="s">
        <v>768</v>
      </c>
      <c r="P146" s="932">
        <v>43913</v>
      </c>
      <c r="Q146" s="927"/>
      <c r="R146" s="933"/>
      <c r="S146" s="903" t="s">
        <v>943</v>
      </c>
      <c r="T146" s="901" t="s">
        <v>1021</v>
      </c>
      <c r="U146" s="901">
        <v>1826000</v>
      </c>
    </row>
    <row r="147" spans="2:21" s="901" customFormat="1" ht="25.5" x14ac:dyDescent="0.2">
      <c r="B147" s="947" t="s">
        <v>1017</v>
      </c>
      <c r="C147" s="925" t="s">
        <v>723</v>
      </c>
      <c r="D147" s="925" t="s">
        <v>352</v>
      </c>
      <c r="E147" s="926">
        <v>29119200</v>
      </c>
      <c r="F147" s="927">
        <v>29442523</v>
      </c>
      <c r="G147" s="927">
        <v>13236000</v>
      </c>
      <c r="H147" s="927">
        <v>16206523</v>
      </c>
      <c r="I147" s="928"/>
      <c r="J147" s="927"/>
      <c r="K147" s="927">
        <f t="shared" si="18"/>
        <v>29442523</v>
      </c>
      <c r="L147" s="927"/>
      <c r="M147" s="929">
        <f t="shared" si="16"/>
        <v>0</v>
      </c>
      <c r="N147" s="930">
        <f t="shared" si="17"/>
        <v>0</v>
      </c>
      <c r="O147" s="931" t="s">
        <v>788</v>
      </c>
      <c r="P147" s="932">
        <v>43915</v>
      </c>
      <c r="Q147" s="927"/>
      <c r="R147" s="933"/>
      <c r="S147" s="903" t="s">
        <v>943</v>
      </c>
      <c r="T147" s="901" t="s">
        <v>1005</v>
      </c>
      <c r="U147" s="901">
        <v>1630000</v>
      </c>
    </row>
    <row r="148" spans="2:21" s="901" customFormat="1" ht="25.5" x14ac:dyDescent="0.2">
      <c r="B148" s="947" t="s">
        <v>1017</v>
      </c>
      <c r="C148" s="925" t="s">
        <v>769</v>
      </c>
      <c r="D148" s="925" t="s">
        <v>229</v>
      </c>
      <c r="E148" s="926"/>
      <c r="F148" s="927">
        <v>39602750</v>
      </c>
      <c r="G148" s="927">
        <v>35553650</v>
      </c>
      <c r="H148" s="927">
        <v>4049100</v>
      </c>
      <c r="I148" s="928"/>
      <c r="J148" s="927"/>
      <c r="K148" s="927">
        <f t="shared" si="18"/>
        <v>39602750</v>
      </c>
      <c r="L148" s="927"/>
      <c r="M148" s="929">
        <f t="shared" si="16"/>
        <v>0</v>
      </c>
      <c r="N148" s="930">
        <f t="shared" si="17"/>
        <v>0</v>
      </c>
      <c r="O148" s="931"/>
      <c r="P148" s="932"/>
      <c r="Q148" s="927"/>
      <c r="R148" s="933"/>
      <c r="S148" s="903" t="s">
        <v>943</v>
      </c>
    </row>
    <row r="149" spans="2:21" s="901" customFormat="1" ht="25.5" x14ac:dyDescent="0.2">
      <c r="B149" s="947" t="s">
        <v>1017</v>
      </c>
      <c r="C149" s="925" t="s">
        <v>791</v>
      </c>
      <c r="D149" s="925" t="s">
        <v>104</v>
      </c>
      <c r="E149" s="926">
        <v>8000000</v>
      </c>
      <c r="F149" s="927"/>
      <c r="G149" s="927">
        <v>8000000</v>
      </c>
      <c r="H149" s="927"/>
      <c r="I149" s="928"/>
      <c r="J149" s="927"/>
      <c r="K149" s="927">
        <f t="shared" si="18"/>
        <v>8000000</v>
      </c>
      <c r="L149" s="927"/>
      <c r="M149" s="929">
        <f t="shared" si="16"/>
        <v>0</v>
      </c>
      <c r="N149" s="930">
        <f t="shared" si="17"/>
        <v>0</v>
      </c>
      <c r="O149" s="931"/>
      <c r="P149" s="932"/>
      <c r="Q149" s="927"/>
      <c r="R149" s="933"/>
      <c r="S149" s="903"/>
    </row>
    <row r="150" spans="2:21" s="901" customFormat="1" ht="25.5" x14ac:dyDescent="0.2">
      <c r="B150" s="947" t="s">
        <v>1017</v>
      </c>
      <c r="C150" s="925" t="s">
        <v>239</v>
      </c>
      <c r="D150" s="925" t="s">
        <v>792</v>
      </c>
      <c r="E150" s="926">
        <v>2860000</v>
      </c>
      <c r="F150" s="927"/>
      <c r="G150" s="927">
        <v>1100000</v>
      </c>
      <c r="H150" s="927">
        <v>1760000</v>
      </c>
      <c r="I150" s="928"/>
      <c r="J150" s="927"/>
      <c r="K150" s="927">
        <f t="shared" si="18"/>
        <v>2860000</v>
      </c>
      <c r="L150" s="927"/>
      <c r="M150" s="929">
        <f t="shared" si="16"/>
        <v>0</v>
      </c>
      <c r="N150" s="930">
        <f t="shared" si="17"/>
        <v>0</v>
      </c>
      <c r="O150" s="931"/>
      <c r="P150" s="932"/>
      <c r="Q150" s="927"/>
      <c r="R150" s="933"/>
      <c r="S150" s="903" t="s">
        <v>943</v>
      </c>
    </row>
    <row r="151" spans="2:21" s="901" customFormat="1" ht="25.5" x14ac:dyDescent="0.2">
      <c r="B151" s="947" t="s">
        <v>1017</v>
      </c>
      <c r="C151" s="925" t="s">
        <v>99</v>
      </c>
      <c r="D151" s="925" t="s">
        <v>100</v>
      </c>
      <c r="E151" s="926"/>
      <c r="F151" s="927">
        <v>299315000</v>
      </c>
      <c r="G151" s="927">
        <v>86594970</v>
      </c>
      <c r="H151" s="927">
        <v>115459960</v>
      </c>
      <c r="I151" s="928">
        <v>82295570</v>
      </c>
      <c r="J151" s="927"/>
      <c r="K151" s="927">
        <f t="shared" si="18"/>
        <v>284350500</v>
      </c>
      <c r="L151" s="927"/>
      <c r="M151" s="929">
        <f t="shared" si="16"/>
        <v>14964500</v>
      </c>
      <c r="N151" s="930">
        <f t="shared" si="17"/>
        <v>14964500</v>
      </c>
      <c r="O151" s="931"/>
      <c r="P151" s="932"/>
      <c r="Q151" s="927"/>
      <c r="R151" s="933"/>
      <c r="S151" s="903" t="s">
        <v>943</v>
      </c>
    </row>
    <row r="152" spans="2:21" s="901" customFormat="1" ht="25.5" x14ac:dyDescent="0.2">
      <c r="B152" s="947" t="s">
        <v>1017</v>
      </c>
      <c r="C152" s="925" t="s">
        <v>514</v>
      </c>
      <c r="D152" s="925" t="s">
        <v>114</v>
      </c>
      <c r="E152" s="926">
        <v>20082000</v>
      </c>
      <c r="F152" s="927"/>
      <c r="G152" s="927">
        <v>20082000</v>
      </c>
      <c r="H152" s="927"/>
      <c r="I152" s="928"/>
      <c r="J152" s="927"/>
      <c r="K152" s="927">
        <f t="shared" si="18"/>
        <v>20082000</v>
      </c>
      <c r="L152" s="927"/>
      <c r="M152" s="929">
        <f t="shared" si="16"/>
        <v>0</v>
      </c>
      <c r="N152" s="930">
        <f t="shared" si="17"/>
        <v>0</v>
      </c>
      <c r="O152" s="931"/>
      <c r="P152" s="932"/>
      <c r="Q152" s="927"/>
      <c r="R152" s="933"/>
      <c r="S152" s="903" t="s">
        <v>114</v>
      </c>
    </row>
    <row r="153" spans="2:21" s="901" customFormat="1" ht="25.5" x14ac:dyDescent="0.2">
      <c r="B153" s="947" t="s">
        <v>1017</v>
      </c>
      <c r="C153" s="925" t="s">
        <v>795</v>
      </c>
      <c r="D153" s="925"/>
      <c r="E153" s="926">
        <v>600000</v>
      </c>
      <c r="F153" s="927"/>
      <c r="G153" s="927">
        <v>600000</v>
      </c>
      <c r="H153" s="927"/>
      <c r="I153" s="928"/>
      <c r="J153" s="927"/>
      <c r="K153" s="927">
        <f t="shared" si="18"/>
        <v>600000</v>
      </c>
      <c r="L153" s="927"/>
      <c r="M153" s="929">
        <f t="shared" si="16"/>
        <v>0</v>
      </c>
      <c r="N153" s="930">
        <f t="shared" si="17"/>
        <v>0</v>
      </c>
      <c r="O153" s="931"/>
      <c r="P153" s="932"/>
      <c r="Q153" s="927"/>
      <c r="R153" s="933"/>
      <c r="S153" s="903"/>
    </row>
    <row r="154" spans="2:21" s="901" customFormat="1" ht="25.5" x14ac:dyDescent="0.2">
      <c r="B154" s="947" t="s">
        <v>1017</v>
      </c>
      <c r="C154" s="925" t="s">
        <v>515</v>
      </c>
      <c r="D154" s="925" t="s">
        <v>229</v>
      </c>
      <c r="E154" s="926">
        <v>35160000</v>
      </c>
      <c r="F154" s="927">
        <v>38936700</v>
      </c>
      <c r="G154" s="927">
        <v>19338000</v>
      </c>
      <c r="H154" s="927">
        <v>19598700</v>
      </c>
      <c r="I154" s="928"/>
      <c r="J154" s="927"/>
      <c r="K154" s="927">
        <f t="shared" si="18"/>
        <v>38936700</v>
      </c>
      <c r="L154" s="927"/>
      <c r="M154" s="929">
        <f t="shared" si="16"/>
        <v>0</v>
      </c>
      <c r="N154" s="930">
        <f t="shared" si="17"/>
        <v>0</v>
      </c>
      <c r="O154" s="931" t="s">
        <v>797</v>
      </c>
      <c r="P154" s="932"/>
      <c r="Q154" s="927"/>
      <c r="R154" s="933"/>
      <c r="S154" s="903" t="s">
        <v>943</v>
      </c>
    </row>
    <row r="155" spans="2:21" s="901" customFormat="1" ht="25.5" x14ac:dyDescent="0.2">
      <c r="B155" s="947" t="s">
        <v>1017</v>
      </c>
      <c r="C155" s="925" t="s">
        <v>798</v>
      </c>
      <c r="D155" s="925" t="s">
        <v>225</v>
      </c>
      <c r="E155" s="926">
        <v>1980000</v>
      </c>
      <c r="F155" s="927"/>
      <c r="G155" s="927">
        <v>980000</v>
      </c>
      <c r="H155" s="927">
        <v>1000000</v>
      </c>
      <c r="I155" s="928"/>
      <c r="J155" s="927"/>
      <c r="K155" s="927">
        <f t="shared" si="18"/>
        <v>1980000</v>
      </c>
      <c r="L155" s="927"/>
      <c r="M155" s="929">
        <f t="shared" si="16"/>
        <v>0</v>
      </c>
      <c r="N155" s="930">
        <f t="shared" si="17"/>
        <v>0</v>
      </c>
      <c r="O155" s="931"/>
      <c r="P155" s="932"/>
      <c r="Q155" s="927"/>
      <c r="R155" s="933"/>
      <c r="S155" s="903" t="s">
        <v>943</v>
      </c>
    </row>
    <row r="156" spans="2:21" s="901" customFormat="1" ht="25.5" x14ac:dyDescent="0.2">
      <c r="B156" s="947" t="s">
        <v>1017</v>
      </c>
      <c r="C156" s="925" t="s">
        <v>132</v>
      </c>
      <c r="D156" s="925" t="s">
        <v>799</v>
      </c>
      <c r="E156" s="926">
        <v>6770000</v>
      </c>
      <c r="F156" s="927"/>
      <c r="G156" s="927">
        <v>2031000</v>
      </c>
      <c r="H156" s="927"/>
      <c r="I156" s="928"/>
      <c r="J156" s="927"/>
      <c r="K156" s="927">
        <f t="shared" si="18"/>
        <v>2031000</v>
      </c>
      <c r="L156" s="927"/>
      <c r="M156" s="929">
        <f t="shared" si="16"/>
        <v>4739000</v>
      </c>
      <c r="N156" s="930">
        <f t="shared" si="17"/>
        <v>4739000</v>
      </c>
      <c r="O156" s="931"/>
      <c r="P156" s="932"/>
      <c r="Q156" s="927"/>
      <c r="R156" s="933"/>
      <c r="S156" s="903" t="s">
        <v>943</v>
      </c>
    </row>
    <row r="157" spans="2:21" s="901" customFormat="1" ht="25.5" x14ac:dyDescent="0.2">
      <c r="B157" s="947" t="s">
        <v>1017</v>
      </c>
      <c r="C157" s="925" t="s">
        <v>394</v>
      </c>
      <c r="D157" s="925" t="s">
        <v>162</v>
      </c>
      <c r="E157" s="926">
        <v>72800000</v>
      </c>
      <c r="F157" s="927">
        <v>76000000</v>
      </c>
      <c r="G157" s="927">
        <v>36400000</v>
      </c>
      <c r="H157" s="927">
        <v>39600000</v>
      </c>
      <c r="I157" s="928"/>
      <c r="J157" s="927"/>
      <c r="K157" s="927">
        <f t="shared" si="18"/>
        <v>76000000</v>
      </c>
      <c r="L157" s="927"/>
      <c r="M157" s="929">
        <f t="shared" si="16"/>
        <v>0</v>
      </c>
      <c r="N157" s="930">
        <f t="shared" si="17"/>
        <v>0</v>
      </c>
      <c r="O157" s="931" t="s">
        <v>801</v>
      </c>
      <c r="P157" s="932">
        <v>43876</v>
      </c>
      <c r="Q157" s="927"/>
      <c r="R157" s="933"/>
      <c r="S157" s="903"/>
    </row>
    <row r="158" spans="2:21" s="901" customFormat="1" ht="25.5" x14ac:dyDescent="0.2">
      <c r="B158" s="947" t="s">
        <v>1017</v>
      </c>
      <c r="C158" s="925" t="s">
        <v>692</v>
      </c>
      <c r="D158" s="925" t="s">
        <v>416</v>
      </c>
      <c r="E158" s="926">
        <v>1367329</v>
      </c>
      <c r="F158" s="927"/>
      <c r="G158" s="927">
        <v>1367329</v>
      </c>
      <c r="H158" s="927"/>
      <c r="I158" s="928"/>
      <c r="J158" s="927"/>
      <c r="K158" s="927">
        <f t="shared" si="18"/>
        <v>1367329</v>
      </c>
      <c r="L158" s="927"/>
      <c r="M158" s="929">
        <f t="shared" si="16"/>
        <v>0</v>
      </c>
      <c r="N158" s="930">
        <f t="shared" si="17"/>
        <v>0</v>
      </c>
      <c r="O158" s="931"/>
      <c r="P158" s="932"/>
      <c r="Q158" s="927"/>
      <c r="R158" s="933"/>
      <c r="S158" s="903" t="s">
        <v>943</v>
      </c>
    </row>
    <row r="159" spans="2:21" s="901" customFormat="1" ht="25.5" x14ac:dyDescent="0.2">
      <c r="B159" s="947" t="s">
        <v>1017</v>
      </c>
      <c r="C159" s="925" t="s">
        <v>172</v>
      </c>
      <c r="D159" s="925" t="s">
        <v>173</v>
      </c>
      <c r="E159" s="926">
        <v>18080000</v>
      </c>
      <c r="F159" s="927">
        <v>31760000</v>
      </c>
      <c r="G159" s="927">
        <v>5424000</v>
      </c>
      <c r="H159" s="927">
        <v>26336000</v>
      </c>
      <c r="I159" s="928"/>
      <c r="J159" s="927"/>
      <c r="K159" s="927">
        <f t="shared" si="18"/>
        <v>31760000</v>
      </c>
      <c r="L159" s="927"/>
      <c r="M159" s="929">
        <f t="shared" si="16"/>
        <v>0</v>
      </c>
      <c r="N159" s="930">
        <f t="shared" si="17"/>
        <v>0</v>
      </c>
      <c r="O159" s="931"/>
      <c r="P159" s="932"/>
      <c r="Q159" s="927"/>
      <c r="R159" s="933"/>
      <c r="S159" s="903"/>
    </row>
    <row r="160" spans="2:21" s="901" customFormat="1" ht="25.5" x14ac:dyDescent="0.2">
      <c r="B160" s="947" t="s">
        <v>1017</v>
      </c>
      <c r="C160" s="925" t="s">
        <v>107</v>
      </c>
      <c r="D160" s="925" t="s">
        <v>341</v>
      </c>
      <c r="E160" s="926">
        <v>34805000</v>
      </c>
      <c r="F160" s="927">
        <v>34450000</v>
      </c>
      <c r="G160" s="927">
        <v>10000000</v>
      </c>
      <c r="H160" s="927">
        <v>15000000</v>
      </c>
      <c r="I160" s="928">
        <v>9450000</v>
      </c>
      <c r="J160" s="927"/>
      <c r="K160" s="927">
        <f t="shared" si="18"/>
        <v>34450000</v>
      </c>
      <c r="L160" s="927"/>
      <c r="M160" s="929">
        <f t="shared" si="16"/>
        <v>0</v>
      </c>
      <c r="N160" s="930">
        <f t="shared" si="17"/>
        <v>0</v>
      </c>
      <c r="O160" s="931"/>
      <c r="P160" s="932"/>
      <c r="Q160" s="927"/>
      <c r="R160" s="933"/>
      <c r="S160" s="903"/>
    </row>
    <row r="161" spans="2:21" s="901" customFormat="1" ht="25.5" x14ac:dyDescent="0.2">
      <c r="B161" s="947" t="s">
        <v>1017</v>
      </c>
      <c r="C161" s="925" t="s">
        <v>79</v>
      </c>
      <c r="D161" s="925" t="s">
        <v>804</v>
      </c>
      <c r="E161" s="926">
        <v>9300000</v>
      </c>
      <c r="F161" s="927"/>
      <c r="G161" s="927">
        <v>4650000</v>
      </c>
      <c r="H161" s="927">
        <v>4650000</v>
      </c>
      <c r="I161" s="928"/>
      <c r="J161" s="927"/>
      <c r="K161" s="927">
        <f t="shared" si="18"/>
        <v>9300000</v>
      </c>
      <c r="L161" s="927"/>
      <c r="M161" s="929">
        <f t="shared" si="16"/>
        <v>0</v>
      </c>
      <c r="N161" s="930">
        <f t="shared" si="17"/>
        <v>0</v>
      </c>
      <c r="O161" s="931"/>
      <c r="P161" s="932"/>
      <c r="Q161" s="927"/>
      <c r="R161" s="933"/>
      <c r="S161" s="903"/>
    </row>
    <row r="162" spans="2:21" s="901" customFormat="1" ht="25.5" x14ac:dyDescent="0.2">
      <c r="B162" s="947" t="s">
        <v>1017</v>
      </c>
      <c r="C162" s="925" t="s">
        <v>84</v>
      </c>
      <c r="D162" s="925" t="s">
        <v>799</v>
      </c>
      <c r="E162" s="926">
        <v>12658000</v>
      </c>
      <c r="F162" s="927"/>
      <c r="G162" s="927">
        <v>12658000</v>
      </c>
      <c r="H162" s="927"/>
      <c r="I162" s="928"/>
      <c r="J162" s="927"/>
      <c r="K162" s="927">
        <f t="shared" si="18"/>
        <v>12658000</v>
      </c>
      <c r="L162" s="927"/>
      <c r="M162" s="929">
        <f t="shared" si="16"/>
        <v>0</v>
      </c>
      <c r="N162" s="930">
        <f t="shared" si="17"/>
        <v>0</v>
      </c>
      <c r="O162" s="931"/>
      <c r="P162" s="932"/>
      <c r="Q162" s="927"/>
      <c r="R162" s="933"/>
      <c r="S162" s="903" t="s">
        <v>943</v>
      </c>
    </row>
    <row r="163" spans="2:21" s="901" customFormat="1" ht="25.5" x14ac:dyDescent="0.2">
      <c r="B163" s="947" t="s">
        <v>1017</v>
      </c>
      <c r="C163" s="925" t="s">
        <v>175</v>
      </c>
      <c r="D163" s="925" t="s">
        <v>416</v>
      </c>
      <c r="E163" s="926">
        <v>1367329</v>
      </c>
      <c r="F163" s="927"/>
      <c r="G163" s="927">
        <v>1367329</v>
      </c>
      <c r="H163" s="927"/>
      <c r="I163" s="928"/>
      <c r="J163" s="927"/>
      <c r="K163" s="927">
        <f t="shared" si="18"/>
        <v>1367329</v>
      </c>
      <c r="L163" s="927"/>
      <c r="M163" s="929">
        <f t="shared" si="16"/>
        <v>0</v>
      </c>
      <c r="N163" s="930">
        <f t="shared" si="17"/>
        <v>0</v>
      </c>
      <c r="O163" s="931"/>
      <c r="P163" s="932"/>
      <c r="Q163" s="927"/>
      <c r="R163" s="933"/>
      <c r="S163" s="903" t="s">
        <v>943</v>
      </c>
    </row>
    <row r="164" spans="2:21" s="901" customFormat="1" ht="25.5" x14ac:dyDescent="0.2">
      <c r="B164" s="947" t="s">
        <v>1017</v>
      </c>
      <c r="C164" s="925" t="s">
        <v>167</v>
      </c>
      <c r="D164" s="925" t="s">
        <v>708</v>
      </c>
      <c r="E164" s="926">
        <v>2050000</v>
      </c>
      <c r="F164" s="927"/>
      <c r="G164" s="927">
        <v>2050000</v>
      </c>
      <c r="H164" s="927"/>
      <c r="I164" s="928"/>
      <c r="J164" s="927"/>
      <c r="K164" s="927">
        <f t="shared" si="18"/>
        <v>2050000</v>
      </c>
      <c r="L164" s="927"/>
      <c r="M164" s="929">
        <f t="shared" si="16"/>
        <v>0</v>
      </c>
      <c r="N164" s="930">
        <f t="shared" si="17"/>
        <v>0</v>
      </c>
      <c r="O164" s="931"/>
      <c r="P164" s="932"/>
      <c r="Q164" s="927"/>
      <c r="R164" s="933"/>
      <c r="S164" s="903"/>
    </row>
    <row r="165" spans="2:21" s="901" customFormat="1" ht="25.5" x14ac:dyDescent="0.2">
      <c r="B165" s="947" t="s">
        <v>1017</v>
      </c>
      <c r="C165" s="925" t="s">
        <v>806</v>
      </c>
      <c r="D165" s="925" t="s">
        <v>807</v>
      </c>
      <c r="E165" s="926">
        <v>22076000</v>
      </c>
      <c r="F165" s="927"/>
      <c r="G165" s="927">
        <v>6622800</v>
      </c>
      <c r="H165" s="927">
        <v>15453200</v>
      </c>
      <c r="I165" s="928"/>
      <c r="J165" s="927"/>
      <c r="K165" s="927">
        <f t="shared" si="18"/>
        <v>22076000</v>
      </c>
      <c r="L165" s="927"/>
      <c r="M165" s="929">
        <f t="shared" si="16"/>
        <v>0</v>
      </c>
      <c r="N165" s="930">
        <f t="shared" si="17"/>
        <v>0</v>
      </c>
      <c r="O165" s="931"/>
      <c r="P165" s="932"/>
      <c r="Q165" s="927"/>
      <c r="R165" s="933"/>
      <c r="S165" s="903"/>
    </row>
    <row r="166" spans="2:21" s="901" customFormat="1" ht="25.5" x14ac:dyDescent="0.2">
      <c r="B166" s="947" t="s">
        <v>1017</v>
      </c>
      <c r="C166" s="925" t="s">
        <v>170</v>
      </c>
      <c r="D166" s="925" t="s">
        <v>171</v>
      </c>
      <c r="E166" s="926">
        <v>2820000</v>
      </c>
      <c r="F166" s="927"/>
      <c r="G166" s="927">
        <v>2820000</v>
      </c>
      <c r="H166" s="927"/>
      <c r="I166" s="928"/>
      <c r="J166" s="927"/>
      <c r="K166" s="927">
        <f t="shared" si="18"/>
        <v>2820000</v>
      </c>
      <c r="L166" s="927"/>
      <c r="M166" s="929">
        <f t="shared" si="16"/>
        <v>0</v>
      </c>
      <c r="N166" s="930">
        <f t="shared" si="17"/>
        <v>0</v>
      </c>
      <c r="O166" s="931"/>
      <c r="P166" s="932"/>
      <c r="Q166" s="927"/>
      <c r="R166" s="933"/>
      <c r="S166" s="903" t="s">
        <v>171</v>
      </c>
    </row>
    <row r="167" spans="2:21" s="901" customFormat="1" ht="25.5" x14ac:dyDescent="0.2">
      <c r="B167" s="947" t="s">
        <v>1017</v>
      </c>
      <c r="C167" s="925" t="s">
        <v>170</v>
      </c>
      <c r="D167" s="925" t="s">
        <v>171</v>
      </c>
      <c r="E167" s="926"/>
      <c r="F167" s="927">
        <v>128392000</v>
      </c>
      <c r="G167" s="927">
        <v>128392000</v>
      </c>
      <c r="H167" s="927"/>
      <c r="I167" s="928"/>
      <c r="J167" s="927"/>
      <c r="K167" s="927">
        <f t="shared" si="18"/>
        <v>128392000</v>
      </c>
      <c r="L167" s="927"/>
      <c r="M167" s="929">
        <f t="shared" si="16"/>
        <v>0</v>
      </c>
      <c r="N167" s="930">
        <f t="shared" si="17"/>
        <v>0</v>
      </c>
      <c r="O167" s="931"/>
      <c r="P167" s="932"/>
      <c r="Q167" s="927"/>
      <c r="R167" s="933"/>
      <c r="S167" s="903" t="s">
        <v>171</v>
      </c>
    </row>
    <row r="168" spans="2:21" s="901" customFormat="1" ht="25.5" x14ac:dyDescent="0.2">
      <c r="B168" s="947" t="s">
        <v>1017</v>
      </c>
      <c r="C168" s="925" t="s">
        <v>118</v>
      </c>
      <c r="D168" s="925" t="s">
        <v>301</v>
      </c>
      <c r="E168" s="926">
        <v>77970000</v>
      </c>
      <c r="F168" s="927">
        <v>75707000</v>
      </c>
      <c r="G168" s="927">
        <v>54579000</v>
      </c>
      <c r="H168" s="927">
        <v>21128000</v>
      </c>
      <c r="I168" s="928"/>
      <c r="J168" s="927"/>
      <c r="K168" s="927">
        <f t="shared" si="18"/>
        <v>75707000</v>
      </c>
      <c r="L168" s="927"/>
      <c r="M168" s="929">
        <f t="shared" si="16"/>
        <v>0</v>
      </c>
      <c r="N168" s="930">
        <f t="shared" si="17"/>
        <v>0</v>
      </c>
      <c r="O168" s="931"/>
      <c r="P168" s="932"/>
      <c r="Q168" s="927"/>
      <c r="R168" s="933"/>
      <c r="S168" s="903"/>
    </row>
    <row r="169" spans="2:21" s="901" customFormat="1" ht="25.5" x14ac:dyDescent="0.2">
      <c r="B169" s="947" t="s">
        <v>1017</v>
      </c>
      <c r="C169" s="925" t="s">
        <v>247</v>
      </c>
      <c r="D169" s="925" t="s">
        <v>808</v>
      </c>
      <c r="E169" s="926">
        <v>5830000</v>
      </c>
      <c r="F169" s="927"/>
      <c r="G169" s="927">
        <v>5830000</v>
      </c>
      <c r="H169" s="927"/>
      <c r="I169" s="928"/>
      <c r="J169" s="927"/>
      <c r="K169" s="927">
        <f t="shared" si="18"/>
        <v>5830000</v>
      </c>
      <c r="L169" s="927"/>
      <c r="M169" s="929">
        <f t="shared" si="16"/>
        <v>0</v>
      </c>
      <c r="N169" s="930">
        <f t="shared" si="17"/>
        <v>0</v>
      </c>
      <c r="O169" s="931"/>
      <c r="P169" s="932"/>
      <c r="Q169" s="927"/>
      <c r="R169" s="933"/>
      <c r="S169" s="903" t="s">
        <v>943</v>
      </c>
    </row>
    <row r="170" spans="2:21" s="901" customFormat="1" ht="38.25" x14ac:dyDescent="0.2">
      <c r="B170" s="947" t="s">
        <v>1017</v>
      </c>
      <c r="C170" s="925" t="s">
        <v>809</v>
      </c>
      <c r="D170" s="925" t="s">
        <v>65</v>
      </c>
      <c r="E170" s="926">
        <v>880000</v>
      </c>
      <c r="F170" s="927"/>
      <c r="G170" s="927">
        <v>880000</v>
      </c>
      <c r="H170" s="927"/>
      <c r="I170" s="928"/>
      <c r="J170" s="927"/>
      <c r="K170" s="927">
        <f t="shared" si="18"/>
        <v>880000</v>
      </c>
      <c r="L170" s="927"/>
      <c r="M170" s="929">
        <f t="shared" si="16"/>
        <v>0</v>
      </c>
      <c r="N170" s="930">
        <f t="shared" si="17"/>
        <v>0</v>
      </c>
      <c r="O170" s="931"/>
      <c r="P170" s="932"/>
      <c r="Q170" s="927"/>
      <c r="R170" s="933"/>
      <c r="S170" s="903" t="s">
        <v>957</v>
      </c>
    </row>
    <row r="171" spans="2:21" s="901" customFormat="1" ht="25.5" x14ac:dyDescent="0.2">
      <c r="B171" s="947" t="s">
        <v>1017</v>
      </c>
      <c r="C171" s="925" t="s">
        <v>715</v>
      </c>
      <c r="D171" s="925" t="s">
        <v>810</v>
      </c>
      <c r="E171" s="926">
        <v>5313000</v>
      </c>
      <c r="F171" s="927"/>
      <c r="G171" s="927">
        <v>5313000</v>
      </c>
      <c r="H171" s="927"/>
      <c r="I171" s="928"/>
      <c r="J171" s="927"/>
      <c r="K171" s="927">
        <f t="shared" si="18"/>
        <v>5313000</v>
      </c>
      <c r="L171" s="927"/>
      <c r="M171" s="929">
        <f t="shared" si="16"/>
        <v>0</v>
      </c>
      <c r="N171" s="930">
        <f t="shared" si="17"/>
        <v>0</v>
      </c>
      <c r="O171" s="931"/>
      <c r="P171" s="932"/>
      <c r="Q171" s="927"/>
      <c r="R171" s="933"/>
      <c r="S171" s="903" t="s">
        <v>810</v>
      </c>
    </row>
    <row r="172" spans="2:21" s="901" customFormat="1" ht="25.5" x14ac:dyDescent="0.2">
      <c r="B172" s="947" t="s">
        <v>1017</v>
      </c>
      <c r="C172" s="925" t="s">
        <v>257</v>
      </c>
      <c r="D172" s="925" t="s">
        <v>693</v>
      </c>
      <c r="E172" s="934">
        <f>K172</f>
        <v>8116000</v>
      </c>
      <c r="F172" s="927"/>
      <c r="G172" s="927">
        <v>8116000</v>
      </c>
      <c r="H172" s="927"/>
      <c r="I172" s="928"/>
      <c r="J172" s="927"/>
      <c r="K172" s="927">
        <f t="shared" si="18"/>
        <v>8116000</v>
      </c>
      <c r="L172" s="927"/>
      <c r="M172" s="929">
        <f t="shared" si="16"/>
        <v>0</v>
      </c>
      <c r="N172" s="930">
        <f t="shared" si="17"/>
        <v>0</v>
      </c>
      <c r="O172" s="931"/>
      <c r="P172" s="932"/>
      <c r="Q172" s="927"/>
      <c r="R172" s="933"/>
      <c r="S172" s="903"/>
    </row>
    <row r="173" spans="2:21" s="901" customFormat="1" ht="25.5" x14ac:dyDescent="0.2">
      <c r="B173" s="947" t="s">
        <v>1017</v>
      </c>
      <c r="C173" s="925" t="s">
        <v>811</v>
      </c>
      <c r="D173" s="925" t="s">
        <v>142</v>
      </c>
      <c r="E173" s="926">
        <v>374000</v>
      </c>
      <c r="F173" s="927"/>
      <c r="G173" s="927">
        <v>374000</v>
      </c>
      <c r="H173" s="927"/>
      <c r="I173" s="928"/>
      <c r="J173" s="927"/>
      <c r="K173" s="927">
        <f t="shared" si="18"/>
        <v>374000</v>
      </c>
      <c r="L173" s="927"/>
      <c r="M173" s="929">
        <f t="shared" si="16"/>
        <v>0</v>
      </c>
      <c r="N173" s="930">
        <f t="shared" si="17"/>
        <v>0</v>
      </c>
      <c r="O173" s="931"/>
      <c r="P173" s="932"/>
      <c r="Q173" s="927"/>
      <c r="R173" s="933"/>
      <c r="S173" s="903" t="s">
        <v>957</v>
      </c>
    </row>
    <row r="174" spans="2:21" s="901" customFormat="1" ht="25.5" x14ac:dyDescent="0.2">
      <c r="B174" s="947" t="s">
        <v>1017</v>
      </c>
      <c r="C174" s="925" t="s">
        <v>1022</v>
      </c>
      <c r="D174" s="925" t="s">
        <v>1023</v>
      </c>
      <c r="E174" s="926">
        <v>1650000</v>
      </c>
      <c r="F174" s="927"/>
      <c r="G174" s="927">
        <v>1650000</v>
      </c>
      <c r="H174" s="927"/>
      <c r="I174" s="928"/>
      <c r="J174" s="927"/>
      <c r="K174" s="927">
        <f t="shared" si="18"/>
        <v>1650000</v>
      </c>
      <c r="L174" s="927"/>
      <c r="M174" s="929">
        <f t="shared" si="16"/>
        <v>0</v>
      </c>
      <c r="N174" s="930">
        <f t="shared" si="17"/>
        <v>0</v>
      </c>
      <c r="O174" s="931"/>
      <c r="P174" s="932"/>
      <c r="Q174" s="927"/>
      <c r="R174" s="933"/>
      <c r="S174" s="903"/>
    </row>
    <row r="175" spans="2:21" s="901" customFormat="1" ht="25.5" x14ac:dyDescent="0.2">
      <c r="B175" s="947" t="s">
        <v>1017</v>
      </c>
      <c r="C175" s="925" t="s">
        <v>691</v>
      </c>
      <c r="D175" s="925" t="s">
        <v>1024</v>
      </c>
      <c r="E175" s="926">
        <v>21288900</v>
      </c>
      <c r="F175" s="927"/>
      <c r="G175" s="956">
        <v>10358549</v>
      </c>
      <c r="H175" s="927">
        <v>10930351</v>
      </c>
      <c r="I175" s="928"/>
      <c r="J175" s="927"/>
      <c r="K175" s="927">
        <f t="shared" si="18"/>
        <v>21288900</v>
      </c>
      <c r="L175" s="927"/>
      <c r="M175" s="929">
        <f t="shared" si="16"/>
        <v>0</v>
      </c>
      <c r="N175" s="930">
        <f t="shared" si="17"/>
        <v>0</v>
      </c>
      <c r="O175" s="931"/>
      <c r="P175" s="932"/>
      <c r="Q175" s="927"/>
      <c r="R175" s="933"/>
      <c r="S175" s="903"/>
    </row>
    <row r="176" spans="2:21" s="901" customFormat="1" ht="25.5" x14ac:dyDescent="0.2">
      <c r="B176" s="947" t="s">
        <v>1017</v>
      </c>
      <c r="C176" s="925" t="s">
        <v>947</v>
      </c>
      <c r="D176" s="925"/>
      <c r="E176" s="926"/>
      <c r="F176" s="927"/>
      <c r="G176" s="927">
        <f>U176</f>
        <v>9294500</v>
      </c>
      <c r="H176" s="927"/>
      <c r="I176" s="928"/>
      <c r="J176" s="927"/>
      <c r="K176" s="927">
        <f>SUM(G176:J176)</f>
        <v>9294500</v>
      </c>
      <c r="L176" s="927"/>
      <c r="M176" s="929">
        <f t="shared" si="16"/>
        <v>-9294500</v>
      </c>
      <c r="N176" s="930">
        <f t="shared" si="17"/>
        <v>-9294500</v>
      </c>
      <c r="O176" s="931"/>
      <c r="P176" s="932"/>
      <c r="Q176" s="927"/>
      <c r="R176" s="933"/>
      <c r="S176" s="903"/>
      <c r="T176" s="901" t="s">
        <v>948</v>
      </c>
      <c r="U176" s="901">
        <f>SUM(U142:U173)</f>
        <v>9294500</v>
      </c>
    </row>
    <row r="177" spans="1:23" s="906" customFormat="1" ht="38.25" x14ac:dyDescent="0.2">
      <c r="B177" s="935" t="s">
        <v>949</v>
      </c>
      <c r="C177" s="936" t="s">
        <v>1025</v>
      </c>
      <c r="D177" s="937"/>
      <c r="E177" s="938"/>
      <c r="F177" s="939"/>
      <c r="G177" s="939"/>
      <c r="H177" s="939"/>
      <c r="I177" s="940"/>
      <c r="J177" s="939"/>
      <c r="K177" s="950">
        <f>SUM(K141:K176)</f>
        <v>1336178905.5</v>
      </c>
      <c r="L177" s="950">
        <f>SUM(L141:L176)</f>
        <v>0</v>
      </c>
      <c r="M177" s="950">
        <f>SUM(M141:M176)</f>
        <v>31126097.5</v>
      </c>
      <c r="N177" s="942">
        <f>SUM(N141:N176)</f>
        <v>31126097.5</v>
      </c>
      <c r="O177" s="943"/>
      <c r="P177" s="944"/>
      <c r="Q177" s="939"/>
      <c r="R177" s="945"/>
      <c r="S177" s="908"/>
      <c r="T177" s="909"/>
      <c r="U177" s="909"/>
      <c r="V177" s="909"/>
      <c r="W177" s="909"/>
    </row>
    <row r="178" spans="1:23" s="888" customFormat="1" ht="25.5" x14ac:dyDescent="0.2">
      <c r="A178" s="888">
        <v>9</v>
      </c>
      <c r="B178" s="947" t="s">
        <v>1026</v>
      </c>
      <c r="C178" s="925" t="s">
        <v>31</v>
      </c>
      <c r="D178" s="925" t="s">
        <v>195</v>
      </c>
      <c r="E178" s="926">
        <v>88673800</v>
      </c>
      <c r="F178" s="927">
        <v>76418000</v>
      </c>
      <c r="G178" s="927">
        <v>50000000</v>
      </c>
      <c r="H178" s="927">
        <v>26418000</v>
      </c>
      <c r="I178" s="928"/>
      <c r="J178" s="927"/>
      <c r="K178" s="927">
        <f>SUM(G178:J178)</f>
        <v>76418000</v>
      </c>
      <c r="L178" s="927"/>
      <c r="M178" s="929">
        <f t="shared" ref="M178:M193" si="19">IF(F178="",E178-K178-L178,F178-K178-L178)</f>
        <v>0</v>
      </c>
      <c r="N178" s="930">
        <f t="shared" si="17"/>
        <v>0</v>
      </c>
      <c r="O178" s="931"/>
      <c r="P178" s="932"/>
      <c r="Q178" s="927"/>
      <c r="R178" s="933"/>
      <c r="S178" s="902"/>
      <c r="T178" s="901" t="s">
        <v>813</v>
      </c>
      <c r="U178" s="901"/>
      <c r="V178" s="901"/>
      <c r="W178" s="901"/>
    </row>
    <row r="179" spans="1:23" s="888" customFormat="1" ht="25.5" x14ac:dyDescent="0.2">
      <c r="B179" s="947" t="s">
        <v>1026</v>
      </c>
      <c r="C179" s="925" t="s">
        <v>215</v>
      </c>
      <c r="D179" s="925" t="s">
        <v>216</v>
      </c>
      <c r="E179" s="926">
        <v>48612698</v>
      </c>
      <c r="F179" s="927">
        <v>48612698</v>
      </c>
      <c r="G179" s="927">
        <v>22096681</v>
      </c>
      <c r="H179" s="927">
        <v>26516017</v>
      </c>
      <c r="I179" s="928"/>
      <c r="J179" s="927"/>
      <c r="K179" s="927">
        <f t="shared" ref="K179:K192" si="20">SUM(G179:J179)</f>
        <v>48612698</v>
      </c>
      <c r="L179" s="927"/>
      <c r="M179" s="929">
        <f t="shared" si="19"/>
        <v>0</v>
      </c>
      <c r="N179" s="930">
        <f t="shared" si="17"/>
        <v>0</v>
      </c>
      <c r="O179" s="931" t="s">
        <v>814</v>
      </c>
      <c r="P179" s="932">
        <v>43900</v>
      </c>
      <c r="Q179" s="927"/>
      <c r="R179" s="933"/>
      <c r="S179" s="903" t="s">
        <v>957</v>
      </c>
      <c r="T179" s="901" t="s">
        <v>1018</v>
      </c>
      <c r="U179" s="901">
        <v>3325000</v>
      </c>
      <c r="V179" s="901"/>
      <c r="W179" s="901"/>
    </row>
    <row r="180" spans="1:23" s="888" customFormat="1" ht="25.5" x14ac:dyDescent="0.2">
      <c r="B180" s="947" t="s">
        <v>1026</v>
      </c>
      <c r="C180" s="925" t="s">
        <v>175</v>
      </c>
      <c r="D180" s="925" t="s">
        <v>176</v>
      </c>
      <c r="E180" s="926">
        <v>5981800</v>
      </c>
      <c r="F180" s="927">
        <v>5981800</v>
      </c>
      <c r="G180" s="927">
        <v>5981800</v>
      </c>
      <c r="H180" s="927"/>
      <c r="I180" s="928"/>
      <c r="J180" s="927"/>
      <c r="K180" s="927">
        <f t="shared" si="20"/>
        <v>5981800</v>
      </c>
      <c r="L180" s="927"/>
      <c r="M180" s="929">
        <f t="shared" si="19"/>
        <v>0</v>
      </c>
      <c r="N180" s="930">
        <f t="shared" si="17"/>
        <v>0</v>
      </c>
      <c r="O180" s="931"/>
      <c r="P180" s="932"/>
      <c r="Q180" s="927"/>
      <c r="R180" s="933"/>
      <c r="S180" s="903" t="s">
        <v>943</v>
      </c>
      <c r="T180" s="901" t="s">
        <v>1019</v>
      </c>
      <c r="U180" s="901">
        <v>1373000</v>
      </c>
      <c r="V180" s="901"/>
      <c r="W180" s="901"/>
    </row>
    <row r="181" spans="1:23" s="888" customFormat="1" ht="25.5" x14ac:dyDescent="0.2">
      <c r="B181" s="947" t="s">
        <v>1026</v>
      </c>
      <c r="C181" s="925" t="s">
        <v>175</v>
      </c>
      <c r="D181" s="925" t="s">
        <v>416</v>
      </c>
      <c r="E181" s="926">
        <v>1100000</v>
      </c>
      <c r="F181" s="927">
        <v>1100000</v>
      </c>
      <c r="G181" s="927">
        <v>1100000</v>
      </c>
      <c r="H181" s="927"/>
      <c r="I181" s="928"/>
      <c r="J181" s="927"/>
      <c r="K181" s="927">
        <f t="shared" si="20"/>
        <v>1100000</v>
      </c>
      <c r="L181" s="927"/>
      <c r="M181" s="929">
        <f t="shared" si="19"/>
        <v>0</v>
      </c>
      <c r="N181" s="930">
        <f t="shared" si="17"/>
        <v>0</v>
      </c>
      <c r="O181" s="931"/>
      <c r="P181" s="932"/>
      <c r="Q181" s="927"/>
      <c r="R181" s="933"/>
      <c r="S181" s="903" t="s">
        <v>943</v>
      </c>
      <c r="T181" s="901" t="s">
        <v>1016</v>
      </c>
      <c r="U181" s="901">
        <v>2864500</v>
      </c>
      <c r="V181" s="901"/>
      <c r="W181" s="901"/>
    </row>
    <row r="182" spans="1:23" s="888" customFormat="1" ht="25.5" x14ac:dyDescent="0.2">
      <c r="B182" s="947" t="s">
        <v>1026</v>
      </c>
      <c r="C182" s="925" t="s">
        <v>769</v>
      </c>
      <c r="D182" s="925" t="s">
        <v>301</v>
      </c>
      <c r="E182" s="926">
        <v>27588000</v>
      </c>
      <c r="F182" s="927">
        <v>27588000</v>
      </c>
      <c r="G182" s="927">
        <v>11275000</v>
      </c>
      <c r="H182" s="927">
        <v>16313000</v>
      </c>
      <c r="I182" s="928"/>
      <c r="J182" s="927"/>
      <c r="K182" s="927">
        <f t="shared" si="20"/>
        <v>27588000</v>
      </c>
      <c r="L182" s="927"/>
      <c r="M182" s="929">
        <f t="shared" si="19"/>
        <v>0</v>
      </c>
      <c r="N182" s="930">
        <f t="shared" si="17"/>
        <v>0</v>
      </c>
      <c r="O182" s="931"/>
      <c r="P182" s="932"/>
      <c r="Q182" s="927"/>
      <c r="R182" s="933"/>
      <c r="S182" s="903"/>
      <c r="T182" s="901" t="s">
        <v>1020</v>
      </c>
      <c r="U182" s="901">
        <v>500000</v>
      </c>
      <c r="V182" s="901"/>
      <c r="W182" s="901"/>
    </row>
    <row r="183" spans="1:23" s="888" customFormat="1" ht="25.5" x14ac:dyDescent="0.2">
      <c r="B183" s="947" t="s">
        <v>1026</v>
      </c>
      <c r="C183" s="925" t="s">
        <v>769</v>
      </c>
      <c r="D183" s="925" t="s">
        <v>229</v>
      </c>
      <c r="E183" s="926">
        <v>6255000</v>
      </c>
      <c r="F183" s="927"/>
      <c r="G183" s="927">
        <v>6255000</v>
      </c>
      <c r="H183" s="927"/>
      <c r="I183" s="928"/>
      <c r="J183" s="927"/>
      <c r="K183" s="927">
        <f t="shared" si="20"/>
        <v>6255000</v>
      </c>
      <c r="L183" s="927"/>
      <c r="M183" s="929">
        <f t="shared" si="19"/>
        <v>0</v>
      </c>
      <c r="N183" s="930">
        <f t="shared" si="17"/>
        <v>0</v>
      </c>
      <c r="O183" s="931"/>
      <c r="P183" s="932"/>
      <c r="Q183" s="927"/>
      <c r="R183" s="933"/>
      <c r="S183" s="903" t="s">
        <v>943</v>
      </c>
      <c r="T183" s="901"/>
      <c r="U183" s="901"/>
      <c r="V183" s="901"/>
      <c r="W183" s="901"/>
    </row>
    <row r="184" spans="1:23" s="888" customFormat="1" ht="25.5" x14ac:dyDescent="0.2">
      <c r="B184" s="947" t="s">
        <v>1026</v>
      </c>
      <c r="C184" s="925" t="s">
        <v>816</v>
      </c>
      <c r="D184" s="925" t="s">
        <v>778</v>
      </c>
      <c r="E184" s="926">
        <v>7084000</v>
      </c>
      <c r="F184" s="927"/>
      <c r="G184" s="927">
        <v>7084000</v>
      </c>
      <c r="H184" s="927"/>
      <c r="I184" s="928"/>
      <c r="J184" s="927"/>
      <c r="K184" s="927">
        <f t="shared" si="20"/>
        <v>7084000</v>
      </c>
      <c r="L184" s="927"/>
      <c r="M184" s="929">
        <f t="shared" si="19"/>
        <v>0</v>
      </c>
      <c r="N184" s="930">
        <f t="shared" si="17"/>
        <v>0</v>
      </c>
      <c r="O184" s="931"/>
      <c r="P184" s="932"/>
      <c r="Q184" s="927"/>
      <c r="R184" s="933"/>
      <c r="S184" s="903" t="s">
        <v>943</v>
      </c>
      <c r="T184" s="901"/>
      <c r="U184" s="901"/>
      <c r="V184" s="901"/>
      <c r="W184" s="901"/>
    </row>
    <row r="185" spans="1:23" s="888" customFormat="1" ht="25.5" x14ac:dyDescent="0.2">
      <c r="B185" s="947" t="s">
        <v>1026</v>
      </c>
      <c r="C185" s="925" t="s">
        <v>247</v>
      </c>
      <c r="D185" s="925" t="s">
        <v>247</v>
      </c>
      <c r="E185" s="926">
        <v>4000000</v>
      </c>
      <c r="F185" s="927"/>
      <c r="G185" s="927">
        <v>4000000</v>
      </c>
      <c r="H185" s="927">
        <v>2500000</v>
      </c>
      <c r="I185" s="928"/>
      <c r="J185" s="927"/>
      <c r="K185" s="927">
        <f t="shared" si="20"/>
        <v>6500000</v>
      </c>
      <c r="L185" s="927"/>
      <c r="M185" s="929">
        <f t="shared" si="19"/>
        <v>-2500000</v>
      </c>
      <c r="N185" s="930">
        <f t="shared" si="17"/>
        <v>-2500000</v>
      </c>
      <c r="O185" s="931"/>
      <c r="P185" s="932"/>
      <c r="Q185" s="927"/>
      <c r="R185" s="933"/>
      <c r="S185" s="903" t="s">
        <v>943</v>
      </c>
      <c r="T185" s="901"/>
      <c r="U185" s="901"/>
      <c r="V185" s="901"/>
      <c r="W185" s="901"/>
    </row>
    <row r="186" spans="1:23" s="888" customFormat="1" ht="25.5" x14ac:dyDescent="0.2">
      <c r="B186" s="947" t="s">
        <v>1026</v>
      </c>
      <c r="C186" s="925" t="s">
        <v>818</v>
      </c>
      <c r="D186" s="925" t="s">
        <v>127</v>
      </c>
      <c r="E186" s="926">
        <v>2500000</v>
      </c>
      <c r="F186" s="927"/>
      <c r="G186" s="927">
        <v>2500000</v>
      </c>
      <c r="H186" s="927"/>
      <c r="I186" s="928"/>
      <c r="J186" s="927"/>
      <c r="K186" s="927">
        <f t="shared" si="20"/>
        <v>2500000</v>
      </c>
      <c r="L186" s="927"/>
      <c r="M186" s="929">
        <f t="shared" si="19"/>
        <v>0</v>
      </c>
      <c r="N186" s="930">
        <f t="shared" si="17"/>
        <v>0</v>
      </c>
      <c r="O186" s="931"/>
      <c r="P186" s="932"/>
      <c r="Q186" s="927"/>
      <c r="R186" s="933"/>
      <c r="S186" s="903"/>
      <c r="T186" s="901"/>
      <c r="U186" s="901"/>
      <c r="V186" s="901"/>
      <c r="W186" s="901"/>
    </row>
    <row r="187" spans="1:23" s="888" customFormat="1" ht="25.5" x14ac:dyDescent="0.2">
      <c r="B187" s="947" t="s">
        <v>1026</v>
      </c>
      <c r="C187" s="925" t="s">
        <v>170</v>
      </c>
      <c r="D187" s="925" t="s">
        <v>171</v>
      </c>
      <c r="E187" s="926"/>
      <c r="F187" s="927">
        <v>2267500</v>
      </c>
      <c r="G187" s="927">
        <v>2267500</v>
      </c>
      <c r="H187" s="927"/>
      <c r="I187" s="928"/>
      <c r="J187" s="927"/>
      <c r="K187" s="927">
        <f t="shared" si="20"/>
        <v>2267500</v>
      </c>
      <c r="L187" s="927"/>
      <c r="M187" s="929">
        <f t="shared" si="19"/>
        <v>0</v>
      </c>
      <c r="N187" s="930">
        <f t="shared" si="17"/>
        <v>0</v>
      </c>
      <c r="O187" s="931"/>
      <c r="P187" s="932"/>
      <c r="Q187" s="927"/>
      <c r="R187" s="933"/>
      <c r="S187" s="903" t="s">
        <v>171</v>
      </c>
      <c r="T187" s="901"/>
      <c r="U187" s="901"/>
      <c r="V187" s="901"/>
      <c r="W187" s="901"/>
    </row>
    <row r="188" spans="1:23" s="888" customFormat="1" ht="25.5" x14ac:dyDescent="0.2">
      <c r="B188" s="947" t="s">
        <v>1026</v>
      </c>
      <c r="C188" s="925" t="s">
        <v>107</v>
      </c>
      <c r="D188" s="925" t="s">
        <v>108</v>
      </c>
      <c r="E188" s="926">
        <v>11280000</v>
      </c>
      <c r="F188" s="927"/>
      <c r="G188" s="927">
        <v>11280000</v>
      </c>
      <c r="H188" s="927"/>
      <c r="I188" s="928"/>
      <c r="J188" s="927"/>
      <c r="K188" s="927">
        <f t="shared" si="20"/>
        <v>11280000</v>
      </c>
      <c r="L188" s="927"/>
      <c r="M188" s="929">
        <f t="shared" si="19"/>
        <v>0</v>
      </c>
      <c r="N188" s="930">
        <f t="shared" si="17"/>
        <v>0</v>
      </c>
      <c r="O188" s="931"/>
      <c r="P188" s="932"/>
      <c r="Q188" s="927"/>
      <c r="R188" s="933"/>
      <c r="S188" s="903"/>
      <c r="T188" s="901"/>
      <c r="U188" s="901"/>
      <c r="V188" s="901"/>
      <c r="W188" s="901"/>
    </row>
    <row r="189" spans="1:23" s="888" customFormat="1" ht="25.5" x14ac:dyDescent="0.2">
      <c r="B189" s="947" t="s">
        <v>1026</v>
      </c>
      <c r="C189" s="925" t="s">
        <v>261</v>
      </c>
      <c r="D189" s="925" t="s">
        <v>695</v>
      </c>
      <c r="E189" s="926">
        <v>43659000</v>
      </c>
      <c r="F189" s="927">
        <v>41283000</v>
      </c>
      <c r="G189" s="927">
        <v>27783000</v>
      </c>
      <c r="H189" s="927">
        <v>13500000</v>
      </c>
      <c r="I189" s="928"/>
      <c r="J189" s="927"/>
      <c r="K189" s="927">
        <f t="shared" si="20"/>
        <v>41283000</v>
      </c>
      <c r="L189" s="927"/>
      <c r="M189" s="929">
        <f t="shared" si="19"/>
        <v>0</v>
      </c>
      <c r="N189" s="930">
        <f t="shared" si="17"/>
        <v>0</v>
      </c>
      <c r="O189" s="931" t="s">
        <v>819</v>
      </c>
      <c r="P189" s="932">
        <v>43906</v>
      </c>
      <c r="Q189" s="927"/>
      <c r="R189" s="933"/>
      <c r="S189" s="903" t="s">
        <v>943</v>
      </c>
      <c r="T189" s="901"/>
      <c r="U189" s="901"/>
      <c r="V189" s="901"/>
      <c r="W189" s="901"/>
    </row>
    <row r="190" spans="1:23" s="888" customFormat="1" ht="25.5" x14ac:dyDescent="0.2">
      <c r="B190" s="947" t="s">
        <v>1026</v>
      </c>
      <c r="C190" s="925" t="s">
        <v>394</v>
      </c>
      <c r="D190" s="925" t="s">
        <v>162</v>
      </c>
      <c r="E190" s="926">
        <v>13000000</v>
      </c>
      <c r="F190" s="927"/>
      <c r="G190" s="927">
        <v>13000000</v>
      </c>
      <c r="H190" s="927"/>
      <c r="I190" s="928"/>
      <c r="J190" s="927"/>
      <c r="K190" s="927">
        <f t="shared" si="20"/>
        <v>13000000</v>
      </c>
      <c r="L190" s="927"/>
      <c r="M190" s="929">
        <f t="shared" si="19"/>
        <v>0</v>
      </c>
      <c r="N190" s="930">
        <f t="shared" si="17"/>
        <v>0</v>
      </c>
      <c r="O190" s="931"/>
      <c r="P190" s="932"/>
      <c r="Q190" s="927"/>
      <c r="R190" s="933"/>
      <c r="S190" s="903"/>
      <c r="T190" s="901"/>
      <c r="U190" s="901"/>
      <c r="V190" s="901"/>
      <c r="W190" s="901"/>
    </row>
    <row r="191" spans="1:23" s="888" customFormat="1" ht="25.5" x14ac:dyDescent="0.2">
      <c r="B191" s="947" t="s">
        <v>1026</v>
      </c>
      <c r="C191" s="925" t="s">
        <v>1027</v>
      </c>
      <c r="D191" s="925" t="s">
        <v>1028</v>
      </c>
      <c r="E191" s="926">
        <v>3675266</v>
      </c>
      <c r="F191" s="927"/>
      <c r="G191" s="927">
        <v>3675266</v>
      </c>
      <c r="H191" s="927"/>
      <c r="I191" s="928"/>
      <c r="J191" s="927"/>
      <c r="K191" s="927">
        <f t="shared" si="20"/>
        <v>3675266</v>
      </c>
      <c r="L191" s="927"/>
      <c r="M191" s="929">
        <f t="shared" si="19"/>
        <v>0</v>
      </c>
      <c r="N191" s="930">
        <f t="shared" si="17"/>
        <v>0</v>
      </c>
      <c r="O191" s="931"/>
      <c r="P191" s="932"/>
      <c r="Q191" s="927"/>
      <c r="R191" s="933"/>
      <c r="S191" s="903"/>
      <c r="T191" s="901"/>
      <c r="U191" s="901"/>
      <c r="V191" s="901"/>
      <c r="W191" s="901"/>
    </row>
    <row r="192" spans="1:23" s="888" customFormat="1" ht="25.5" x14ac:dyDescent="0.2">
      <c r="B192" s="947" t="s">
        <v>1026</v>
      </c>
      <c r="C192" s="925" t="s">
        <v>1029</v>
      </c>
      <c r="D192" s="925" t="s">
        <v>1030</v>
      </c>
      <c r="E192" s="926">
        <v>1250000</v>
      </c>
      <c r="F192" s="927"/>
      <c r="G192" s="927">
        <v>1250000</v>
      </c>
      <c r="H192" s="927"/>
      <c r="I192" s="928"/>
      <c r="J192" s="927"/>
      <c r="K192" s="927">
        <f t="shared" si="20"/>
        <v>1250000</v>
      </c>
      <c r="L192" s="927"/>
      <c r="M192" s="929">
        <f t="shared" si="19"/>
        <v>0</v>
      </c>
      <c r="N192" s="930">
        <f t="shared" si="17"/>
        <v>0</v>
      </c>
      <c r="O192" s="931"/>
      <c r="P192" s="932"/>
      <c r="Q192" s="927"/>
      <c r="R192" s="933"/>
      <c r="S192" s="903"/>
      <c r="T192" s="901"/>
      <c r="U192" s="901"/>
      <c r="V192" s="901"/>
      <c r="W192" s="901"/>
    </row>
    <row r="193" spans="1:23" s="888" customFormat="1" ht="25.5" x14ac:dyDescent="0.2">
      <c r="B193" s="947" t="s">
        <v>1026</v>
      </c>
      <c r="C193" s="925" t="s">
        <v>947</v>
      </c>
      <c r="D193" s="925"/>
      <c r="E193" s="926"/>
      <c r="F193" s="927"/>
      <c r="G193" s="927">
        <f>U193</f>
        <v>8062500</v>
      </c>
      <c r="H193" s="927"/>
      <c r="I193" s="928"/>
      <c r="J193" s="927"/>
      <c r="K193" s="927">
        <f>SUM(G193:J193)</f>
        <v>8062500</v>
      </c>
      <c r="L193" s="927"/>
      <c r="M193" s="929">
        <f t="shared" si="19"/>
        <v>-8062500</v>
      </c>
      <c r="N193" s="930">
        <f t="shared" si="17"/>
        <v>-8062500</v>
      </c>
      <c r="O193" s="931"/>
      <c r="P193" s="932"/>
      <c r="Q193" s="927"/>
      <c r="R193" s="933"/>
      <c r="S193" s="903"/>
      <c r="T193" s="901" t="s">
        <v>948</v>
      </c>
      <c r="U193" s="901">
        <f>SUM(U179:U190)</f>
        <v>8062500</v>
      </c>
      <c r="V193" s="901"/>
      <c r="W193" s="901"/>
    </row>
    <row r="194" spans="1:23" s="906" customFormat="1" ht="25.5" x14ac:dyDescent="0.2">
      <c r="B194" s="935" t="s">
        <v>997</v>
      </c>
      <c r="C194" s="957" t="s">
        <v>1031</v>
      </c>
      <c r="D194" s="937"/>
      <c r="E194" s="938"/>
      <c r="F194" s="939"/>
      <c r="G194" s="939"/>
      <c r="H194" s="939"/>
      <c r="I194" s="940"/>
      <c r="J194" s="939"/>
      <c r="K194" s="950">
        <f>SUM(K178:K193)</f>
        <v>262857764</v>
      </c>
      <c r="L194" s="950">
        <f>SUM(L178:L193)</f>
        <v>0</v>
      </c>
      <c r="M194" s="950">
        <f>SUM(M178:M193)</f>
        <v>-10562500</v>
      </c>
      <c r="N194" s="942">
        <f>SUM(N178:N193)</f>
        <v>-10562500</v>
      </c>
      <c r="O194" s="943"/>
      <c r="P194" s="944"/>
      <c r="Q194" s="939"/>
      <c r="R194" s="945"/>
      <c r="S194" s="908"/>
      <c r="T194" s="909"/>
      <c r="U194" s="909"/>
      <c r="V194" s="909"/>
      <c r="W194" s="909"/>
    </row>
    <row r="195" spans="1:23" s="888" customFormat="1" ht="12.75" x14ac:dyDescent="0.2">
      <c r="A195" s="888">
        <v>10</v>
      </c>
      <c r="B195" s="947" t="s">
        <v>1032</v>
      </c>
      <c r="C195" s="925" t="s">
        <v>175</v>
      </c>
      <c r="D195" s="925" t="s">
        <v>416</v>
      </c>
      <c r="E195" s="926">
        <v>1100000</v>
      </c>
      <c r="F195" s="927">
        <v>1100000</v>
      </c>
      <c r="G195" s="927">
        <v>1100000</v>
      </c>
      <c r="H195" s="927"/>
      <c r="I195" s="928"/>
      <c r="J195" s="927"/>
      <c r="K195" s="927">
        <f>SUM(G195:J195)</f>
        <v>1100000</v>
      </c>
      <c r="L195" s="927"/>
      <c r="M195" s="929">
        <f t="shared" ref="M195:M223" si="21">IF(F195="",E195-K195-L195,F195-K195-L195)</f>
        <v>0</v>
      </c>
      <c r="N195" s="930">
        <f t="shared" si="17"/>
        <v>0</v>
      </c>
      <c r="O195" s="931"/>
      <c r="P195" s="932"/>
      <c r="Q195" s="927"/>
      <c r="R195" s="933"/>
      <c r="S195" s="903" t="s">
        <v>943</v>
      </c>
      <c r="T195" s="901" t="s">
        <v>822</v>
      </c>
      <c r="U195" s="901"/>
      <c r="V195" s="901"/>
      <c r="W195" s="901"/>
    </row>
    <row r="196" spans="1:23" s="888" customFormat="1" ht="12.75" x14ac:dyDescent="0.2">
      <c r="B196" s="947" t="s">
        <v>1032</v>
      </c>
      <c r="C196" s="925" t="s">
        <v>823</v>
      </c>
      <c r="D196" s="925" t="s">
        <v>416</v>
      </c>
      <c r="E196" s="926">
        <v>1904000</v>
      </c>
      <c r="F196" s="927"/>
      <c r="G196" s="927">
        <v>1904000</v>
      </c>
      <c r="H196" s="927"/>
      <c r="I196" s="928"/>
      <c r="J196" s="927"/>
      <c r="K196" s="927">
        <f t="shared" ref="K196:K223" si="22">SUM(G196:J196)</f>
        <v>1904000</v>
      </c>
      <c r="L196" s="927"/>
      <c r="M196" s="929">
        <f t="shared" si="21"/>
        <v>0</v>
      </c>
      <c r="N196" s="930">
        <f t="shared" si="17"/>
        <v>0</v>
      </c>
      <c r="O196" s="931"/>
      <c r="P196" s="932"/>
      <c r="Q196" s="927"/>
      <c r="R196" s="933"/>
      <c r="S196" s="903" t="s">
        <v>943</v>
      </c>
      <c r="T196" s="901" t="s">
        <v>1003</v>
      </c>
      <c r="U196" s="901">
        <v>900000</v>
      </c>
      <c r="V196" s="901"/>
      <c r="W196" s="901"/>
    </row>
    <row r="197" spans="1:23" s="888" customFormat="1" ht="25.5" x14ac:dyDescent="0.2">
      <c r="B197" s="947" t="s">
        <v>1032</v>
      </c>
      <c r="C197" s="925" t="s">
        <v>394</v>
      </c>
      <c r="D197" s="925" t="s">
        <v>824</v>
      </c>
      <c r="E197" s="926">
        <v>21600000</v>
      </c>
      <c r="F197" s="927"/>
      <c r="G197" s="927">
        <v>16600000</v>
      </c>
      <c r="H197" s="927">
        <v>5000000</v>
      </c>
      <c r="I197" s="928"/>
      <c r="J197" s="927"/>
      <c r="K197" s="927">
        <f t="shared" si="22"/>
        <v>21600000</v>
      </c>
      <c r="L197" s="927"/>
      <c r="M197" s="929">
        <f t="shared" si="21"/>
        <v>0</v>
      </c>
      <c r="N197" s="930">
        <f t="shared" si="17"/>
        <v>0</v>
      </c>
      <c r="O197" s="931"/>
      <c r="P197" s="932"/>
      <c r="Q197" s="927"/>
      <c r="R197" s="933"/>
      <c r="S197" s="903"/>
      <c r="T197" s="901" t="s">
        <v>1004</v>
      </c>
      <c r="U197" s="901">
        <v>2400000</v>
      </c>
      <c r="V197" s="901"/>
      <c r="W197" s="901"/>
    </row>
    <row r="198" spans="1:23" s="888" customFormat="1" ht="12.75" x14ac:dyDescent="0.2">
      <c r="B198" s="947" t="s">
        <v>1032</v>
      </c>
      <c r="C198" s="925" t="s">
        <v>31</v>
      </c>
      <c r="D198" s="925" t="s">
        <v>825</v>
      </c>
      <c r="E198" s="926">
        <v>7140000</v>
      </c>
      <c r="F198" s="927">
        <v>19774000</v>
      </c>
      <c r="G198" s="927">
        <v>7140000</v>
      </c>
      <c r="H198" s="927">
        <v>12634000</v>
      </c>
      <c r="I198" s="928"/>
      <c r="J198" s="927"/>
      <c r="K198" s="927">
        <f t="shared" si="22"/>
        <v>19774000</v>
      </c>
      <c r="L198" s="927"/>
      <c r="M198" s="929">
        <f t="shared" si="21"/>
        <v>0</v>
      </c>
      <c r="N198" s="930">
        <f t="shared" si="17"/>
        <v>0</v>
      </c>
      <c r="O198" s="931"/>
      <c r="P198" s="932"/>
      <c r="Q198" s="927"/>
      <c r="R198" s="933"/>
      <c r="S198" s="903"/>
      <c r="T198" s="901" t="s">
        <v>1018</v>
      </c>
      <c r="U198" s="901">
        <v>2700000</v>
      </c>
      <c r="V198" s="901"/>
      <c r="W198" s="901"/>
    </row>
    <row r="199" spans="1:23" s="888" customFormat="1" ht="12.75" x14ac:dyDescent="0.2">
      <c r="B199" s="947" t="s">
        <v>1032</v>
      </c>
      <c r="C199" s="925" t="s">
        <v>50</v>
      </c>
      <c r="D199" s="925" t="s">
        <v>61</v>
      </c>
      <c r="E199" s="926">
        <v>78936000</v>
      </c>
      <c r="F199" s="927"/>
      <c r="G199" s="927">
        <v>38918000</v>
      </c>
      <c r="H199" s="927">
        <v>40018000</v>
      </c>
      <c r="I199" s="928"/>
      <c r="J199" s="927"/>
      <c r="K199" s="927">
        <f t="shared" si="22"/>
        <v>78936000</v>
      </c>
      <c r="L199" s="927"/>
      <c r="M199" s="929">
        <f t="shared" si="21"/>
        <v>0</v>
      </c>
      <c r="N199" s="930">
        <f t="shared" si="17"/>
        <v>0</v>
      </c>
      <c r="O199" s="931"/>
      <c r="P199" s="932"/>
      <c r="Q199" s="927"/>
      <c r="R199" s="933"/>
      <c r="S199" s="903" t="s">
        <v>943</v>
      </c>
      <c r="T199" s="901" t="s">
        <v>1019</v>
      </c>
      <c r="U199" s="901">
        <v>1800000</v>
      </c>
      <c r="V199" s="901"/>
      <c r="W199" s="901"/>
    </row>
    <row r="200" spans="1:23" s="888" customFormat="1" ht="12.75" x14ac:dyDescent="0.2">
      <c r="B200" s="947" t="s">
        <v>1032</v>
      </c>
      <c r="C200" s="925" t="s">
        <v>50</v>
      </c>
      <c r="D200" s="925" t="s">
        <v>323</v>
      </c>
      <c r="E200" s="926">
        <v>24472800</v>
      </c>
      <c r="F200" s="927"/>
      <c r="G200" s="927">
        <v>17130960</v>
      </c>
      <c r="H200" s="927">
        <v>7341840</v>
      </c>
      <c r="I200" s="928"/>
      <c r="J200" s="927"/>
      <c r="K200" s="927">
        <f t="shared" si="22"/>
        <v>24472800</v>
      </c>
      <c r="L200" s="927"/>
      <c r="M200" s="929">
        <f t="shared" si="21"/>
        <v>0</v>
      </c>
      <c r="N200" s="930">
        <f t="shared" si="17"/>
        <v>0</v>
      </c>
      <c r="O200" s="931" t="s">
        <v>827</v>
      </c>
      <c r="P200" s="932"/>
      <c r="Q200" s="927"/>
      <c r="R200" s="933"/>
      <c r="S200" s="903" t="s">
        <v>943</v>
      </c>
      <c r="T200" s="901" t="s">
        <v>1016</v>
      </c>
      <c r="U200" s="901">
        <v>1032000</v>
      </c>
      <c r="V200" s="901"/>
      <c r="W200" s="901"/>
    </row>
    <row r="201" spans="1:23" s="888" customFormat="1" ht="25.5" x14ac:dyDescent="0.2">
      <c r="B201" s="947" t="s">
        <v>1032</v>
      </c>
      <c r="C201" s="925" t="s">
        <v>828</v>
      </c>
      <c r="D201" s="925" t="s">
        <v>829</v>
      </c>
      <c r="E201" s="934">
        <f>K201</f>
        <v>294525</v>
      </c>
      <c r="F201" s="927"/>
      <c r="G201" s="927">
        <v>294525</v>
      </c>
      <c r="H201" s="927"/>
      <c r="I201" s="928"/>
      <c r="J201" s="927"/>
      <c r="K201" s="927">
        <f t="shared" si="22"/>
        <v>294525</v>
      </c>
      <c r="L201" s="927"/>
      <c r="M201" s="929">
        <f t="shared" si="21"/>
        <v>0</v>
      </c>
      <c r="N201" s="930">
        <f t="shared" si="17"/>
        <v>0</v>
      </c>
      <c r="O201" s="931"/>
      <c r="P201" s="932"/>
      <c r="Q201" s="927"/>
      <c r="R201" s="933"/>
      <c r="S201" s="903"/>
      <c r="T201" s="901" t="s">
        <v>1020</v>
      </c>
      <c r="U201" s="901">
        <v>300000</v>
      </c>
      <c r="V201" s="901"/>
      <c r="W201" s="901"/>
    </row>
    <row r="202" spans="1:23" s="888" customFormat="1" ht="25.5" x14ac:dyDescent="0.2">
      <c r="B202" s="947" t="s">
        <v>1032</v>
      </c>
      <c r="C202" s="925" t="s">
        <v>831</v>
      </c>
      <c r="D202" s="925" t="s">
        <v>526</v>
      </c>
      <c r="E202" s="934">
        <f>K202</f>
        <v>2000000</v>
      </c>
      <c r="F202" s="927"/>
      <c r="G202" s="927">
        <v>2000000</v>
      </c>
      <c r="H202" s="927"/>
      <c r="I202" s="928"/>
      <c r="J202" s="927"/>
      <c r="K202" s="927">
        <f t="shared" si="22"/>
        <v>2000000</v>
      </c>
      <c r="L202" s="927"/>
      <c r="M202" s="929">
        <f t="shared" si="21"/>
        <v>0</v>
      </c>
      <c r="N202" s="930">
        <f t="shared" si="17"/>
        <v>0</v>
      </c>
      <c r="O202" s="931"/>
      <c r="P202" s="932"/>
      <c r="Q202" s="927"/>
      <c r="R202" s="933"/>
      <c r="S202" s="903"/>
      <c r="T202" s="901" t="s">
        <v>1021</v>
      </c>
      <c r="U202" s="901">
        <v>1248000</v>
      </c>
      <c r="V202" s="901"/>
      <c r="W202" s="901"/>
    </row>
    <row r="203" spans="1:23" s="888" customFormat="1" ht="25.5" x14ac:dyDescent="0.2">
      <c r="B203" s="947" t="s">
        <v>1032</v>
      </c>
      <c r="C203" s="925" t="s">
        <v>92</v>
      </c>
      <c r="D203" s="925" t="s">
        <v>204</v>
      </c>
      <c r="E203" s="926">
        <v>56045000</v>
      </c>
      <c r="F203" s="927">
        <v>69982000</v>
      </c>
      <c r="G203" s="927">
        <v>15285000</v>
      </c>
      <c r="H203" s="927">
        <v>20380000</v>
      </c>
      <c r="I203" s="928">
        <v>34317000</v>
      </c>
      <c r="J203" s="927"/>
      <c r="K203" s="927">
        <f t="shared" si="22"/>
        <v>69982000</v>
      </c>
      <c r="L203" s="927"/>
      <c r="M203" s="929">
        <f t="shared" si="21"/>
        <v>0</v>
      </c>
      <c r="N203" s="930">
        <f t="shared" si="17"/>
        <v>0</v>
      </c>
      <c r="O203" s="931" t="s">
        <v>725</v>
      </c>
      <c r="P203" s="932"/>
      <c r="Q203" s="927"/>
      <c r="R203" s="933"/>
      <c r="S203" s="903" t="s">
        <v>943</v>
      </c>
      <c r="T203" s="901"/>
      <c r="U203" s="901"/>
      <c r="V203" s="901"/>
      <c r="W203" s="901"/>
    </row>
    <row r="204" spans="1:23" s="888" customFormat="1" ht="12.75" x14ac:dyDescent="0.2">
      <c r="B204" s="947" t="s">
        <v>1032</v>
      </c>
      <c r="C204" s="925" t="s">
        <v>99</v>
      </c>
      <c r="D204" s="925" t="s">
        <v>100</v>
      </c>
      <c r="E204" s="926">
        <v>139717600</v>
      </c>
      <c r="F204" s="927">
        <v>139717600</v>
      </c>
      <c r="G204" s="927">
        <v>41915280</v>
      </c>
      <c r="H204" s="927">
        <v>97802320</v>
      </c>
      <c r="I204" s="928"/>
      <c r="J204" s="927"/>
      <c r="K204" s="927">
        <f t="shared" si="22"/>
        <v>139717600</v>
      </c>
      <c r="L204" s="927"/>
      <c r="M204" s="929">
        <f t="shared" si="21"/>
        <v>0</v>
      </c>
      <c r="N204" s="930">
        <f t="shared" si="17"/>
        <v>0</v>
      </c>
      <c r="O204" s="931"/>
      <c r="P204" s="932"/>
      <c r="Q204" s="927"/>
      <c r="R204" s="933"/>
      <c r="S204" s="903" t="s">
        <v>943</v>
      </c>
      <c r="T204" s="901"/>
      <c r="U204" s="901"/>
      <c r="V204" s="901"/>
      <c r="W204" s="901"/>
    </row>
    <row r="205" spans="1:23" s="888" customFormat="1" ht="25.5" x14ac:dyDescent="0.2">
      <c r="B205" s="947" t="s">
        <v>1032</v>
      </c>
      <c r="C205" s="925" t="s">
        <v>514</v>
      </c>
      <c r="D205" s="925" t="s">
        <v>114</v>
      </c>
      <c r="E205" s="926">
        <v>6714000</v>
      </c>
      <c r="F205" s="927"/>
      <c r="G205" s="927">
        <v>6714000</v>
      </c>
      <c r="H205" s="927"/>
      <c r="I205" s="928"/>
      <c r="J205" s="927"/>
      <c r="K205" s="927">
        <f t="shared" si="22"/>
        <v>6714000</v>
      </c>
      <c r="L205" s="927"/>
      <c r="M205" s="929">
        <f t="shared" si="21"/>
        <v>0</v>
      </c>
      <c r="N205" s="930">
        <f t="shared" ref="N205:N268" si="23">IF($F205="",($E205-$K205),($F205-$K205))</f>
        <v>0</v>
      </c>
      <c r="O205" s="931"/>
      <c r="P205" s="932"/>
      <c r="Q205" s="927"/>
      <c r="R205" s="933"/>
      <c r="S205" s="903" t="s">
        <v>957</v>
      </c>
      <c r="T205" s="901"/>
      <c r="U205" s="901"/>
      <c r="V205" s="901"/>
      <c r="W205" s="901"/>
    </row>
    <row r="206" spans="1:23" s="888" customFormat="1" ht="12.75" x14ac:dyDescent="0.2">
      <c r="B206" s="947" t="s">
        <v>1032</v>
      </c>
      <c r="C206" s="925" t="s">
        <v>107</v>
      </c>
      <c r="D206" s="925" t="s">
        <v>341</v>
      </c>
      <c r="E206" s="926">
        <v>4800000</v>
      </c>
      <c r="F206" s="927">
        <v>4800000</v>
      </c>
      <c r="G206" s="927">
        <v>2800000</v>
      </c>
      <c r="H206" s="927">
        <v>2000000</v>
      </c>
      <c r="I206" s="928"/>
      <c r="J206" s="927"/>
      <c r="K206" s="927">
        <f t="shared" si="22"/>
        <v>4800000</v>
      </c>
      <c r="L206" s="927"/>
      <c r="M206" s="929">
        <f t="shared" si="21"/>
        <v>0</v>
      </c>
      <c r="N206" s="930">
        <f t="shared" si="23"/>
        <v>0</v>
      </c>
      <c r="O206" s="931"/>
      <c r="P206" s="932"/>
      <c r="Q206" s="927"/>
      <c r="R206" s="933"/>
      <c r="S206" s="903"/>
      <c r="T206" s="901"/>
      <c r="U206" s="901"/>
      <c r="V206" s="901"/>
      <c r="W206" s="901"/>
    </row>
    <row r="207" spans="1:23" s="888" customFormat="1" ht="12.75" x14ac:dyDescent="0.2">
      <c r="B207" s="947" t="s">
        <v>1032</v>
      </c>
      <c r="C207" s="925" t="s">
        <v>834</v>
      </c>
      <c r="D207" s="925" t="s">
        <v>273</v>
      </c>
      <c r="E207" s="926">
        <v>8566950</v>
      </c>
      <c r="F207" s="927">
        <v>20546400</v>
      </c>
      <c r="G207" s="927">
        <v>8566950</v>
      </c>
      <c r="H207" s="927">
        <v>11980400</v>
      </c>
      <c r="I207" s="928">
        <v>-950</v>
      </c>
      <c r="J207" s="927"/>
      <c r="K207" s="927">
        <f t="shared" si="22"/>
        <v>20546400</v>
      </c>
      <c r="L207" s="927"/>
      <c r="M207" s="929">
        <f t="shared" si="21"/>
        <v>0</v>
      </c>
      <c r="N207" s="930">
        <f t="shared" si="23"/>
        <v>0</v>
      </c>
      <c r="O207" s="931"/>
      <c r="P207" s="932"/>
      <c r="Q207" s="927"/>
      <c r="R207" s="933"/>
      <c r="S207" s="903"/>
      <c r="T207" s="901"/>
      <c r="U207" s="901"/>
      <c r="V207" s="901"/>
      <c r="W207" s="901"/>
    </row>
    <row r="208" spans="1:23" s="888" customFormat="1" ht="25.5" x14ac:dyDescent="0.2">
      <c r="B208" s="947" t="s">
        <v>1032</v>
      </c>
      <c r="C208" s="925" t="s">
        <v>835</v>
      </c>
      <c r="D208" s="925" t="s">
        <v>836</v>
      </c>
      <c r="E208" s="926">
        <v>3696000</v>
      </c>
      <c r="F208" s="927"/>
      <c r="G208" s="927">
        <v>3696000</v>
      </c>
      <c r="H208" s="927"/>
      <c r="I208" s="928"/>
      <c r="J208" s="927"/>
      <c r="K208" s="927">
        <f t="shared" si="22"/>
        <v>3696000</v>
      </c>
      <c r="L208" s="927"/>
      <c r="M208" s="929">
        <f t="shared" si="21"/>
        <v>0</v>
      </c>
      <c r="N208" s="930">
        <f t="shared" si="23"/>
        <v>0</v>
      </c>
      <c r="O208" s="931"/>
      <c r="P208" s="932"/>
      <c r="Q208" s="927"/>
      <c r="R208" s="933"/>
      <c r="S208" s="903" t="s">
        <v>1033</v>
      </c>
      <c r="T208" s="901"/>
      <c r="U208" s="901"/>
      <c r="V208" s="901"/>
      <c r="W208" s="901"/>
    </row>
    <row r="209" spans="2:19" s="901" customFormat="1" ht="12.75" x14ac:dyDescent="0.2">
      <c r="B209" s="947" t="s">
        <v>1032</v>
      </c>
      <c r="C209" s="925" t="s">
        <v>838</v>
      </c>
      <c r="D209" s="925"/>
      <c r="E209" s="926">
        <v>1440750</v>
      </c>
      <c r="F209" s="927"/>
      <c r="G209" s="927">
        <v>1440750</v>
      </c>
      <c r="H209" s="927"/>
      <c r="I209" s="928"/>
      <c r="J209" s="927"/>
      <c r="K209" s="927">
        <f t="shared" si="22"/>
        <v>1440750</v>
      </c>
      <c r="L209" s="927"/>
      <c r="M209" s="929">
        <f t="shared" si="21"/>
        <v>0</v>
      </c>
      <c r="N209" s="930">
        <f t="shared" si="23"/>
        <v>0</v>
      </c>
      <c r="O209" s="931"/>
      <c r="P209" s="932"/>
      <c r="Q209" s="927"/>
      <c r="R209" s="933"/>
      <c r="S209" s="903"/>
    </row>
    <row r="210" spans="2:19" s="901" customFormat="1" ht="12.75" x14ac:dyDescent="0.2">
      <c r="B210" s="947" t="s">
        <v>1032</v>
      </c>
      <c r="C210" s="925" t="s">
        <v>839</v>
      </c>
      <c r="D210" s="925" t="s">
        <v>840</v>
      </c>
      <c r="E210" s="926"/>
      <c r="F210" s="927">
        <v>3824000</v>
      </c>
      <c r="G210" s="927">
        <v>3824000</v>
      </c>
      <c r="H210" s="927"/>
      <c r="I210" s="928"/>
      <c r="J210" s="927"/>
      <c r="K210" s="927">
        <f t="shared" si="22"/>
        <v>3824000</v>
      </c>
      <c r="L210" s="927"/>
      <c r="M210" s="929">
        <f t="shared" si="21"/>
        <v>0</v>
      </c>
      <c r="N210" s="930">
        <f t="shared" si="23"/>
        <v>0</v>
      </c>
      <c r="O210" s="931"/>
      <c r="P210" s="932"/>
      <c r="Q210" s="927"/>
      <c r="R210" s="933"/>
      <c r="S210" s="903" t="s">
        <v>943</v>
      </c>
    </row>
    <row r="211" spans="2:19" s="901" customFormat="1" ht="25.5" x14ac:dyDescent="0.2">
      <c r="B211" s="947" t="s">
        <v>1032</v>
      </c>
      <c r="C211" s="925" t="s">
        <v>257</v>
      </c>
      <c r="D211" s="925" t="s">
        <v>286</v>
      </c>
      <c r="E211" s="926"/>
      <c r="F211" s="927">
        <v>3859649</v>
      </c>
      <c r="G211" s="927">
        <v>3859649</v>
      </c>
      <c r="H211" s="927"/>
      <c r="I211" s="928"/>
      <c r="J211" s="927"/>
      <c r="K211" s="927">
        <f t="shared" si="22"/>
        <v>3859649</v>
      </c>
      <c r="L211" s="927"/>
      <c r="M211" s="929">
        <f t="shared" si="21"/>
        <v>0</v>
      </c>
      <c r="N211" s="930">
        <f t="shared" si="23"/>
        <v>0</v>
      </c>
      <c r="O211" s="931"/>
      <c r="P211" s="932"/>
      <c r="Q211" s="927"/>
      <c r="R211" s="933"/>
      <c r="S211" s="903"/>
    </row>
    <row r="212" spans="2:19" s="901" customFormat="1" ht="25.5" x14ac:dyDescent="0.2">
      <c r="B212" s="947" t="s">
        <v>1032</v>
      </c>
      <c r="C212" s="925" t="s">
        <v>769</v>
      </c>
      <c r="D212" s="925" t="s">
        <v>229</v>
      </c>
      <c r="E212" s="926">
        <v>14018000</v>
      </c>
      <c r="F212" s="927"/>
      <c r="G212" s="927">
        <v>14018000</v>
      </c>
      <c r="H212" s="927"/>
      <c r="I212" s="928"/>
      <c r="J212" s="927"/>
      <c r="K212" s="927">
        <f t="shared" si="22"/>
        <v>14018000</v>
      </c>
      <c r="L212" s="927"/>
      <c r="M212" s="929">
        <f t="shared" si="21"/>
        <v>0</v>
      </c>
      <c r="N212" s="930">
        <f t="shared" si="23"/>
        <v>0</v>
      </c>
      <c r="O212" s="931" t="s">
        <v>844</v>
      </c>
      <c r="P212" s="932">
        <v>43915</v>
      </c>
      <c r="Q212" s="927"/>
      <c r="R212" s="933"/>
      <c r="S212" s="903" t="s">
        <v>943</v>
      </c>
    </row>
    <row r="213" spans="2:19" s="901" customFormat="1" ht="25.5" x14ac:dyDescent="0.2">
      <c r="B213" s="947" t="s">
        <v>1032</v>
      </c>
      <c r="C213" s="925" t="s">
        <v>845</v>
      </c>
      <c r="D213" s="925" t="s">
        <v>846</v>
      </c>
      <c r="E213" s="926">
        <v>13352000</v>
      </c>
      <c r="F213" s="927"/>
      <c r="G213" s="927">
        <v>13352000</v>
      </c>
      <c r="H213" s="927"/>
      <c r="I213" s="928"/>
      <c r="J213" s="927"/>
      <c r="K213" s="927">
        <f t="shared" si="22"/>
        <v>13352000</v>
      </c>
      <c r="L213" s="927"/>
      <c r="M213" s="929">
        <f t="shared" si="21"/>
        <v>0</v>
      </c>
      <c r="N213" s="930">
        <f t="shared" si="23"/>
        <v>0</v>
      </c>
      <c r="O213" s="931"/>
      <c r="P213" s="932"/>
      <c r="Q213" s="927"/>
      <c r="R213" s="933"/>
      <c r="S213" s="903" t="s">
        <v>1033</v>
      </c>
    </row>
    <row r="214" spans="2:19" s="901" customFormat="1" ht="25.5" x14ac:dyDescent="0.2">
      <c r="B214" s="947" t="s">
        <v>1032</v>
      </c>
      <c r="C214" s="925" t="s">
        <v>158</v>
      </c>
      <c r="D214" s="925" t="s">
        <v>441</v>
      </c>
      <c r="E214" s="926">
        <v>3542000</v>
      </c>
      <c r="F214" s="927"/>
      <c r="G214" s="927">
        <v>3542000</v>
      </c>
      <c r="H214" s="927"/>
      <c r="I214" s="928"/>
      <c r="J214" s="927"/>
      <c r="K214" s="927">
        <f t="shared" si="22"/>
        <v>3542000</v>
      </c>
      <c r="L214" s="927"/>
      <c r="M214" s="929">
        <f t="shared" si="21"/>
        <v>0</v>
      </c>
      <c r="N214" s="930">
        <f t="shared" si="23"/>
        <v>0</v>
      </c>
      <c r="O214" s="931"/>
      <c r="P214" s="932"/>
      <c r="Q214" s="927"/>
      <c r="R214" s="933"/>
      <c r="S214" s="903"/>
    </row>
    <row r="215" spans="2:19" s="901" customFormat="1" ht="12.75" x14ac:dyDescent="0.2">
      <c r="B215" s="947" t="s">
        <v>1032</v>
      </c>
      <c r="C215" s="925" t="s">
        <v>118</v>
      </c>
      <c r="D215" s="925" t="s">
        <v>301</v>
      </c>
      <c r="E215" s="926">
        <v>44855950</v>
      </c>
      <c r="F215" s="927"/>
      <c r="G215" s="927">
        <v>34855950</v>
      </c>
      <c r="H215" s="927">
        <v>10000000</v>
      </c>
      <c r="I215" s="928"/>
      <c r="J215" s="927"/>
      <c r="K215" s="927">
        <f t="shared" si="22"/>
        <v>44855950</v>
      </c>
      <c r="L215" s="927"/>
      <c r="M215" s="929">
        <f t="shared" si="21"/>
        <v>0</v>
      </c>
      <c r="N215" s="930">
        <f t="shared" si="23"/>
        <v>0</v>
      </c>
      <c r="O215" s="931"/>
      <c r="P215" s="932"/>
      <c r="Q215" s="927"/>
      <c r="R215" s="933"/>
      <c r="S215" s="903"/>
    </row>
    <row r="216" spans="2:19" s="901" customFormat="1" ht="12.75" x14ac:dyDescent="0.2">
      <c r="B216" s="947" t="s">
        <v>1032</v>
      </c>
      <c r="C216" s="925" t="s">
        <v>254</v>
      </c>
      <c r="D216" s="925" t="s">
        <v>299</v>
      </c>
      <c r="E216" s="926">
        <v>660000</v>
      </c>
      <c r="F216" s="927"/>
      <c r="G216" s="927">
        <v>660000</v>
      </c>
      <c r="H216" s="927"/>
      <c r="I216" s="928"/>
      <c r="J216" s="927"/>
      <c r="K216" s="927">
        <f t="shared" si="22"/>
        <v>660000</v>
      </c>
      <c r="L216" s="927"/>
      <c r="M216" s="929">
        <f t="shared" si="21"/>
        <v>0</v>
      </c>
      <c r="N216" s="930">
        <f t="shared" si="23"/>
        <v>0</v>
      </c>
      <c r="O216" s="931"/>
      <c r="P216" s="932"/>
      <c r="Q216" s="927"/>
      <c r="R216" s="933"/>
      <c r="S216" s="903"/>
    </row>
    <row r="217" spans="2:19" s="901" customFormat="1" ht="12.75" x14ac:dyDescent="0.2">
      <c r="B217" s="947" t="s">
        <v>1032</v>
      </c>
      <c r="C217" s="925" t="s">
        <v>170</v>
      </c>
      <c r="D217" s="925" t="s">
        <v>171</v>
      </c>
      <c r="E217" s="926"/>
      <c r="F217" s="927">
        <v>33332000</v>
      </c>
      <c r="G217" s="927">
        <v>33332000</v>
      </c>
      <c r="H217" s="927"/>
      <c r="I217" s="928"/>
      <c r="J217" s="927"/>
      <c r="K217" s="927">
        <f t="shared" si="22"/>
        <v>33332000</v>
      </c>
      <c r="L217" s="927"/>
      <c r="M217" s="929">
        <f t="shared" si="21"/>
        <v>0</v>
      </c>
      <c r="N217" s="930">
        <f t="shared" si="23"/>
        <v>0</v>
      </c>
      <c r="O217" s="931"/>
      <c r="P217" s="932"/>
      <c r="Q217" s="927"/>
      <c r="R217" s="933"/>
      <c r="S217" s="903" t="s">
        <v>171</v>
      </c>
    </row>
    <row r="218" spans="2:19" s="901" customFormat="1" ht="25.5" x14ac:dyDescent="0.2">
      <c r="B218" s="947" t="s">
        <v>1032</v>
      </c>
      <c r="C218" s="925" t="s">
        <v>250</v>
      </c>
      <c r="D218" s="925" t="s">
        <v>251</v>
      </c>
      <c r="E218" s="926">
        <v>5280000</v>
      </c>
      <c r="F218" s="927"/>
      <c r="G218" s="927">
        <v>5280000</v>
      </c>
      <c r="H218" s="927"/>
      <c r="I218" s="928"/>
      <c r="J218" s="927"/>
      <c r="K218" s="927">
        <f t="shared" si="22"/>
        <v>5280000</v>
      </c>
      <c r="L218" s="927"/>
      <c r="M218" s="929">
        <f t="shared" si="21"/>
        <v>0</v>
      </c>
      <c r="N218" s="930">
        <f t="shared" si="23"/>
        <v>0</v>
      </c>
      <c r="O218" s="931"/>
      <c r="P218" s="932"/>
      <c r="Q218" s="927"/>
      <c r="R218" s="933"/>
      <c r="S218" s="903" t="s">
        <v>943</v>
      </c>
    </row>
    <row r="219" spans="2:19" s="901" customFormat="1" ht="25.5" x14ac:dyDescent="0.2">
      <c r="B219" s="947" t="s">
        <v>1032</v>
      </c>
      <c r="C219" s="925" t="s">
        <v>849</v>
      </c>
      <c r="D219" s="925" t="s">
        <v>195</v>
      </c>
      <c r="E219" s="926">
        <v>2060000</v>
      </c>
      <c r="F219" s="927"/>
      <c r="G219" s="927">
        <v>2060000</v>
      </c>
      <c r="H219" s="927"/>
      <c r="I219" s="928"/>
      <c r="J219" s="927"/>
      <c r="K219" s="927">
        <f t="shared" si="22"/>
        <v>2060000</v>
      </c>
      <c r="L219" s="927"/>
      <c r="M219" s="929">
        <f t="shared" si="21"/>
        <v>0</v>
      </c>
      <c r="N219" s="930">
        <f t="shared" si="23"/>
        <v>0</v>
      </c>
      <c r="O219" s="931"/>
      <c r="P219" s="932"/>
      <c r="Q219" s="927"/>
      <c r="R219" s="933"/>
      <c r="S219" s="903"/>
    </row>
    <row r="220" spans="2:19" s="901" customFormat="1" ht="25.5" x14ac:dyDescent="0.2">
      <c r="B220" s="947" t="s">
        <v>1032</v>
      </c>
      <c r="C220" s="925" t="s">
        <v>257</v>
      </c>
      <c r="D220" s="925" t="s">
        <v>526</v>
      </c>
      <c r="E220" s="934">
        <f>K220</f>
        <v>8635500</v>
      </c>
      <c r="F220" s="927"/>
      <c r="G220" s="927">
        <v>7685000</v>
      </c>
      <c r="H220" s="927">
        <v>950500</v>
      </c>
      <c r="I220" s="928"/>
      <c r="J220" s="927"/>
      <c r="K220" s="927">
        <f t="shared" si="22"/>
        <v>8635500</v>
      </c>
      <c r="L220" s="927"/>
      <c r="M220" s="929">
        <f t="shared" si="21"/>
        <v>0</v>
      </c>
      <c r="N220" s="930">
        <f t="shared" si="23"/>
        <v>0</v>
      </c>
      <c r="O220" s="931"/>
      <c r="P220" s="932"/>
      <c r="Q220" s="927"/>
      <c r="R220" s="933"/>
      <c r="S220" s="903"/>
    </row>
    <row r="221" spans="2:19" s="901" customFormat="1" ht="25.5" x14ac:dyDescent="0.2">
      <c r="B221" s="947" t="s">
        <v>1032</v>
      </c>
      <c r="C221" s="925" t="s">
        <v>712</v>
      </c>
      <c r="D221" s="925" t="s">
        <v>956</v>
      </c>
      <c r="E221" s="926">
        <v>7568000</v>
      </c>
      <c r="F221" s="927"/>
      <c r="G221" s="946">
        <f>19004000-11436000</f>
        <v>7568000</v>
      </c>
      <c r="H221" s="927"/>
      <c r="I221" s="928"/>
      <c r="J221" s="927"/>
      <c r="K221" s="927">
        <f t="shared" si="22"/>
        <v>7568000</v>
      </c>
      <c r="L221" s="927"/>
      <c r="M221" s="929">
        <f t="shared" si="21"/>
        <v>0</v>
      </c>
      <c r="N221" s="930">
        <f t="shared" si="23"/>
        <v>0</v>
      </c>
      <c r="O221" s="931"/>
      <c r="P221" s="932"/>
      <c r="Q221" s="927"/>
      <c r="R221" s="933"/>
      <c r="S221" s="903"/>
    </row>
    <row r="222" spans="2:19" s="901" customFormat="1" ht="12.75" x14ac:dyDescent="0.2">
      <c r="B222" s="947" t="s">
        <v>1032</v>
      </c>
      <c r="C222" s="925" t="s">
        <v>1034</v>
      </c>
      <c r="D222" s="925" t="s">
        <v>1035</v>
      </c>
      <c r="E222" s="926">
        <v>1300000</v>
      </c>
      <c r="F222" s="927"/>
      <c r="G222" s="946">
        <v>1300000</v>
      </c>
      <c r="H222" s="927"/>
      <c r="I222" s="928"/>
      <c r="J222" s="927"/>
      <c r="K222" s="927">
        <f t="shared" si="22"/>
        <v>1300000</v>
      </c>
      <c r="L222" s="927"/>
      <c r="M222" s="929">
        <f t="shared" si="21"/>
        <v>0</v>
      </c>
      <c r="N222" s="930">
        <f t="shared" si="23"/>
        <v>0</v>
      </c>
      <c r="O222" s="931"/>
      <c r="P222" s="932"/>
      <c r="Q222" s="927"/>
      <c r="R222" s="933"/>
      <c r="S222" s="903"/>
    </row>
    <row r="223" spans="2:19" s="901" customFormat="1" ht="12.75" x14ac:dyDescent="0.2">
      <c r="B223" s="947" t="s">
        <v>1032</v>
      </c>
      <c r="C223" s="925" t="s">
        <v>1036</v>
      </c>
      <c r="D223" s="925" t="s">
        <v>1035</v>
      </c>
      <c r="E223" s="926">
        <v>9540000</v>
      </c>
      <c r="F223" s="927"/>
      <c r="G223" s="946">
        <v>9540000</v>
      </c>
      <c r="H223" s="927"/>
      <c r="I223" s="928"/>
      <c r="J223" s="927"/>
      <c r="K223" s="927">
        <f t="shared" si="22"/>
        <v>9540000</v>
      </c>
      <c r="L223" s="927"/>
      <c r="M223" s="929">
        <f t="shared" si="21"/>
        <v>0</v>
      </c>
      <c r="N223" s="930">
        <f t="shared" si="23"/>
        <v>0</v>
      </c>
      <c r="O223" s="931"/>
      <c r="P223" s="932"/>
      <c r="Q223" s="927"/>
      <c r="R223" s="933"/>
      <c r="S223" s="903"/>
    </row>
    <row r="224" spans="2:19" s="901" customFormat="1" ht="12.75" x14ac:dyDescent="0.2">
      <c r="B224" s="947"/>
      <c r="C224" s="925"/>
      <c r="D224" s="925"/>
      <c r="E224" s="926"/>
      <c r="F224" s="927"/>
      <c r="G224" s="946"/>
      <c r="H224" s="927"/>
      <c r="I224" s="928"/>
      <c r="J224" s="927"/>
      <c r="K224" s="927"/>
      <c r="L224" s="927"/>
      <c r="M224" s="929"/>
      <c r="N224" s="930">
        <f t="shared" si="23"/>
        <v>0</v>
      </c>
      <c r="O224" s="931"/>
      <c r="P224" s="932"/>
      <c r="Q224" s="927"/>
      <c r="R224" s="933"/>
      <c r="S224" s="903"/>
    </row>
    <row r="225" spans="1:23" s="888" customFormat="1" ht="12.75" x14ac:dyDescent="0.2">
      <c r="B225" s="947" t="s">
        <v>1032</v>
      </c>
      <c r="C225" s="925" t="s">
        <v>947</v>
      </c>
      <c r="D225" s="925"/>
      <c r="E225" s="926"/>
      <c r="F225" s="927"/>
      <c r="G225" s="927">
        <f>U225</f>
        <v>10380000</v>
      </c>
      <c r="H225" s="927"/>
      <c r="I225" s="928"/>
      <c r="J225" s="927"/>
      <c r="K225" s="927">
        <f>SUM(G225:J225)</f>
        <v>10380000</v>
      </c>
      <c r="L225" s="927"/>
      <c r="M225" s="929">
        <f>IF(F225="",E225-K225-L225,F225-K225-L225)</f>
        <v>-10380000</v>
      </c>
      <c r="N225" s="930">
        <f t="shared" si="23"/>
        <v>-10380000</v>
      </c>
      <c r="O225" s="931"/>
      <c r="P225" s="932"/>
      <c r="Q225" s="927"/>
      <c r="R225" s="933"/>
      <c r="S225" s="903"/>
      <c r="T225" s="901" t="s">
        <v>948</v>
      </c>
      <c r="U225" s="901">
        <f>SUM(U196:U221)</f>
        <v>10380000</v>
      </c>
      <c r="V225" s="901"/>
      <c r="W225" s="901"/>
    </row>
    <row r="226" spans="1:23" s="906" customFormat="1" ht="12.75" x14ac:dyDescent="0.2">
      <c r="B226" s="935" t="s">
        <v>949</v>
      </c>
      <c r="C226" s="936" t="s">
        <v>1032</v>
      </c>
      <c r="D226" s="937"/>
      <c r="E226" s="938"/>
      <c r="F226" s="939"/>
      <c r="G226" s="939"/>
      <c r="H226" s="939"/>
      <c r="I226" s="940"/>
      <c r="J226" s="939"/>
      <c r="K226" s="950">
        <f>SUM(K195:K225)</f>
        <v>559185174</v>
      </c>
      <c r="L226" s="950">
        <f>SUM(L195:L225)</f>
        <v>0</v>
      </c>
      <c r="M226" s="950">
        <f>SUM(M195:M225)</f>
        <v>-10380000</v>
      </c>
      <c r="N226" s="942">
        <f>SUM(N195:N225)</f>
        <v>-10380000</v>
      </c>
      <c r="O226" s="943"/>
      <c r="P226" s="944"/>
      <c r="Q226" s="939"/>
      <c r="R226" s="945"/>
      <c r="S226" s="908"/>
      <c r="T226" s="909"/>
      <c r="U226" s="909"/>
      <c r="V226" s="909"/>
      <c r="W226" s="909"/>
    </row>
    <row r="227" spans="1:23" s="888" customFormat="1" ht="12.75" x14ac:dyDescent="0.2">
      <c r="A227" s="888">
        <v>11</v>
      </c>
      <c r="B227" s="947" t="s">
        <v>1037</v>
      </c>
      <c r="C227" s="925" t="s">
        <v>175</v>
      </c>
      <c r="D227" s="925" t="s">
        <v>416</v>
      </c>
      <c r="E227" s="926">
        <v>1777333</v>
      </c>
      <c r="F227" s="927">
        <v>1777333</v>
      </c>
      <c r="G227" s="927">
        <v>1777333</v>
      </c>
      <c r="H227" s="927"/>
      <c r="I227" s="928"/>
      <c r="J227" s="927"/>
      <c r="K227" s="927">
        <f>SUM(G227:J227)</f>
        <v>1777333</v>
      </c>
      <c r="L227" s="927"/>
      <c r="M227" s="929">
        <f>IF(F227="",E227-K227-L227,F227-K227-L227)</f>
        <v>0</v>
      </c>
      <c r="N227" s="930">
        <f t="shared" si="23"/>
        <v>0</v>
      </c>
      <c r="O227" s="931"/>
      <c r="P227" s="932"/>
      <c r="Q227" s="927"/>
      <c r="R227" s="933"/>
      <c r="S227" s="903" t="s">
        <v>943</v>
      </c>
      <c r="T227" s="901" t="s">
        <v>852</v>
      </c>
      <c r="U227" s="901"/>
      <c r="V227" s="901"/>
      <c r="W227" s="901"/>
    </row>
    <row r="228" spans="1:23" s="888" customFormat="1" ht="25.5" x14ac:dyDescent="0.2">
      <c r="B228" s="947" t="s">
        <v>1037</v>
      </c>
      <c r="C228" s="925" t="s">
        <v>257</v>
      </c>
      <c r="D228" s="925" t="s">
        <v>286</v>
      </c>
      <c r="E228" s="934">
        <f>K228</f>
        <v>17548000</v>
      </c>
      <c r="F228" s="927"/>
      <c r="G228" s="927">
        <v>17548000</v>
      </c>
      <c r="H228" s="927"/>
      <c r="I228" s="928"/>
      <c r="J228" s="927"/>
      <c r="K228" s="927">
        <f>SUM(G228:J228)</f>
        <v>17548000</v>
      </c>
      <c r="L228" s="927"/>
      <c r="M228" s="929">
        <f t="shared" ref="M228:M260" si="24">IF(F228="",E228-K228-L228,F228-K228-L228)</f>
        <v>0</v>
      </c>
      <c r="N228" s="930">
        <f t="shared" si="23"/>
        <v>0</v>
      </c>
      <c r="O228" s="931"/>
      <c r="P228" s="932"/>
      <c r="Q228" s="927"/>
      <c r="R228" s="933"/>
      <c r="S228" s="903"/>
      <c r="T228" s="901" t="s">
        <v>1003</v>
      </c>
      <c r="U228" s="901">
        <v>3660000</v>
      </c>
      <c r="V228" s="901"/>
      <c r="W228" s="901"/>
    </row>
    <row r="229" spans="1:23" s="888" customFormat="1" ht="12.75" x14ac:dyDescent="0.2">
      <c r="B229" s="947" t="s">
        <v>1037</v>
      </c>
      <c r="C229" s="925" t="s">
        <v>31</v>
      </c>
      <c r="D229" s="925" t="s">
        <v>195</v>
      </c>
      <c r="E229" s="926">
        <v>123474500</v>
      </c>
      <c r="F229" s="927">
        <v>143590000</v>
      </c>
      <c r="G229" s="927">
        <v>30000000</v>
      </c>
      <c r="H229" s="927">
        <v>50000000</v>
      </c>
      <c r="I229" s="928">
        <v>63590000</v>
      </c>
      <c r="J229" s="927"/>
      <c r="K229" s="927">
        <f t="shared" ref="K229:K259" si="25">SUM(G229:J229)</f>
        <v>143590000</v>
      </c>
      <c r="L229" s="927"/>
      <c r="M229" s="929">
        <f t="shared" si="24"/>
        <v>0</v>
      </c>
      <c r="N229" s="930">
        <f t="shared" si="23"/>
        <v>0</v>
      </c>
      <c r="O229" s="931"/>
      <c r="P229" s="932"/>
      <c r="Q229" s="927"/>
      <c r="R229" s="933"/>
      <c r="S229" s="903"/>
      <c r="T229" s="901" t="s">
        <v>1004</v>
      </c>
      <c r="U229" s="901">
        <v>6160000</v>
      </c>
      <c r="V229" s="901"/>
      <c r="W229" s="901"/>
    </row>
    <row r="230" spans="1:23" s="888" customFormat="1" ht="12.75" x14ac:dyDescent="0.2">
      <c r="B230" s="947" t="s">
        <v>1037</v>
      </c>
      <c r="C230" s="925" t="s">
        <v>215</v>
      </c>
      <c r="D230" s="925" t="s">
        <v>853</v>
      </c>
      <c r="E230" s="926">
        <v>159541961</v>
      </c>
      <c r="F230" s="927">
        <v>173442227</v>
      </c>
      <c r="G230" s="927">
        <v>79770980</v>
      </c>
      <c r="H230" s="927">
        <v>93671247</v>
      </c>
      <c r="I230" s="928"/>
      <c r="J230" s="927"/>
      <c r="K230" s="927">
        <f t="shared" si="25"/>
        <v>173442227</v>
      </c>
      <c r="L230" s="927"/>
      <c r="M230" s="929">
        <f t="shared" si="24"/>
        <v>0</v>
      </c>
      <c r="N230" s="930">
        <f t="shared" si="23"/>
        <v>0</v>
      </c>
      <c r="O230" s="931"/>
      <c r="P230" s="932"/>
      <c r="Q230" s="927"/>
      <c r="R230" s="933"/>
      <c r="S230" s="903" t="s">
        <v>943</v>
      </c>
      <c r="T230" s="901" t="s">
        <v>1018</v>
      </c>
      <c r="U230" s="901">
        <v>4185000</v>
      </c>
      <c r="V230" s="901"/>
      <c r="W230" s="901"/>
    </row>
    <row r="231" spans="1:23" s="888" customFormat="1" ht="12.75" x14ac:dyDescent="0.2">
      <c r="B231" s="947" t="s">
        <v>1037</v>
      </c>
      <c r="C231" s="925" t="s">
        <v>427</v>
      </c>
      <c r="D231" s="925" t="s">
        <v>855</v>
      </c>
      <c r="E231" s="926">
        <v>106370000</v>
      </c>
      <c r="F231" s="927">
        <v>126164500</v>
      </c>
      <c r="G231" s="927">
        <v>31911000</v>
      </c>
      <c r="H231" s="927">
        <v>55844250</v>
      </c>
      <c r="I231" s="928">
        <v>38409250</v>
      </c>
      <c r="J231" s="927"/>
      <c r="K231" s="927">
        <f t="shared" si="25"/>
        <v>126164500</v>
      </c>
      <c r="L231" s="927"/>
      <c r="M231" s="929">
        <f t="shared" si="24"/>
        <v>0</v>
      </c>
      <c r="N231" s="930">
        <f t="shared" si="23"/>
        <v>0</v>
      </c>
      <c r="O231" s="931" t="s">
        <v>856</v>
      </c>
      <c r="P231" s="932">
        <v>43908</v>
      </c>
      <c r="Q231" s="927"/>
      <c r="R231" s="933"/>
      <c r="S231" s="903" t="s">
        <v>943</v>
      </c>
      <c r="T231" s="901" t="s">
        <v>1019</v>
      </c>
      <c r="U231" s="901">
        <v>4060000</v>
      </c>
      <c r="V231" s="901"/>
      <c r="W231" s="901"/>
    </row>
    <row r="232" spans="1:23" s="888" customFormat="1" ht="12.75" x14ac:dyDescent="0.2">
      <c r="B232" s="947" t="s">
        <v>1037</v>
      </c>
      <c r="C232" s="925" t="s">
        <v>155</v>
      </c>
      <c r="D232" s="925" t="s">
        <v>156</v>
      </c>
      <c r="E232" s="926"/>
      <c r="F232" s="927">
        <v>51683600</v>
      </c>
      <c r="G232" s="927">
        <v>4080000</v>
      </c>
      <c r="H232" s="927">
        <v>17200000</v>
      </c>
      <c r="I232" s="928">
        <v>30403600</v>
      </c>
      <c r="J232" s="927"/>
      <c r="K232" s="927">
        <f t="shared" si="25"/>
        <v>51683600</v>
      </c>
      <c r="L232" s="927"/>
      <c r="M232" s="929">
        <f t="shared" si="24"/>
        <v>0</v>
      </c>
      <c r="N232" s="930">
        <f t="shared" si="23"/>
        <v>0</v>
      </c>
      <c r="O232" s="931"/>
      <c r="P232" s="932"/>
      <c r="Q232" s="927"/>
      <c r="R232" s="933"/>
      <c r="S232" s="903"/>
      <c r="T232" s="901" t="s">
        <v>1016</v>
      </c>
      <c r="U232" s="901">
        <v>3031500</v>
      </c>
      <c r="V232" s="901"/>
      <c r="W232" s="901"/>
    </row>
    <row r="233" spans="1:23" s="888" customFormat="1" ht="25.5" x14ac:dyDescent="0.2">
      <c r="B233" s="947" t="s">
        <v>1037</v>
      </c>
      <c r="C233" s="925" t="s">
        <v>164</v>
      </c>
      <c r="D233" s="925" t="s">
        <v>165</v>
      </c>
      <c r="E233" s="926">
        <v>114900000</v>
      </c>
      <c r="F233" s="927">
        <v>174295000</v>
      </c>
      <c r="G233" s="927">
        <v>45960000</v>
      </c>
      <c r="H233" s="927">
        <v>71904000</v>
      </c>
      <c r="I233" s="928">
        <v>56431000</v>
      </c>
      <c r="J233" s="927"/>
      <c r="K233" s="927">
        <f t="shared" si="25"/>
        <v>174295000</v>
      </c>
      <c r="L233" s="927"/>
      <c r="M233" s="929">
        <f t="shared" si="24"/>
        <v>0</v>
      </c>
      <c r="N233" s="930">
        <f t="shared" si="23"/>
        <v>0</v>
      </c>
      <c r="O233" s="931"/>
      <c r="P233" s="932"/>
      <c r="Q233" s="927"/>
      <c r="R233" s="933"/>
      <c r="S233" s="903" t="s">
        <v>165</v>
      </c>
      <c r="T233" s="901" t="s">
        <v>1020</v>
      </c>
      <c r="U233" s="901">
        <v>2720000</v>
      </c>
      <c r="V233" s="901"/>
      <c r="W233" s="901"/>
    </row>
    <row r="234" spans="1:23" s="888" customFormat="1" ht="25.5" x14ac:dyDescent="0.2">
      <c r="B234" s="947" t="s">
        <v>1037</v>
      </c>
      <c r="C234" s="925" t="s">
        <v>167</v>
      </c>
      <c r="D234" s="925" t="s">
        <v>708</v>
      </c>
      <c r="E234" s="926">
        <v>3970000</v>
      </c>
      <c r="F234" s="927"/>
      <c r="G234" s="927">
        <v>3970000</v>
      </c>
      <c r="H234" s="927"/>
      <c r="I234" s="928"/>
      <c r="J234" s="927"/>
      <c r="K234" s="927">
        <f t="shared" si="25"/>
        <v>3970000</v>
      </c>
      <c r="L234" s="927"/>
      <c r="M234" s="929">
        <f t="shared" si="24"/>
        <v>0</v>
      </c>
      <c r="N234" s="930">
        <f t="shared" si="23"/>
        <v>0</v>
      </c>
      <c r="O234" s="931"/>
      <c r="P234" s="932"/>
      <c r="Q234" s="927"/>
      <c r="R234" s="933"/>
      <c r="S234" s="903" t="s">
        <v>708</v>
      </c>
      <c r="T234" s="901" t="s">
        <v>1021</v>
      </c>
      <c r="U234" s="901">
        <v>4158000</v>
      </c>
      <c r="V234" s="901"/>
      <c r="W234" s="901"/>
    </row>
    <row r="235" spans="1:23" s="888" customFormat="1" ht="12.75" x14ac:dyDescent="0.2">
      <c r="B235" s="947" t="s">
        <v>1037</v>
      </c>
      <c r="C235" s="925" t="s">
        <v>394</v>
      </c>
      <c r="D235" s="925" t="s">
        <v>162</v>
      </c>
      <c r="E235" s="926">
        <v>144000000</v>
      </c>
      <c r="F235" s="927">
        <v>144000000</v>
      </c>
      <c r="G235" s="927">
        <v>72000000</v>
      </c>
      <c r="H235" s="927">
        <v>72000000</v>
      </c>
      <c r="I235" s="928"/>
      <c r="J235" s="927"/>
      <c r="K235" s="927">
        <f t="shared" si="25"/>
        <v>144000000</v>
      </c>
      <c r="L235" s="927"/>
      <c r="M235" s="929">
        <f t="shared" si="24"/>
        <v>0</v>
      </c>
      <c r="N235" s="930">
        <f t="shared" si="23"/>
        <v>0</v>
      </c>
      <c r="O235" s="931" t="s">
        <v>801</v>
      </c>
      <c r="P235" s="932">
        <v>43876</v>
      </c>
      <c r="Q235" s="927"/>
      <c r="R235" s="933"/>
      <c r="S235" s="903"/>
      <c r="T235" s="901" t="s">
        <v>1005</v>
      </c>
      <c r="U235" s="901">
        <v>4236000</v>
      </c>
      <c r="V235" s="901"/>
      <c r="W235" s="901"/>
    </row>
    <row r="236" spans="1:23" s="888" customFormat="1" ht="25.5" x14ac:dyDescent="0.2">
      <c r="B236" s="947" t="s">
        <v>1037</v>
      </c>
      <c r="C236" s="925" t="s">
        <v>346</v>
      </c>
      <c r="D236" s="925" t="s">
        <v>857</v>
      </c>
      <c r="E236" s="926">
        <v>80787830</v>
      </c>
      <c r="F236" s="927"/>
      <c r="G236" s="927">
        <v>40393915</v>
      </c>
      <c r="H236" s="927"/>
      <c r="I236" s="928"/>
      <c r="J236" s="927"/>
      <c r="K236" s="927">
        <f t="shared" si="25"/>
        <v>40393915</v>
      </c>
      <c r="L236" s="927"/>
      <c r="M236" s="929">
        <f t="shared" si="24"/>
        <v>40393915</v>
      </c>
      <c r="N236" s="930">
        <f t="shared" si="23"/>
        <v>40393915</v>
      </c>
      <c r="O236" s="931"/>
      <c r="P236" s="932"/>
      <c r="Q236" s="927"/>
      <c r="R236" s="933"/>
      <c r="S236" s="903"/>
      <c r="T236" s="901" t="s">
        <v>1006</v>
      </c>
      <c r="U236" s="901">
        <v>3692000</v>
      </c>
      <c r="V236" s="901"/>
      <c r="W236" s="901"/>
    </row>
    <row r="237" spans="1:23" s="888" customFormat="1" ht="12.75" x14ac:dyDescent="0.2">
      <c r="B237" s="947" t="s">
        <v>1037</v>
      </c>
      <c r="C237" s="925" t="s">
        <v>858</v>
      </c>
      <c r="D237" s="925" t="s">
        <v>859</v>
      </c>
      <c r="E237" s="934">
        <v>135000000</v>
      </c>
      <c r="F237" s="927"/>
      <c r="G237" s="927">
        <v>40500000</v>
      </c>
      <c r="H237" s="927">
        <v>54000000</v>
      </c>
      <c r="I237" s="928"/>
      <c r="J237" s="927"/>
      <c r="K237" s="927">
        <f t="shared" si="25"/>
        <v>94500000</v>
      </c>
      <c r="L237" s="927"/>
      <c r="M237" s="929">
        <f t="shared" si="24"/>
        <v>40500000</v>
      </c>
      <c r="N237" s="930">
        <f t="shared" si="23"/>
        <v>40500000</v>
      </c>
      <c r="O237" s="931" t="s">
        <v>860</v>
      </c>
      <c r="P237" s="932">
        <v>43909</v>
      </c>
      <c r="Q237" s="927"/>
      <c r="R237" s="933"/>
      <c r="S237" s="903"/>
      <c r="T237" s="901" t="s">
        <v>1008</v>
      </c>
      <c r="U237" s="901">
        <v>940000</v>
      </c>
      <c r="V237" s="901"/>
      <c r="W237" s="901"/>
    </row>
    <row r="238" spans="1:23" s="888" customFormat="1" ht="25.5" x14ac:dyDescent="0.2">
      <c r="B238" s="947" t="s">
        <v>1037</v>
      </c>
      <c r="C238" s="925" t="s">
        <v>257</v>
      </c>
      <c r="D238" s="925" t="s">
        <v>286</v>
      </c>
      <c r="E238" s="934"/>
      <c r="F238" s="927">
        <v>29114267</v>
      </c>
      <c r="G238" s="927">
        <v>29114267</v>
      </c>
      <c r="H238" s="927"/>
      <c r="I238" s="928"/>
      <c r="J238" s="927"/>
      <c r="K238" s="927">
        <f t="shared" si="25"/>
        <v>29114267</v>
      </c>
      <c r="L238" s="927"/>
      <c r="M238" s="929">
        <f t="shared" si="24"/>
        <v>0</v>
      </c>
      <c r="N238" s="930">
        <f t="shared" si="23"/>
        <v>0</v>
      </c>
      <c r="O238" s="931"/>
      <c r="P238" s="932"/>
      <c r="Q238" s="927"/>
      <c r="R238" s="933"/>
      <c r="S238" s="903"/>
      <c r="T238" s="901" t="s">
        <v>960</v>
      </c>
      <c r="U238" s="901">
        <v>1290000</v>
      </c>
      <c r="V238" s="901"/>
      <c r="W238" s="901"/>
    </row>
    <row r="239" spans="1:23" s="888" customFormat="1" ht="25.5" x14ac:dyDescent="0.2">
      <c r="B239" s="947" t="s">
        <v>1037</v>
      </c>
      <c r="C239" s="925" t="s">
        <v>861</v>
      </c>
      <c r="D239" s="925" t="s">
        <v>526</v>
      </c>
      <c r="E239" s="934">
        <f>K239</f>
        <v>50000</v>
      </c>
      <c r="F239" s="927"/>
      <c r="G239" s="927">
        <v>50000</v>
      </c>
      <c r="H239" s="927"/>
      <c r="I239" s="928"/>
      <c r="J239" s="927"/>
      <c r="K239" s="927">
        <f t="shared" si="25"/>
        <v>50000</v>
      </c>
      <c r="L239" s="927"/>
      <c r="M239" s="929">
        <f t="shared" si="24"/>
        <v>0</v>
      </c>
      <c r="N239" s="930">
        <f t="shared" si="23"/>
        <v>0</v>
      </c>
      <c r="O239" s="931"/>
      <c r="P239" s="932"/>
      <c r="Q239" s="927"/>
      <c r="R239" s="933"/>
      <c r="S239" s="903"/>
      <c r="T239" s="901" t="s">
        <v>953</v>
      </c>
      <c r="U239" s="901">
        <v>500000</v>
      </c>
      <c r="V239" s="901"/>
      <c r="W239" s="901"/>
    </row>
    <row r="240" spans="1:23" s="888" customFormat="1" ht="25.5" x14ac:dyDescent="0.2">
      <c r="B240" s="947" t="s">
        <v>1037</v>
      </c>
      <c r="C240" s="925" t="s">
        <v>828</v>
      </c>
      <c r="D240" s="925" t="s">
        <v>863</v>
      </c>
      <c r="E240" s="934">
        <f>K240</f>
        <v>180000</v>
      </c>
      <c r="F240" s="927"/>
      <c r="G240" s="927">
        <v>180000</v>
      </c>
      <c r="H240" s="927"/>
      <c r="I240" s="928"/>
      <c r="J240" s="927"/>
      <c r="K240" s="927">
        <f t="shared" si="25"/>
        <v>180000</v>
      </c>
      <c r="L240" s="927"/>
      <c r="M240" s="929">
        <f t="shared" si="24"/>
        <v>0</v>
      </c>
      <c r="N240" s="930">
        <f t="shared" si="23"/>
        <v>0</v>
      </c>
      <c r="O240" s="931"/>
      <c r="P240" s="932"/>
      <c r="Q240" s="927"/>
      <c r="R240" s="933"/>
      <c r="S240" s="903"/>
      <c r="T240" s="901" t="s">
        <v>954</v>
      </c>
      <c r="U240" s="901">
        <v>300000</v>
      </c>
      <c r="V240" s="901"/>
      <c r="W240" s="901"/>
    </row>
    <row r="241" spans="2:19" s="901" customFormat="1" ht="12.75" x14ac:dyDescent="0.2">
      <c r="B241" s="947" t="s">
        <v>1037</v>
      </c>
      <c r="C241" s="925" t="s">
        <v>292</v>
      </c>
      <c r="D241" s="925" t="s">
        <v>864</v>
      </c>
      <c r="E241" s="934">
        <v>47600000</v>
      </c>
      <c r="F241" s="927">
        <v>47600000</v>
      </c>
      <c r="G241" s="927">
        <v>33320000</v>
      </c>
      <c r="H241" s="927">
        <v>14280000</v>
      </c>
      <c r="I241" s="928"/>
      <c r="J241" s="927"/>
      <c r="K241" s="927">
        <f t="shared" si="25"/>
        <v>47600000</v>
      </c>
      <c r="L241" s="927"/>
      <c r="M241" s="929">
        <f t="shared" si="24"/>
        <v>0</v>
      </c>
      <c r="N241" s="930">
        <f t="shared" si="23"/>
        <v>0</v>
      </c>
      <c r="O241" s="931"/>
      <c r="P241" s="932"/>
      <c r="Q241" s="927"/>
      <c r="R241" s="933"/>
      <c r="S241" s="903"/>
    </row>
    <row r="242" spans="2:19" s="901" customFormat="1" ht="12.75" x14ac:dyDescent="0.2">
      <c r="B242" s="947" t="s">
        <v>1037</v>
      </c>
      <c r="C242" s="925" t="s">
        <v>92</v>
      </c>
      <c r="D242" s="925" t="s">
        <v>865</v>
      </c>
      <c r="E242" s="926">
        <v>13335300</v>
      </c>
      <c r="F242" s="927"/>
      <c r="G242" s="927">
        <v>6667650</v>
      </c>
      <c r="H242" s="927"/>
      <c r="I242" s="928"/>
      <c r="J242" s="927"/>
      <c r="K242" s="927">
        <f t="shared" si="25"/>
        <v>6667650</v>
      </c>
      <c r="L242" s="927"/>
      <c r="M242" s="929">
        <f t="shared" si="24"/>
        <v>6667650</v>
      </c>
      <c r="N242" s="930">
        <f t="shared" si="23"/>
        <v>6667650</v>
      </c>
      <c r="O242" s="931"/>
      <c r="P242" s="932"/>
      <c r="Q242" s="927"/>
      <c r="R242" s="933"/>
      <c r="S242" s="903" t="s">
        <v>865</v>
      </c>
    </row>
    <row r="243" spans="2:19" s="901" customFormat="1" ht="12.75" x14ac:dyDescent="0.2">
      <c r="B243" s="947" t="s">
        <v>1037</v>
      </c>
      <c r="C243" s="925" t="s">
        <v>866</v>
      </c>
      <c r="D243" s="925" t="s">
        <v>171</v>
      </c>
      <c r="E243" s="926">
        <v>2820000</v>
      </c>
      <c r="F243" s="927"/>
      <c r="G243" s="927">
        <v>2820000</v>
      </c>
      <c r="H243" s="927"/>
      <c r="I243" s="928"/>
      <c r="J243" s="927"/>
      <c r="K243" s="927">
        <f t="shared" si="25"/>
        <v>2820000</v>
      </c>
      <c r="L243" s="927"/>
      <c r="M243" s="929">
        <f t="shared" si="24"/>
        <v>0</v>
      </c>
      <c r="N243" s="930">
        <f t="shared" si="23"/>
        <v>0</v>
      </c>
      <c r="O243" s="931"/>
      <c r="P243" s="932"/>
      <c r="Q243" s="927"/>
      <c r="R243" s="933"/>
      <c r="S243" s="903" t="s">
        <v>171</v>
      </c>
    </row>
    <row r="244" spans="2:19" s="901" customFormat="1" ht="25.5" x14ac:dyDescent="0.2">
      <c r="B244" s="947" t="s">
        <v>1037</v>
      </c>
      <c r="C244" s="925" t="s">
        <v>167</v>
      </c>
      <c r="D244" s="925" t="s">
        <v>708</v>
      </c>
      <c r="E244" s="934">
        <v>1100000</v>
      </c>
      <c r="F244" s="927"/>
      <c r="G244" s="927">
        <v>1100000</v>
      </c>
      <c r="H244" s="927"/>
      <c r="I244" s="928"/>
      <c r="J244" s="927"/>
      <c r="K244" s="927">
        <f t="shared" si="25"/>
        <v>1100000</v>
      </c>
      <c r="L244" s="927"/>
      <c r="M244" s="929">
        <f t="shared" si="24"/>
        <v>0</v>
      </c>
      <c r="N244" s="930">
        <f t="shared" si="23"/>
        <v>0</v>
      </c>
      <c r="O244" s="931"/>
      <c r="P244" s="932"/>
      <c r="Q244" s="927"/>
      <c r="R244" s="933"/>
      <c r="S244" s="903"/>
    </row>
    <row r="245" spans="2:19" s="901" customFormat="1" ht="25.5" x14ac:dyDescent="0.2">
      <c r="B245" s="947" t="s">
        <v>1037</v>
      </c>
      <c r="C245" s="925" t="s">
        <v>867</v>
      </c>
      <c r="D245" s="925" t="s">
        <v>868</v>
      </c>
      <c r="E245" s="934">
        <v>16269000</v>
      </c>
      <c r="F245" s="927"/>
      <c r="G245" s="927">
        <v>16269000</v>
      </c>
      <c r="H245" s="927"/>
      <c r="I245" s="928"/>
      <c r="J245" s="927"/>
      <c r="K245" s="927">
        <f t="shared" si="25"/>
        <v>16269000</v>
      </c>
      <c r="L245" s="927"/>
      <c r="M245" s="929">
        <f t="shared" si="24"/>
        <v>0</v>
      </c>
      <c r="N245" s="930">
        <f t="shared" si="23"/>
        <v>0</v>
      </c>
      <c r="O245" s="931"/>
      <c r="P245" s="932"/>
      <c r="Q245" s="927"/>
      <c r="R245" s="933"/>
      <c r="S245" s="903"/>
    </row>
    <row r="246" spans="2:19" s="901" customFormat="1" ht="12.75" x14ac:dyDescent="0.2">
      <c r="B246" s="947" t="s">
        <v>1037</v>
      </c>
      <c r="C246" s="925" t="s">
        <v>170</v>
      </c>
      <c r="D246" s="925" t="s">
        <v>171</v>
      </c>
      <c r="E246" s="926"/>
      <c r="F246" s="927">
        <v>236605181</v>
      </c>
      <c r="G246" s="927">
        <v>236605181</v>
      </c>
      <c r="H246" s="927"/>
      <c r="I246" s="928"/>
      <c r="J246" s="927"/>
      <c r="K246" s="927">
        <f t="shared" si="25"/>
        <v>236605181</v>
      </c>
      <c r="L246" s="927"/>
      <c r="M246" s="929">
        <f t="shared" si="24"/>
        <v>0</v>
      </c>
      <c r="N246" s="930">
        <f t="shared" si="23"/>
        <v>0</v>
      </c>
      <c r="O246" s="931"/>
      <c r="P246" s="932"/>
      <c r="Q246" s="927"/>
      <c r="R246" s="933"/>
      <c r="S246" s="903" t="s">
        <v>171</v>
      </c>
    </row>
    <row r="247" spans="2:19" s="901" customFormat="1" ht="12.75" x14ac:dyDescent="0.2">
      <c r="B247" s="947" t="s">
        <v>1037</v>
      </c>
      <c r="C247" s="925" t="s">
        <v>118</v>
      </c>
      <c r="D247" s="925" t="s">
        <v>301</v>
      </c>
      <c r="E247" s="934">
        <v>132100000</v>
      </c>
      <c r="F247" s="927">
        <v>125489700</v>
      </c>
      <c r="G247" s="927">
        <v>40000000</v>
      </c>
      <c r="H247" s="927">
        <v>85489700</v>
      </c>
      <c r="I247" s="928"/>
      <c r="J247" s="927"/>
      <c r="K247" s="927">
        <f t="shared" si="25"/>
        <v>125489700</v>
      </c>
      <c r="L247" s="927"/>
      <c r="M247" s="929">
        <f t="shared" si="24"/>
        <v>0</v>
      </c>
      <c r="N247" s="930">
        <f t="shared" si="23"/>
        <v>0</v>
      </c>
      <c r="O247" s="931"/>
      <c r="P247" s="932"/>
      <c r="Q247" s="927"/>
      <c r="R247" s="933"/>
      <c r="S247" s="903"/>
    </row>
    <row r="248" spans="2:19" s="901" customFormat="1" ht="25.5" x14ac:dyDescent="0.2">
      <c r="B248" s="947" t="s">
        <v>1037</v>
      </c>
      <c r="C248" s="925" t="s">
        <v>869</v>
      </c>
      <c r="D248" s="925" t="s">
        <v>693</v>
      </c>
      <c r="E248" s="934">
        <f>K248</f>
        <v>1800000</v>
      </c>
      <c r="F248" s="927"/>
      <c r="G248" s="927">
        <v>1800000</v>
      </c>
      <c r="H248" s="927"/>
      <c r="I248" s="928"/>
      <c r="J248" s="927"/>
      <c r="K248" s="927">
        <f t="shared" si="25"/>
        <v>1800000</v>
      </c>
      <c r="L248" s="927"/>
      <c r="M248" s="929">
        <f t="shared" si="24"/>
        <v>0</v>
      </c>
      <c r="N248" s="930">
        <f t="shared" si="23"/>
        <v>0</v>
      </c>
      <c r="O248" s="931"/>
      <c r="P248" s="932"/>
      <c r="Q248" s="927"/>
      <c r="R248" s="933"/>
      <c r="S248" s="903"/>
    </row>
    <row r="249" spans="2:19" s="901" customFormat="1" ht="12.75" x14ac:dyDescent="0.2">
      <c r="B249" s="947" t="s">
        <v>1037</v>
      </c>
      <c r="C249" s="925" t="s">
        <v>172</v>
      </c>
      <c r="D249" s="925" t="s">
        <v>173</v>
      </c>
      <c r="E249" s="934">
        <v>6480000</v>
      </c>
      <c r="F249" s="927"/>
      <c r="G249" s="927">
        <v>6480000</v>
      </c>
      <c r="H249" s="927"/>
      <c r="I249" s="928"/>
      <c r="J249" s="927"/>
      <c r="K249" s="927">
        <f t="shared" si="25"/>
        <v>6480000</v>
      </c>
      <c r="L249" s="927"/>
      <c r="M249" s="929">
        <f t="shared" si="24"/>
        <v>0</v>
      </c>
      <c r="N249" s="930">
        <f t="shared" si="23"/>
        <v>0</v>
      </c>
      <c r="O249" s="931"/>
      <c r="P249" s="932"/>
      <c r="Q249" s="927"/>
      <c r="R249" s="933"/>
      <c r="S249" s="903"/>
    </row>
    <row r="250" spans="2:19" s="901" customFormat="1" ht="25.5" x14ac:dyDescent="0.2">
      <c r="B250" s="947" t="s">
        <v>1037</v>
      </c>
      <c r="C250" s="925" t="s">
        <v>257</v>
      </c>
      <c r="D250" s="925" t="s">
        <v>870</v>
      </c>
      <c r="E250" s="934">
        <f>K250</f>
        <v>6222000</v>
      </c>
      <c r="F250" s="927"/>
      <c r="G250" s="927">
        <v>6222000</v>
      </c>
      <c r="H250" s="927"/>
      <c r="I250" s="928"/>
      <c r="J250" s="927"/>
      <c r="K250" s="927">
        <f t="shared" si="25"/>
        <v>6222000</v>
      </c>
      <c r="L250" s="927"/>
      <c r="M250" s="929">
        <f t="shared" si="24"/>
        <v>0</v>
      </c>
      <c r="N250" s="930">
        <f t="shared" si="23"/>
        <v>0</v>
      </c>
      <c r="O250" s="931"/>
      <c r="P250" s="932"/>
      <c r="Q250" s="927"/>
      <c r="R250" s="933"/>
      <c r="S250" s="903"/>
    </row>
    <row r="251" spans="2:19" s="901" customFormat="1" ht="25.5" x14ac:dyDescent="0.2">
      <c r="B251" s="947" t="s">
        <v>1037</v>
      </c>
      <c r="C251" s="925" t="s">
        <v>257</v>
      </c>
      <c r="D251" s="925" t="s">
        <v>871</v>
      </c>
      <c r="E251" s="934">
        <f>K251</f>
        <v>18147750</v>
      </c>
      <c r="F251" s="927"/>
      <c r="G251" s="927">
        <v>18147750</v>
      </c>
      <c r="H251" s="927"/>
      <c r="I251" s="928"/>
      <c r="J251" s="927"/>
      <c r="K251" s="927">
        <f t="shared" si="25"/>
        <v>18147750</v>
      </c>
      <c r="L251" s="927"/>
      <c r="M251" s="929">
        <f t="shared" si="24"/>
        <v>0</v>
      </c>
      <c r="N251" s="930">
        <f t="shared" si="23"/>
        <v>0</v>
      </c>
      <c r="O251" s="931"/>
      <c r="P251" s="932"/>
      <c r="Q251" s="927"/>
      <c r="R251" s="933"/>
      <c r="S251" s="903"/>
    </row>
    <row r="252" spans="2:19" s="901" customFormat="1" ht="12.75" x14ac:dyDescent="0.2">
      <c r="B252" s="947" t="s">
        <v>1037</v>
      </c>
      <c r="C252" s="925" t="s">
        <v>872</v>
      </c>
      <c r="D252" s="925" t="s">
        <v>171</v>
      </c>
      <c r="E252" s="926">
        <v>1850000</v>
      </c>
      <c r="F252" s="927"/>
      <c r="G252" s="927">
        <v>1850000</v>
      </c>
      <c r="H252" s="927"/>
      <c r="I252" s="928"/>
      <c r="J252" s="927"/>
      <c r="K252" s="927">
        <f t="shared" si="25"/>
        <v>1850000</v>
      </c>
      <c r="L252" s="927"/>
      <c r="M252" s="929">
        <f t="shared" si="24"/>
        <v>0</v>
      </c>
      <c r="N252" s="930">
        <f t="shared" si="23"/>
        <v>0</v>
      </c>
      <c r="O252" s="931"/>
      <c r="P252" s="932"/>
      <c r="Q252" s="927"/>
      <c r="R252" s="933"/>
      <c r="S252" s="903" t="s">
        <v>171</v>
      </c>
    </row>
    <row r="253" spans="2:19" s="901" customFormat="1" ht="25.5" x14ac:dyDescent="0.2">
      <c r="B253" s="947" t="s">
        <v>1037</v>
      </c>
      <c r="C253" s="925" t="s">
        <v>873</v>
      </c>
      <c r="D253" s="925" t="s">
        <v>874</v>
      </c>
      <c r="E253" s="926">
        <v>1500000</v>
      </c>
      <c r="F253" s="927"/>
      <c r="G253" s="927">
        <v>1500000</v>
      </c>
      <c r="H253" s="927"/>
      <c r="I253" s="928"/>
      <c r="J253" s="927"/>
      <c r="K253" s="927">
        <f t="shared" si="25"/>
        <v>1500000</v>
      </c>
      <c r="L253" s="927"/>
      <c r="M253" s="929">
        <f t="shared" si="24"/>
        <v>0</v>
      </c>
      <c r="N253" s="930">
        <f t="shared" si="23"/>
        <v>0</v>
      </c>
      <c r="O253" s="931"/>
      <c r="P253" s="932"/>
      <c r="Q253" s="927"/>
      <c r="R253" s="933"/>
      <c r="S253" s="903" t="s">
        <v>874</v>
      </c>
    </row>
    <row r="254" spans="2:19" s="901" customFormat="1" ht="12.75" x14ac:dyDescent="0.2">
      <c r="B254" s="947" t="s">
        <v>1037</v>
      </c>
      <c r="C254" s="925" t="s">
        <v>740</v>
      </c>
      <c r="D254" s="925" t="s">
        <v>397</v>
      </c>
      <c r="E254" s="934">
        <v>544500</v>
      </c>
      <c r="F254" s="927"/>
      <c r="G254" s="927">
        <v>544500</v>
      </c>
      <c r="H254" s="927"/>
      <c r="I254" s="928"/>
      <c r="J254" s="927"/>
      <c r="K254" s="927">
        <f t="shared" si="25"/>
        <v>544500</v>
      </c>
      <c r="L254" s="927"/>
      <c r="M254" s="929">
        <f t="shared" si="24"/>
        <v>0</v>
      </c>
      <c r="N254" s="930">
        <f t="shared" si="23"/>
        <v>0</v>
      </c>
      <c r="O254" s="931"/>
      <c r="P254" s="932"/>
      <c r="Q254" s="927"/>
      <c r="R254" s="933"/>
      <c r="S254" s="903"/>
    </row>
    <row r="255" spans="2:19" s="901" customFormat="1" ht="25.5" x14ac:dyDescent="0.2">
      <c r="B255" s="947" t="s">
        <v>1037</v>
      </c>
      <c r="C255" s="925" t="s">
        <v>247</v>
      </c>
      <c r="D255" s="925" t="s">
        <v>875</v>
      </c>
      <c r="E255" s="926">
        <v>11990000</v>
      </c>
      <c r="F255" s="927"/>
      <c r="G255" s="927">
        <v>11990000</v>
      </c>
      <c r="H255" s="927"/>
      <c r="I255" s="928"/>
      <c r="J255" s="927"/>
      <c r="K255" s="927">
        <f t="shared" si="25"/>
        <v>11990000</v>
      </c>
      <c r="L255" s="927"/>
      <c r="M255" s="929">
        <f t="shared" si="24"/>
        <v>0</v>
      </c>
      <c r="N255" s="930">
        <f t="shared" si="23"/>
        <v>0</v>
      </c>
      <c r="O255" s="931"/>
      <c r="P255" s="932"/>
      <c r="Q255" s="927"/>
      <c r="R255" s="933"/>
      <c r="S255" s="903" t="s">
        <v>943</v>
      </c>
    </row>
    <row r="256" spans="2:19" s="901" customFormat="1" ht="25.5" x14ac:dyDescent="0.2">
      <c r="B256" s="947" t="s">
        <v>1037</v>
      </c>
      <c r="C256" s="925" t="s">
        <v>607</v>
      </c>
      <c r="D256" s="925" t="s">
        <v>877</v>
      </c>
      <c r="E256" s="934">
        <f>K256</f>
        <v>5383000</v>
      </c>
      <c r="F256" s="927"/>
      <c r="G256" s="927">
        <v>5383000</v>
      </c>
      <c r="H256" s="927"/>
      <c r="I256" s="928"/>
      <c r="J256" s="927"/>
      <c r="K256" s="927">
        <f t="shared" si="25"/>
        <v>5383000</v>
      </c>
      <c r="L256" s="927"/>
      <c r="M256" s="929">
        <f t="shared" si="24"/>
        <v>0</v>
      </c>
      <c r="N256" s="930">
        <f t="shared" si="23"/>
        <v>0</v>
      </c>
      <c r="O256" s="931"/>
      <c r="P256" s="932"/>
      <c r="Q256" s="927"/>
      <c r="R256" s="933"/>
      <c r="S256" s="903"/>
    </row>
    <row r="257" spans="1:23" s="888" customFormat="1" ht="51" x14ac:dyDescent="0.2">
      <c r="B257" s="947" t="s">
        <v>1037</v>
      </c>
      <c r="C257" s="925" t="s">
        <v>1038</v>
      </c>
      <c r="D257" s="925" t="s">
        <v>1039</v>
      </c>
      <c r="E257" s="934">
        <v>27750000</v>
      </c>
      <c r="F257" s="927"/>
      <c r="G257" s="927">
        <v>27750000</v>
      </c>
      <c r="H257" s="927"/>
      <c r="I257" s="928"/>
      <c r="J257" s="927"/>
      <c r="K257" s="927">
        <f t="shared" si="25"/>
        <v>27750000</v>
      </c>
      <c r="L257" s="927"/>
      <c r="M257" s="929">
        <f t="shared" si="24"/>
        <v>0</v>
      </c>
      <c r="N257" s="930">
        <f t="shared" si="23"/>
        <v>0</v>
      </c>
      <c r="O257" s="931"/>
      <c r="P257" s="932"/>
      <c r="Q257" s="927"/>
      <c r="R257" s="933"/>
      <c r="S257" s="903"/>
      <c r="T257" s="901"/>
      <c r="U257" s="901"/>
      <c r="V257" s="901"/>
      <c r="W257" s="901"/>
    </row>
    <row r="258" spans="1:23" s="888" customFormat="1" ht="25.5" x14ac:dyDescent="0.2">
      <c r="B258" s="947" t="s">
        <v>1037</v>
      </c>
      <c r="C258" s="925" t="s">
        <v>1040</v>
      </c>
      <c r="D258" s="925" t="s">
        <v>1041</v>
      </c>
      <c r="E258" s="927">
        <v>22216500</v>
      </c>
      <c r="F258" s="927"/>
      <c r="G258" s="927">
        <v>22216500</v>
      </c>
      <c r="H258" s="927"/>
      <c r="I258" s="928"/>
      <c r="J258" s="927"/>
      <c r="K258" s="927">
        <f t="shared" si="25"/>
        <v>22216500</v>
      </c>
      <c r="L258" s="927"/>
      <c r="M258" s="929">
        <f t="shared" si="24"/>
        <v>0</v>
      </c>
      <c r="N258" s="930">
        <f t="shared" si="23"/>
        <v>0</v>
      </c>
      <c r="O258" s="931"/>
      <c r="P258" s="932"/>
      <c r="Q258" s="927"/>
      <c r="R258" s="933"/>
      <c r="S258" s="903"/>
      <c r="T258" s="901"/>
      <c r="U258" s="901"/>
      <c r="V258" s="901"/>
      <c r="W258" s="901"/>
    </row>
    <row r="259" spans="1:23" s="888" customFormat="1" ht="25.5" x14ac:dyDescent="0.2">
      <c r="B259" s="947" t="s">
        <v>1037</v>
      </c>
      <c r="C259" s="925" t="s">
        <v>346</v>
      </c>
      <c r="D259" s="925" t="s">
        <v>1042</v>
      </c>
      <c r="E259" s="927">
        <v>26254839</v>
      </c>
      <c r="F259" s="927"/>
      <c r="G259" s="927">
        <v>26254839</v>
      </c>
      <c r="H259" s="927"/>
      <c r="I259" s="928"/>
      <c r="J259" s="927"/>
      <c r="K259" s="927">
        <f t="shared" si="25"/>
        <v>26254839</v>
      </c>
      <c r="L259" s="927"/>
      <c r="M259" s="929">
        <f t="shared" si="24"/>
        <v>0</v>
      </c>
      <c r="N259" s="930">
        <f t="shared" si="23"/>
        <v>0</v>
      </c>
      <c r="O259" s="931"/>
      <c r="P259" s="932"/>
      <c r="Q259" s="927"/>
      <c r="R259" s="933"/>
      <c r="S259" s="903"/>
      <c r="T259" s="901"/>
      <c r="U259" s="901"/>
      <c r="V259" s="901"/>
      <c r="W259" s="901"/>
    </row>
    <row r="260" spans="1:23" s="888" customFormat="1" ht="12.75" x14ac:dyDescent="0.2">
      <c r="B260" s="947" t="s">
        <v>1037</v>
      </c>
      <c r="C260" s="925" t="s">
        <v>947</v>
      </c>
      <c r="D260" s="925"/>
      <c r="E260" s="926"/>
      <c r="F260" s="927"/>
      <c r="G260" s="927">
        <f>U260</f>
        <v>38932500</v>
      </c>
      <c r="H260" s="927"/>
      <c r="I260" s="928"/>
      <c r="J260" s="927"/>
      <c r="K260" s="927">
        <f>SUM(G260:J260)</f>
        <v>38932500</v>
      </c>
      <c r="L260" s="927"/>
      <c r="M260" s="929">
        <f t="shared" si="24"/>
        <v>-38932500</v>
      </c>
      <c r="N260" s="930">
        <f t="shared" si="23"/>
        <v>-38932500</v>
      </c>
      <c r="O260" s="931"/>
      <c r="P260" s="932"/>
      <c r="Q260" s="927"/>
      <c r="R260" s="933"/>
      <c r="S260" s="903"/>
      <c r="T260" s="901" t="s">
        <v>948</v>
      </c>
      <c r="U260" s="901">
        <f>SUM(U227:U256)</f>
        <v>38932500</v>
      </c>
      <c r="V260" s="901"/>
      <c r="W260" s="901"/>
    </row>
    <row r="261" spans="1:23" s="906" customFormat="1" ht="25.5" x14ac:dyDescent="0.2">
      <c r="B261" s="935" t="s">
        <v>949</v>
      </c>
      <c r="C261" s="936" t="s">
        <v>850</v>
      </c>
      <c r="D261" s="937"/>
      <c r="E261" s="938"/>
      <c r="F261" s="939"/>
      <c r="G261" s="939"/>
      <c r="H261" s="939"/>
      <c r="I261" s="940"/>
      <c r="J261" s="939"/>
      <c r="K261" s="950">
        <f>SUM(K227:K260)</f>
        <v>1606331462</v>
      </c>
      <c r="L261" s="950">
        <f>SUM(L227:L260)</f>
        <v>0</v>
      </c>
      <c r="M261" s="950">
        <f>SUM(M227:M260)</f>
        <v>48629065</v>
      </c>
      <c r="N261" s="942">
        <f>SUM(N227:N260)</f>
        <v>48629065</v>
      </c>
      <c r="O261" s="943"/>
      <c r="P261" s="944"/>
      <c r="Q261" s="939"/>
      <c r="R261" s="945"/>
      <c r="S261" s="908"/>
      <c r="T261" s="909"/>
      <c r="U261" s="909"/>
      <c r="V261" s="909"/>
      <c r="W261" s="909"/>
    </row>
    <row r="262" spans="1:23" s="888" customFormat="1" ht="25.5" x14ac:dyDescent="0.2">
      <c r="A262" s="888">
        <v>12</v>
      </c>
      <c r="B262" s="947" t="s">
        <v>1043</v>
      </c>
      <c r="C262" s="925" t="s">
        <v>607</v>
      </c>
      <c r="D262" s="925" t="s">
        <v>879</v>
      </c>
      <c r="E262" s="934">
        <f>K262</f>
        <v>2000000</v>
      </c>
      <c r="F262" s="927"/>
      <c r="G262" s="927">
        <v>2000000</v>
      </c>
      <c r="H262" s="927"/>
      <c r="I262" s="928"/>
      <c r="J262" s="927"/>
      <c r="K262" s="927">
        <f>SUM(G262:J262)</f>
        <v>2000000</v>
      </c>
      <c r="L262" s="927"/>
      <c r="M262" s="929">
        <f>IF(F262="",E262-K262-L262,F262-K262-L262)</f>
        <v>0</v>
      </c>
      <c r="N262" s="930">
        <f t="shared" si="23"/>
        <v>0</v>
      </c>
      <c r="O262" s="931"/>
      <c r="P262" s="932"/>
      <c r="Q262" s="927"/>
      <c r="R262" s="933"/>
      <c r="S262" s="902"/>
      <c r="T262" s="901"/>
      <c r="U262" s="901"/>
      <c r="V262" s="901"/>
      <c r="W262" s="901"/>
    </row>
    <row r="263" spans="1:23" s="888" customFormat="1" ht="25.5" x14ac:dyDescent="0.2">
      <c r="B263" s="947" t="s">
        <v>1043</v>
      </c>
      <c r="C263" s="925" t="s">
        <v>536</v>
      </c>
      <c r="D263" s="925" t="s">
        <v>700</v>
      </c>
      <c r="E263" s="926">
        <v>8572000</v>
      </c>
      <c r="F263" s="927"/>
      <c r="G263" s="927">
        <v>8572000</v>
      </c>
      <c r="H263" s="927"/>
      <c r="I263" s="928"/>
      <c r="J263" s="927"/>
      <c r="K263" s="927">
        <f t="shared" ref="K263:K268" si="26">SUM(G263:J263)</f>
        <v>8572000</v>
      </c>
      <c r="L263" s="927"/>
      <c r="M263" s="929">
        <f>IF(F263="",E263-K263-L263,F263-K263-L263)</f>
        <v>0</v>
      </c>
      <c r="N263" s="930">
        <f t="shared" si="23"/>
        <v>0</v>
      </c>
      <c r="O263" s="931"/>
      <c r="P263" s="932"/>
      <c r="Q263" s="927"/>
      <c r="R263" s="933"/>
      <c r="S263" s="903" t="s">
        <v>943</v>
      </c>
      <c r="T263" s="901"/>
      <c r="U263" s="901"/>
      <c r="V263" s="901"/>
      <c r="W263" s="901"/>
    </row>
    <row r="264" spans="1:23" s="888" customFormat="1" ht="25.5" x14ac:dyDescent="0.2">
      <c r="B264" s="947" t="s">
        <v>1043</v>
      </c>
      <c r="C264" s="925" t="s">
        <v>882</v>
      </c>
      <c r="D264" s="925" t="s">
        <v>879</v>
      </c>
      <c r="E264" s="934">
        <f>K264</f>
        <v>2000000</v>
      </c>
      <c r="F264" s="927"/>
      <c r="G264" s="927">
        <v>2000000</v>
      </c>
      <c r="H264" s="927"/>
      <c r="I264" s="928"/>
      <c r="J264" s="927"/>
      <c r="K264" s="927">
        <f t="shared" si="26"/>
        <v>2000000</v>
      </c>
      <c r="L264" s="927"/>
      <c r="M264" s="929">
        <f t="shared" ref="M264:M276" si="27">IF(F264="",E264-K264-L264,F264-K264-L264)</f>
        <v>0</v>
      </c>
      <c r="N264" s="930">
        <f t="shared" si="23"/>
        <v>0</v>
      </c>
      <c r="O264" s="931"/>
      <c r="P264" s="932"/>
      <c r="Q264" s="927"/>
      <c r="R264" s="933"/>
      <c r="S264" s="903"/>
      <c r="T264" s="901"/>
      <c r="U264" s="901"/>
      <c r="V264" s="901"/>
      <c r="W264" s="901"/>
    </row>
    <row r="265" spans="1:23" s="888" customFormat="1" ht="25.5" x14ac:dyDescent="0.2">
      <c r="B265" s="947" t="s">
        <v>1043</v>
      </c>
      <c r="C265" s="925" t="s">
        <v>175</v>
      </c>
      <c r="D265" s="925" t="s">
        <v>416</v>
      </c>
      <c r="E265" s="926">
        <v>1100000</v>
      </c>
      <c r="F265" s="927">
        <v>1100000</v>
      </c>
      <c r="G265" s="927">
        <v>1100000</v>
      </c>
      <c r="H265" s="927"/>
      <c r="I265" s="928"/>
      <c r="J265" s="927"/>
      <c r="K265" s="927">
        <f t="shared" si="26"/>
        <v>1100000</v>
      </c>
      <c r="L265" s="927"/>
      <c r="M265" s="929">
        <f t="shared" si="27"/>
        <v>0</v>
      </c>
      <c r="N265" s="930">
        <f t="shared" si="23"/>
        <v>0</v>
      </c>
      <c r="O265" s="931"/>
      <c r="P265" s="932"/>
      <c r="Q265" s="927"/>
      <c r="R265" s="933"/>
      <c r="S265" s="903" t="s">
        <v>943</v>
      </c>
      <c r="T265" s="901"/>
      <c r="U265" s="901"/>
      <c r="V265" s="901"/>
      <c r="W265" s="901"/>
    </row>
    <row r="266" spans="1:23" s="888" customFormat="1" ht="25.5" x14ac:dyDescent="0.2">
      <c r="B266" s="947" t="s">
        <v>1043</v>
      </c>
      <c r="C266" s="925" t="s">
        <v>883</v>
      </c>
      <c r="D266" s="925" t="s">
        <v>704</v>
      </c>
      <c r="E266" s="934">
        <v>2000000</v>
      </c>
      <c r="F266" s="927"/>
      <c r="G266" s="927">
        <v>2000000</v>
      </c>
      <c r="H266" s="927"/>
      <c r="I266" s="928"/>
      <c r="J266" s="927"/>
      <c r="K266" s="927">
        <f t="shared" si="26"/>
        <v>2000000</v>
      </c>
      <c r="L266" s="927"/>
      <c r="M266" s="929">
        <f t="shared" si="27"/>
        <v>0</v>
      </c>
      <c r="N266" s="930">
        <f t="shared" si="23"/>
        <v>0</v>
      </c>
      <c r="O266" s="931"/>
      <c r="P266" s="932"/>
      <c r="Q266" s="927"/>
      <c r="R266" s="933"/>
      <c r="S266" s="903"/>
      <c r="T266" s="901"/>
      <c r="U266" s="901"/>
      <c r="V266" s="901"/>
      <c r="W266" s="901"/>
    </row>
    <row r="267" spans="1:23" s="888" customFormat="1" ht="25.5" x14ac:dyDescent="0.2">
      <c r="B267" s="947" t="s">
        <v>1043</v>
      </c>
      <c r="C267" s="925" t="s">
        <v>884</v>
      </c>
      <c r="D267" s="925" t="s">
        <v>521</v>
      </c>
      <c r="E267" s="934">
        <v>1620000</v>
      </c>
      <c r="F267" s="927"/>
      <c r="G267" s="927">
        <v>1620000</v>
      </c>
      <c r="H267" s="927"/>
      <c r="I267" s="928"/>
      <c r="J267" s="927"/>
      <c r="K267" s="927">
        <f t="shared" si="26"/>
        <v>1620000</v>
      </c>
      <c r="L267" s="927"/>
      <c r="M267" s="929">
        <f t="shared" si="27"/>
        <v>0</v>
      </c>
      <c r="N267" s="930">
        <f t="shared" si="23"/>
        <v>0</v>
      </c>
      <c r="O267" s="931"/>
      <c r="P267" s="932"/>
      <c r="Q267" s="927"/>
      <c r="R267" s="933"/>
      <c r="S267" s="903"/>
      <c r="T267" s="901"/>
      <c r="U267" s="901"/>
      <c r="V267" s="901"/>
      <c r="W267" s="901"/>
    </row>
    <row r="268" spans="1:23" s="888" customFormat="1" ht="25.5" x14ac:dyDescent="0.2">
      <c r="B268" s="947" t="s">
        <v>1043</v>
      </c>
      <c r="C268" s="925" t="s">
        <v>257</v>
      </c>
      <c r="D268" s="925" t="s">
        <v>286</v>
      </c>
      <c r="E268" s="934">
        <f>K268</f>
        <v>2440000</v>
      </c>
      <c r="F268" s="927"/>
      <c r="G268" s="927">
        <v>2440000</v>
      </c>
      <c r="H268" s="927"/>
      <c r="I268" s="928"/>
      <c r="J268" s="927"/>
      <c r="K268" s="927">
        <f t="shared" si="26"/>
        <v>2440000</v>
      </c>
      <c r="L268" s="927"/>
      <c r="M268" s="929">
        <f t="shared" si="27"/>
        <v>0</v>
      </c>
      <c r="N268" s="930">
        <f t="shared" si="23"/>
        <v>0</v>
      </c>
      <c r="O268" s="931"/>
      <c r="P268" s="932"/>
      <c r="Q268" s="927"/>
      <c r="R268" s="933"/>
      <c r="S268" s="903"/>
      <c r="T268" s="901"/>
      <c r="U268" s="901"/>
      <c r="V268" s="901"/>
      <c r="W268" s="901"/>
    </row>
    <row r="269" spans="1:23" s="888" customFormat="1" ht="25.5" x14ac:dyDescent="0.2">
      <c r="B269" s="947" t="s">
        <v>1043</v>
      </c>
      <c r="C269" s="925" t="s">
        <v>886</v>
      </c>
      <c r="D269" s="925" t="s">
        <v>887</v>
      </c>
      <c r="E269" s="934">
        <v>8780000</v>
      </c>
      <c r="F269" s="927"/>
      <c r="G269" s="927">
        <v>8780000</v>
      </c>
      <c r="H269" s="927"/>
      <c r="I269" s="928"/>
      <c r="J269" s="927"/>
      <c r="K269" s="927">
        <f t="shared" ref="K269:K275" si="28">SUM(G269:J269)</f>
        <v>8780000</v>
      </c>
      <c r="L269" s="927"/>
      <c r="M269" s="929">
        <f t="shared" si="27"/>
        <v>0</v>
      </c>
      <c r="N269" s="930">
        <f t="shared" ref="N269:N332" si="29">IF($F269="",($E269-$K269),($F269-$K269))</f>
        <v>0</v>
      </c>
      <c r="O269" s="931"/>
      <c r="P269" s="932"/>
      <c r="Q269" s="927"/>
      <c r="R269" s="933"/>
      <c r="S269" s="903"/>
      <c r="T269" s="901"/>
      <c r="U269" s="901"/>
      <c r="V269" s="901"/>
      <c r="W269" s="901"/>
    </row>
    <row r="270" spans="1:23" s="888" customFormat="1" ht="25.5" x14ac:dyDescent="0.2">
      <c r="B270" s="947" t="s">
        <v>1043</v>
      </c>
      <c r="C270" s="925" t="s">
        <v>536</v>
      </c>
      <c r="D270" s="925" t="s">
        <v>700</v>
      </c>
      <c r="E270" s="926">
        <v>2140000</v>
      </c>
      <c r="F270" s="927"/>
      <c r="G270" s="927">
        <v>2140000</v>
      </c>
      <c r="H270" s="927"/>
      <c r="I270" s="928"/>
      <c r="J270" s="927"/>
      <c r="K270" s="927">
        <f t="shared" si="28"/>
        <v>2140000</v>
      </c>
      <c r="L270" s="927"/>
      <c r="M270" s="929">
        <f t="shared" si="27"/>
        <v>0</v>
      </c>
      <c r="N270" s="930">
        <f t="shared" si="29"/>
        <v>0</v>
      </c>
      <c r="O270" s="931"/>
      <c r="P270" s="932"/>
      <c r="Q270" s="927"/>
      <c r="R270" s="933"/>
      <c r="S270" s="903" t="s">
        <v>943</v>
      </c>
      <c r="T270" s="901"/>
      <c r="U270" s="901"/>
      <c r="V270" s="901"/>
      <c r="W270" s="901"/>
    </row>
    <row r="271" spans="1:23" s="888" customFormat="1" ht="25.5" x14ac:dyDescent="0.2">
      <c r="B271" s="947" t="s">
        <v>1043</v>
      </c>
      <c r="C271" s="925" t="s">
        <v>215</v>
      </c>
      <c r="D271" s="925" t="s">
        <v>403</v>
      </c>
      <c r="E271" s="934">
        <v>3800000</v>
      </c>
      <c r="F271" s="927"/>
      <c r="G271" s="927">
        <v>3800000</v>
      </c>
      <c r="H271" s="927"/>
      <c r="I271" s="928"/>
      <c r="J271" s="927"/>
      <c r="K271" s="927">
        <f t="shared" si="28"/>
        <v>3800000</v>
      </c>
      <c r="L271" s="927"/>
      <c r="M271" s="929">
        <f t="shared" si="27"/>
        <v>0</v>
      </c>
      <c r="N271" s="930">
        <f t="shared" si="29"/>
        <v>0</v>
      </c>
      <c r="O271" s="931"/>
      <c r="P271" s="932"/>
      <c r="Q271" s="927"/>
      <c r="R271" s="933"/>
      <c r="S271" s="903"/>
      <c r="T271" s="901"/>
      <c r="U271" s="901"/>
      <c r="V271" s="901"/>
      <c r="W271" s="901"/>
    </row>
    <row r="272" spans="1:23" s="888" customFormat="1" ht="25.5" x14ac:dyDescent="0.2">
      <c r="B272" s="947" t="s">
        <v>1043</v>
      </c>
      <c r="C272" s="925" t="s">
        <v>889</v>
      </c>
      <c r="D272" s="925" t="s">
        <v>846</v>
      </c>
      <c r="E272" s="926">
        <v>1000000</v>
      </c>
      <c r="F272" s="927"/>
      <c r="G272" s="927">
        <v>1000000</v>
      </c>
      <c r="H272" s="927"/>
      <c r="I272" s="928"/>
      <c r="J272" s="927"/>
      <c r="K272" s="927">
        <f t="shared" si="28"/>
        <v>1000000</v>
      </c>
      <c r="L272" s="927"/>
      <c r="M272" s="929">
        <f t="shared" si="27"/>
        <v>0</v>
      </c>
      <c r="N272" s="930">
        <f t="shared" si="29"/>
        <v>0</v>
      </c>
      <c r="O272" s="931"/>
      <c r="P272" s="932"/>
      <c r="Q272" s="927"/>
      <c r="R272" s="933"/>
      <c r="S272" s="903" t="s">
        <v>846</v>
      </c>
      <c r="T272" s="901"/>
      <c r="U272" s="901"/>
      <c r="V272" s="901"/>
      <c r="W272" s="901"/>
    </row>
    <row r="273" spans="1:23" s="888" customFormat="1" ht="25.5" x14ac:dyDescent="0.2">
      <c r="B273" s="947" t="s">
        <v>1043</v>
      </c>
      <c r="C273" s="925" t="s">
        <v>890</v>
      </c>
      <c r="D273" s="925" t="s">
        <v>195</v>
      </c>
      <c r="E273" s="934">
        <v>7700000</v>
      </c>
      <c r="F273" s="927"/>
      <c r="G273" s="927">
        <v>7700000</v>
      </c>
      <c r="H273" s="927"/>
      <c r="I273" s="928"/>
      <c r="J273" s="927"/>
      <c r="K273" s="927">
        <f t="shared" si="28"/>
        <v>7700000</v>
      </c>
      <c r="L273" s="927"/>
      <c r="M273" s="929">
        <f t="shared" si="27"/>
        <v>0</v>
      </c>
      <c r="N273" s="930">
        <f t="shared" si="29"/>
        <v>0</v>
      </c>
      <c r="O273" s="931"/>
      <c r="P273" s="932"/>
      <c r="Q273" s="927"/>
      <c r="R273" s="933"/>
      <c r="S273" s="903"/>
      <c r="T273" s="901"/>
      <c r="U273" s="901"/>
      <c r="V273" s="901"/>
      <c r="W273" s="901"/>
    </row>
    <row r="274" spans="1:23" s="888" customFormat="1" ht="25.5" x14ac:dyDescent="0.2">
      <c r="B274" s="947" t="s">
        <v>1043</v>
      </c>
      <c r="C274" s="925" t="s">
        <v>883</v>
      </c>
      <c r="D274" s="925" t="s">
        <v>704</v>
      </c>
      <c r="E274" s="934">
        <v>4250000</v>
      </c>
      <c r="F274" s="927"/>
      <c r="G274" s="927">
        <v>4250000</v>
      </c>
      <c r="H274" s="927"/>
      <c r="I274" s="928"/>
      <c r="J274" s="927"/>
      <c r="K274" s="927">
        <f t="shared" si="28"/>
        <v>4250000</v>
      </c>
      <c r="L274" s="927"/>
      <c r="M274" s="929">
        <f t="shared" si="27"/>
        <v>0</v>
      </c>
      <c r="N274" s="930">
        <f t="shared" si="29"/>
        <v>0</v>
      </c>
      <c r="O274" s="931"/>
      <c r="P274" s="932"/>
      <c r="Q274" s="927"/>
      <c r="R274" s="933"/>
      <c r="S274" s="903"/>
      <c r="T274" s="901"/>
      <c r="U274" s="901"/>
      <c r="V274" s="901"/>
      <c r="W274" s="901"/>
    </row>
    <row r="275" spans="1:23" s="888" customFormat="1" ht="25.5" x14ac:dyDescent="0.2">
      <c r="B275" s="947" t="s">
        <v>1043</v>
      </c>
      <c r="C275" s="925" t="s">
        <v>607</v>
      </c>
      <c r="D275" s="925" t="s">
        <v>693</v>
      </c>
      <c r="E275" s="934">
        <f>K275</f>
        <v>3890000</v>
      </c>
      <c r="F275" s="927"/>
      <c r="G275" s="927">
        <v>3890000</v>
      </c>
      <c r="H275" s="927"/>
      <c r="I275" s="928"/>
      <c r="J275" s="927"/>
      <c r="K275" s="927">
        <f t="shared" si="28"/>
        <v>3890000</v>
      </c>
      <c r="L275" s="927"/>
      <c r="M275" s="929">
        <f t="shared" si="27"/>
        <v>0</v>
      </c>
      <c r="N275" s="930">
        <f t="shared" si="29"/>
        <v>0</v>
      </c>
      <c r="O275" s="931"/>
      <c r="P275" s="932"/>
      <c r="Q275" s="927"/>
      <c r="R275" s="933"/>
      <c r="S275" s="903"/>
      <c r="T275" s="901"/>
      <c r="U275" s="901"/>
      <c r="V275" s="901"/>
      <c r="W275" s="901"/>
    </row>
    <row r="276" spans="1:23" s="888" customFormat="1" ht="25.5" x14ac:dyDescent="0.2">
      <c r="B276" s="947" t="s">
        <v>1043</v>
      </c>
      <c r="C276" s="925" t="s">
        <v>947</v>
      </c>
      <c r="D276" s="925"/>
      <c r="E276" s="926"/>
      <c r="F276" s="927"/>
      <c r="G276" s="927">
        <f>U276</f>
        <v>0</v>
      </c>
      <c r="H276" s="927"/>
      <c r="I276" s="928"/>
      <c r="J276" s="927"/>
      <c r="K276" s="927">
        <f>SUM(G276:J276)</f>
        <v>0</v>
      </c>
      <c r="L276" s="927"/>
      <c r="M276" s="929">
        <f t="shared" si="27"/>
        <v>0</v>
      </c>
      <c r="N276" s="930">
        <f t="shared" si="29"/>
        <v>0</v>
      </c>
      <c r="O276" s="931"/>
      <c r="P276" s="932"/>
      <c r="Q276" s="927"/>
      <c r="R276" s="933"/>
      <c r="S276" s="903"/>
      <c r="T276" s="901" t="s">
        <v>948</v>
      </c>
      <c r="U276" s="901">
        <f>SUM(U262:U275)</f>
        <v>0</v>
      </c>
      <c r="V276" s="901"/>
      <c r="W276" s="901"/>
    </row>
    <row r="277" spans="1:23" s="906" customFormat="1" ht="25.5" x14ac:dyDescent="0.2">
      <c r="B277" s="935" t="s">
        <v>949</v>
      </c>
      <c r="C277" s="936" t="s">
        <v>1044</v>
      </c>
      <c r="D277" s="937"/>
      <c r="E277" s="938"/>
      <c r="F277" s="939"/>
      <c r="G277" s="939"/>
      <c r="H277" s="939"/>
      <c r="I277" s="940"/>
      <c r="J277" s="939"/>
      <c r="K277" s="950">
        <f>SUM(K262:K276)</f>
        <v>51292000</v>
      </c>
      <c r="L277" s="950">
        <f>SUM(L262:L276)</f>
        <v>0</v>
      </c>
      <c r="M277" s="950">
        <f>SUM(M262:M276)</f>
        <v>0</v>
      </c>
      <c r="N277" s="942">
        <f>SUM(N262:N276)</f>
        <v>0</v>
      </c>
      <c r="O277" s="943"/>
      <c r="P277" s="944"/>
      <c r="Q277" s="939"/>
      <c r="R277" s="945"/>
      <c r="S277" s="908"/>
      <c r="T277" s="909"/>
      <c r="U277" s="909"/>
      <c r="V277" s="909"/>
      <c r="W277" s="909"/>
    </row>
    <row r="278" spans="1:23" s="888" customFormat="1" ht="12.75" x14ac:dyDescent="0.2">
      <c r="A278" s="888">
        <v>13</v>
      </c>
      <c r="B278" s="947" t="s">
        <v>1045</v>
      </c>
      <c r="C278" s="925" t="s">
        <v>313</v>
      </c>
      <c r="D278" s="925" t="s">
        <v>173</v>
      </c>
      <c r="E278" s="926">
        <v>56650000</v>
      </c>
      <c r="F278" s="927">
        <v>57490000</v>
      </c>
      <c r="G278" s="927">
        <v>16955000</v>
      </c>
      <c r="H278" s="927">
        <v>22660000</v>
      </c>
      <c r="I278" s="928">
        <v>17835000</v>
      </c>
      <c r="J278" s="927">
        <v>40000</v>
      </c>
      <c r="K278" s="927">
        <f>SUM(G278:J278)</f>
        <v>57490000</v>
      </c>
      <c r="L278" s="927"/>
      <c r="M278" s="929">
        <f t="shared" ref="M278:M311" si="30">IF(F278="",E278-K278-L278,F278-K278-L278)</f>
        <v>0</v>
      </c>
      <c r="N278" s="930">
        <f t="shared" si="29"/>
        <v>0</v>
      </c>
      <c r="O278" s="931"/>
      <c r="P278" s="932"/>
      <c r="Q278" s="927"/>
      <c r="R278" s="933"/>
      <c r="S278" s="902"/>
      <c r="T278" s="901" t="s">
        <v>893</v>
      </c>
      <c r="U278" s="901"/>
      <c r="V278" s="901"/>
      <c r="W278" s="901"/>
    </row>
    <row r="279" spans="1:23" s="888" customFormat="1" ht="25.5" x14ac:dyDescent="0.2">
      <c r="B279" s="947" t="s">
        <v>1045</v>
      </c>
      <c r="C279" s="925" t="s">
        <v>894</v>
      </c>
      <c r="D279" s="925" t="s">
        <v>448</v>
      </c>
      <c r="E279" s="926">
        <v>100950000</v>
      </c>
      <c r="F279" s="927">
        <v>118100000</v>
      </c>
      <c r="G279" s="927">
        <v>30285000</v>
      </c>
      <c r="H279" s="927">
        <v>50475000</v>
      </c>
      <c r="I279" s="928">
        <v>37340000</v>
      </c>
      <c r="J279" s="927"/>
      <c r="K279" s="927">
        <f t="shared" ref="K279:K311" si="31">SUM(G279:J279)</f>
        <v>118100000</v>
      </c>
      <c r="L279" s="927"/>
      <c r="M279" s="929">
        <f t="shared" si="30"/>
        <v>0</v>
      </c>
      <c r="N279" s="930">
        <f t="shared" si="29"/>
        <v>0</v>
      </c>
      <c r="O279" s="931"/>
      <c r="P279" s="932"/>
      <c r="Q279" s="927"/>
      <c r="R279" s="933"/>
      <c r="S279" s="903"/>
      <c r="T279" s="901" t="s">
        <v>1002</v>
      </c>
      <c r="U279" s="901">
        <v>5100000</v>
      </c>
      <c r="V279" s="901" t="s">
        <v>896</v>
      </c>
      <c r="W279" s="901"/>
    </row>
    <row r="280" spans="1:23" s="888" customFormat="1" ht="12.75" x14ac:dyDescent="0.2">
      <c r="B280" s="947" t="s">
        <v>1045</v>
      </c>
      <c r="C280" s="925" t="s">
        <v>175</v>
      </c>
      <c r="D280" s="925" t="s">
        <v>416</v>
      </c>
      <c r="E280" s="926">
        <v>1100000</v>
      </c>
      <c r="F280" s="927">
        <v>1100000</v>
      </c>
      <c r="G280" s="927">
        <v>1100000</v>
      </c>
      <c r="H280" s="927"/>
      <c r="I280" s="928"/>
      <c r="J280" s="927"/>
      <c r="K280" s="927">
        <f t="shared" si="31"/>
        <v>1100000</v>
      </c>
      <c r="L280" s="927"/>
      <c r="M280" s="929">
        <f t="shared" si="30"/>
        <v>0</v>
      </c>
      <c r="N280" s="930">
        <f t="shared" si="29"/>
        <v>0</v>
      </c>
      <c r="O280" s="931"/>
      <c r="P280" s="932"/>
      <c r="Q280" s="927"/>
      <c r="R280" s="933"/>
      <c r="S280" s="903" t="s">
        <v>943</v>
      </c>
      <c r="T280" s="901" t="s">
        <v>1003</v>
      </c>
      <c r="U280" s="901">
        <v>6600000</v>
      </c>
      <c r="V280" s="901" t="s">
        <v>896</v>
      </c>
      <c r="W280" s="901"/>
    </row>
    <row r="281" spans="1:23" s="888" customFormat="1" ht="12.75" x14ac:dyDescent="0.2">
      <c r="B281" s="947" t="s">
        <v>1045</v>
      </c>
      <c r="C281" s="925" t="s">
        <v>99</v>
      </c>
      <c r="D281" s="925" t="s">
        <v>100</v>
      </c>
      <c r="E281" s="926">
        <v>106810660</v>
      </c>
      <c r="F281" s="927">
        <v>146375900</v>
      </c>
      <c r="G281" s="927">
        <v>32043198</v>
      </c>
      <c r="H281" s="927">
        <v>42724624</v>
      </c>
      <c r="I281" s="928">
        <v>64289643</v>
      </c>
      <c r="J281" s="927"/>
      <c r="K281" s="927">
        <f t="shared" si="31"/>
        <v>139057465</v>
      </c>
      <c r="L281" s="927"/>
      <c r="M281" s="929">
        <f t="shared" si="30"/>
        <v>7318435</v>
      </c>
      <c r="N281" s="930">
        <f t="shared" si="29"/>
        <v>7318435</v>
      </c>
      <c r="O281" s="931"/>
      <c r="P281" s="932"/>
      <c r="Q281" s="927"/>
      <c r="R281" s="933"/>
      <c r="S281" s="903" t="s">
        <v>943</v>
      </c>
      <c r="T281" s="901" t="s">
        <v>1004</v>
      </c>
      <c r="U281" s="901">
        <v>4450000</v>
      </c>
      <c r="V281" s="901" t="s">
        <v>898</v>
      </c>
      <c r="W281" s="901"/>
    </row>
    <row r="282" spans="1:23" s="888" customFormat="1" ht="12.75" x14ac:dyDescent="0.2">
      <c r="B282" s="947" t="s">
        <v>1045</v>
      </c>
      <c r="C282" s="925" t="s">
        <v>31</v>
      </c>
      <c r="D282" s="925" t="s">
        <v>897</v>
      </c>
      <c r="E282" s="926">
        <v>22772000</v>
      </c>
      <c r="F282" s="927">
        <v>49720000</v>
      </c>
      <c r="G282" s="927">
        <v>6831660</v>
      </c>
      <c r="H282" s="927">
        <v>15000000</v>
      </c>
      <c r="I282" s="928">
        <v>27888340</v>
      </c>
      <c r="J282" s="927"/>
      <c r="K282" s="927">
        <f t="shared" si="31"/>
        <v>49720000</v>
      </c>
      <c r="L282" s="927"/>
      <c r="M282" s="929">
        <f t="shared" si="30"/>
        <v>0</v>
      </c>
      <c r="N282" s="930">
        <f t="shared" si="29"/>
        <v>0</v>
      </c>
      <c r="O282" s="931"/>
      <c r="P282" s="932"/>
      <c r="Q282" s="927"/>
      <c r="R282" s="933"/>
      <c r="S282" s="903"/>
      <c r="T282" s="901" t="s">
        <v>1021</v>
      </c>
      <c r="U282" s="901">
        <v>160000</v>
      </c>
      <c r="V282" s="901" t="s">
        <v>902</v>
      </c>
      <c r="W282" s="901"/>
    </row>
    <row r="283" spans="1:23" s="888" customFormat="1" ht="25.5" x14ac:dyDescent="0.2">
      <c r="B283" s="947" t="s">
        <v>1045</v>
      </c>
      <c r="C283" s="925" t="s">
        <v>899</v>
      </c>
      <c r="D283" s="925" t="s">
        <v>229</v>
      </c>
      <c r="E283" s="926">
        <v>95095000</v>
      </c>
      <c r="F283" s="927">
        <v>89982750</v>
      </c>
      <c r="G283" s="927">
        <v>47547500</v>
      </c>
      <c r="H283" s="927">
        <v>42435250</v>
      </c>
      <c r="I283" s="928"/>
      <c r="J283" s="927"/>
      <c r="K283" s="927">
        <f t="shared" si="31"/>
        <v>89982750</v>
      </c>
      <c r="L283" s="927"/>
      <c r="M283" s="929">
        <f t="shared" si="30"/>
        <v>0</v>
      </c>
      <c r="N283" s="930">
        <f t="shared" si="29"/>
        <v>0</v>
      </c>
      <c r="O283" s="931" t="s">
        <v>901</v>
      </c>
      <c r="P283" s="932">
        <v>43879</v>
      </c>
      <c r="Q283" s="927"/>
      <c r="R283" s="933"/>
      <c r="S283" s="903" t="s">
        <v>943</v>
      </c>
      <c r="T283" s="901"/>
      <c r="U283" s="901"/>
      <c r="V283" s="901"/>
      <c r="W283" s="901"/>
    </row>
    <row r="284" spans="1:23" s="888" customFormat="1" ht="25.5" x14ac:dyDescent="0.2">
      <c r="B284" s="947" t="s">
        <v>1045</v>
      </c>
      <c r="C284" s="925" t="s">
        <v>167</v>
      </c>
      <c r="D284" s="925" t="s">
        <v>903</v>
      </c>
      <c r="E284" s="926">
        <v>7656740</v>
      </c>
      <c r="F284" s="927"/>
      <c r="G284" s="927">
        <v>7656740</v>
      </c>
      <c r="H284" s="927"/>
      <c r="I284" s="928"/>
      <c r="J284" s="927"/>
      <c r="K284" s="927">
        <f t="shared" si="31"/>
        <v>7656740</v>
      </c>
      <c r="L284" s="927"/>
      <c r="M284" s="929">
        <f t="shared" si="30"/>
        <v>0</v>
      </c>
      <c r="N284" s="930">
        <f t="shared" si="29"/>
        <v>0</v>
      </c>
      <c r="O284" s="931"/>
      <c r="P284" s="932"/>
      <c r="Q284" s="927"/>
      <c r="R284" s="933"/>
      <c r="S284" s="903" t="s">
        <v>903</v>
      </c>
      <c r="T284" s="901"/>
      <c r="U284" s="901"/>
      <c r="V284" s="901"/>
      <c r="W284" s="901"/>
    </row>
    <row r="285" spans="1:23" s="888" customFormat="1" ht="12.75" x14ac:dyDescent="0.2">
      <c r="B285" s="947" t="s">
        <v>1045</v>
      </c>
      <c r="C285" s="925" t="s">
        <v>292</v>
      </c>
      <c r="D285" s="925" t="s">
        <v>104</v>
      </c>
      <c r="E285" s="926">
        <v>59536000</v>
      </c>
      <c r="F285" s="927"/>
      <c r="G285" s="927">
        <v>35721600</v>
      </c>
      <c r="H285" s="927">
        <v>23814000</v>
      </c>
      <c r="I285" s="928">
        <v>400</v>
      </c>
      <c r="J285" s="927"/>
      <c r="K285" s="927">
        <f t="shared" si="31"/>
        <v>59536000</v>
      </c>
      <c r="L285" s="927"/>
      <c r="M285" s="929">
        <f t="shared" si="30"/>
        <v>0</v>
      </c>
      <c r="N285" s="930">
        <f t="shared" si="29"/>
        <v>0</v>
      </c>
      <c r="O285" s="931"/>
      <c r="P285" s="932"/>
      <c r="Q285" s="927"/>
      <c r="R285" s="933"/>
      <c r="S285" s="903"/>
      <c r="T285" s="901"/>
      <c r="U285" s="901"/>
      <c r="V285" s="901"/>
      <c r="W285" s="901"/>
    </row>
    <row r="286" spans="1:23" s="888" customFormat="1" ht="25.5" x14ac:dyDescent="0.2">
      <c r="B286" s="947" t="s">
        <v>1045</v>
      </c>
      <c r="C286" s="925" t="s">
        <v>442</v>
      </c>
      <c r="D286" s="925" t="s">
        <v>443</v>
      </c>
      <c r="E286" s="926">
        <v>7748800</v>
      </c>
      <c r="F286" s="927"/>
      <c r="G286" s="927">
        <v>3874400</v>
      </c>
      <c r="H286" s="927">
        <v>3874400</v>
      </c>
      <c r="I286" s="928"/>
      <c r="J286" s="927"/>
      <c r="K286" s="927">
        <f t="shared" si="31"/>
        <v>7748800</v>
      </c>
      <c r="L286" s="927"/>
      <c r="M286" s="929">
        <f t="shared" si="30"/>
        <v>0</v>
      </c>
      <c r="N286" s="930">
        <f t="shared" si="29"/>
        <v>0</v>
      </c>
      <c r="O286" s="931"/>
      <c r="P286" s="932"/>
      <c r="Q286" s="927"/>
      <c r="R286" s="933"/>
      <c r="S286" s="903" t="s">
        <v>943</v>
      </c>
      <c r="T286" s="901"/>
      <c r="U286" s="901"/>
      <c r="V286" s="901"/>
      <c r="W286" s="901"/>
    </row>
    <row r="287" spans="1:23" s="888" customFormat="1" ht="25.5" x14ac:dyDescent="0.2">
      <c r="B287" s="947" t="s">
        <v>1045</v>
      </c>
      <c r="C287" s="925" t="s">
        <v>167</v>
      </c>
      <c r="D287" s="925" t="s">
        <v>286</v>
      </c>
      <c r="E287" s="926">
        <v>8467200</v>
      </c>
      <c r="F287" s="927"/>
      <c r="G287" s="927">
        <v>8467200</v>
      </c>
      <c r="H287" s="927"/>
      <c r="I287" s="928"/>
      <c r="J287" s="927"/>
      <c r="K287" s="927">
        <f t="shared" si="31"/>
        <v>8467200</v>
      </c>
      <c r="L287" s="927"/>
      <c r="M287" s="929">
        <f t="shared" si="30"/>
        <v>0</v>
      </c>
      <c r="N287" s="930">
        <f t="shared" si="29"/>
        <v>0</v>
      </c>
      <c r="O287" s="931"/>
      <c r="P287" s="932"/>
      <c r="Q287" s="927"/>
      <c r="R287" s="933"/>
      <c r="S287" s="903"/>
      <c r="T287" s="901"/>
      <c r="U287" s="901"/>
      <c r="V287" s="901"/>
      <c r="W287" s="901"/>
    </row>
    <row r="288" spans="1:23" s="888" customFormat="1" ht="12.75" x14ac:dyDescent="0.2">
      <c r="B288" s="947" t="s">
        <v>1045</v>
      </c>
      <c r="C288" s="925" t="s">
        <v>340</v>
      </c>
      <c r="D288" s="925" t="s">
        <v>906</v>
      </c>
      <c r="E288" s="926">
        <v>7664000</v>
      </c>
      <c r="F288" s="927"/>
      <c r="G288" s="927">
        <v>7664000</v>
      </c>
      <c r="H288" s="927"/>
      <c r="I288" s="928"/>
      <c r="J288" s="927"/>
      <c r="K288" s="927">
        <f t="shared" si="31"/>
        <v>7664000</v>
      </c>
      <c r="L288" s="927"/>
      <c r="M288" s="929">
        <f t="shared" si="30"/>
        <v>0</v>
      </c>
      <c r="N288" s="930">
        <f t="shared" si="29"/>
        <v>0</v>
      </c>
      <c r="O288" s="931"/>
      <c r="P288" s="932"/>
      <c r="Q288" s="927"/>
      <c r="R288" s="933"/>
      <c r="S288" s="903" t="s">
        <v>943</v>
      </c>
      <c r="T288" s="901"/>
      <c r="U288" s="901"/>
      <c r="V288" s="901"/>
      <c r="W288" s="901"/>
    </row>
    <row r="289" spans="2:19" s="901" customFormat="1" ht="12.75" x14ac:dyDescent="0.2">
      <c r="B289" s="947" t="s">
        <v>1045</v>
      </c>
      <c r="C289" s="925" t="s">
        <v>232</v>
      </c>
      <c r="D289" s="925" t="s">
        <v>341</v>
      </c>
      <c r="E289" s="926">
        <v>10184000</v>
      </c>
      <c r="F289" s="927">
        <v>14288000</v>
      </c>
      <c r="G289" s="927">
        <v>4000000</v>
      </c>
      <c r="H289" s="927">
        <v>6000000</v>
      </c>
      <c r="I289" s="928">
        <v>4288000</v>
      </c>
      <c r="J289" s="927"/>
      <c r="K289" s="927">
        <f t="shared" si="31"/>
        <v>14288000</v>
      </c>
      <c r="L289" s="927"/>
      <c r="M289" s="929">
        <f t="shared" si="30"/>
        <v>0</v>
      </c>
      <c r="N289" s="930">
        <f t="shared" si="29"/>
        <v>0</v>
      </c>
      <c r="O289" s="931"/>
      <c r="P289" s="932"/>
      <c r="Q289" s="927"/>
      <c r="R289" s="933"/>
      <c r="S289" s="903" t="s">
        <v>341</v>
      </c>
    </row>
    <row r="290" spans="2:19" s="901" customFormat="1" ht="25.5" x14ac:dyDescent="0.2">
      <c r="B290" s="947" t="s">
        <v>1045</v>
      </c>
      <c r="C290" s="925" t="s">
        <v>167</v>
      </c>
      <c r="D290" s="925" t="s">
        <v>907</v>
      </c>
      <c r="E290" s="926">
        <v>6644400</v>
      </c>
      <c r="F290" s="927"/>
      <c r="G290" s="927">
        <v>6644400</v>
      </c>
      <c r="H290" s="927"/>
      <c r="I290" s="928"/>
      <c r="J290" s="927"/>
      <c r="K290" s="927">
        <f t="shared" si="31"/>
        <v>6644400</v>
      </c>
      <c r="L290" s="927"/>
      <c r="M290" s="929">
        <f t="shared" si="30"/>
        <v>0</v>
      </c>
      <c r="N290" s="930">
        <f t="shared" si="29"/>
        <v>0</v>
      </c>
      <c r="O290" s="931"/>
      <c r="P290" s="932"/>
      <c r="Q290" s="927"/>
      <c r="R290" s="933"/>
      <c r="S290" s="903" t="s">
        <v>907</v>
      </c>
    </row>
    <row r="291" spans="2:19" s="901" customFormat="1" ht="25.5" x14ac:dyDescent="0.2">
      <c r="B291" s="947" t="s">
        <v>1045</v>
      </c>
      <c r="C291" s="925" t="s">
        <v>514</v>
      </c>
      <c r="D291" s="925" t="s">
        <v>114</v>
      </c>
      <c r="E291" s="926">
        <v>4480000</v>
      </c>
      <c r="F291" s="927"/>
      <c r="G291" s="927">
        <v>4480000</v>
      </c>
      <c r="H291" s="927"/>
      <c r="I291" s="928"/>
      <c r="J291" s="927"/>
      <c r="K291" s="927">
        <f t="shared" si="31"/>
        <v>4480000</v>
      </c>
      <c r="L291" s="927"/>
      <c r="M291" s="929">
        <f t="shared" si="30"/>
        <v>0</v>
      </c>
      <c r="N291" s="930">
        <f t="shared" si="29"/>
        <v>0</v>
      </c>
      <c r="O291" s="931"/>
      <c r="P291" s="932"/>
      <c r="Q291" s="927"/>
      <c r="R291" s="933"/>
      <c r="S291" s="903" t="s">
        <v>114</v>
      </c>
    </row>
    <row r="292" spans="2:19" s="901" customFormat="1" ht="12.75" x14ac:dyDescent="0.2">
      <c r="B292" s="947" t="s">
        <v>1045</v>
      </c>
      <c r="C292" s="925" t="s">
        <v>908</v>
      </c>
      <c r="D292" s="925" t="s">
        <v>57</v>
      </c>
      <c r="E292" s="926">
        <f>34957336+1830276</f>
        <v>36787612</v>
      </c>
      <c r="F292" s="927"/>
      <c r="G292" s="946">
        <v>34957336</v>
      </c>
      <c r="H292" s="927">
        <v>1830276</v>
      </c>
      <c r="I292" s="928"/>
      <c r="J292" s="927"/>
      <c r="K292" s="927">
        <f t="shared" si="31"/>
        <v>36787612</v>
      </c>
      <c r="L292" s="927"/>
      <c r="M292" s="929">
        <f t="shared" si="30"/>
        <v>0</v>
      </c>
      <c r="N292" s="930">
        <f t="shared" si="29"/>
        <v>0</v>
      </c>
      <c r="O292" s="931"/>
      <c r="P292" s="932"/>
      <c r="Q292" s="927"/>
      <c r="R292" s="933"/>
      <c r="S292" s="903" t="s">
        <v>57</v>
      </c>
    </row>
    <row r="293" spans="2:19" s="901" customFormat="1" ht="12.75" x14ac:dyDescent="0.2">
      <c r="B293" s="947" t="s">
        <v>1045</v>
      </c>
      <c r="C293" s="925" t="s">
        <v>56</v>
      </c>
      <c r="D293" s="925" t="s">
        <v>57</v>
      </c>
      <c r="E293" s="926">
        <v>29240000</v>
      </c>
      <c r="F293" s="927"/>
      <c r="G293" s="927">
        <v>29240000</v>
      </c>
      <c r="H293" s="927"/>
      <c r="I293" s="928"/>
      <c r="J293" s="927"/>
      <c r="K293" s="927">
        <f t="shared" si="31"/>
        <v>29240000</v>
      </c>
      <c r="L293" s="927"/>
      <c r="M293" s="929">
        <f t="shared" si="30"/>
        <v>0</v>
      </c>
      <c r="N293" s="930">
        <f t="shared" si="29"/>
        <v>0</v>
      </c>
      <c r="O293" s="931"/>
      <c r="P293" s="932"/>
      <c r="Q293" s="927"/>
      <c r="R293" s="933"/>
      <c r="S293" s="903" t="s">
        <v>57</v>
      </c>
    </row>
    <row r="294" spans="2:19" s="901" customFormat="1" ht="25.5" x14ac:dyDescent="0.2">
      <c r="B294" s="947" t="s">
        <v>1045</v>
      </c>
      <c r="C294" s="925" t="s">
        <v>167</v>
      </c>
      <c r="D294" s="925" t="s">
        <v>907</v>
      </c>
      <c r="E294" s="926">
        <v>1717940</v>
      </c>
      <c r="F294" s="927"/>
      <c r="G294" s="927">
        <v>1717940</v>
      </c>
      <c r="H294" s="927"/>
      <c r="I294" s="928"/>
      <c r="J294" s="927"/>
      <c r="K294" s="927">
        <f t="shared" si="31"/>
        <v>1717940</v>
      </c>
      <c r="L294" s="927"/>
      <c r="M294" s="929">
        <f t="shared" si="30"/>
        <v>0</v>
      </c>
      <c r="N294" s="930">
        <f t="shared" si="29"/>
        <v>0</v>
      </c>
      <c r="O294" s="931"/>
      <c r="P294" s="932"/>
      <c r="Q294" s="927"/>
      <c r="R294" s="933"/>
      <c r="S294" s="903" t="s">
        <v>907</v>
      </c>
    </row>
    <row r="295" spans="2:19" s="901" customFormat="1" ht="12.75" x14ac:dyDescent="0.2">
      <c r="B295" s="947" t="s">
        <v>1045</v>
      </c>
      <c r="C295" s="925" t="s">
        <v>213</v>
      </c>
      <c r="D295" s="925" t="s">
        <v>909</v>
      </c>
      <c r="E295" s="926">
        <v>27600000</v>
      </c>
      <c r="F295" s="927"/>
      <c r="G295" s="927">
        <v>19320000</v>
      </c>
      <c r="H295" s="927">
        <v>8280000</v>
      </c>
      <c r="I295" s="928"/>
      <c r="J295" s="927"/>
      <c r="K295" s="927">
        <f t="shared" si="31"/>
        <v>27600000</v>
      </c>
      <c r="L295" s="927"/>
      <c r="M295" s="929">
        <f t="shared" si="30"/>
        <v>0</v>
      </c>
      <c r="N295" s="930">
        <f t="shared" si="29"/>
        <v>0</v>
      </c>
      <c r="O295" s="931"/>
      <c r="P295" s="932"/>
      <c r="Q295" s="927"/>
      <c r="R295" s="933"/>
      <c r="S295" s="903"/>
    </row>
    <row r="296" spans="2:19" s="901" customFormat="1" ht="12.75" x14ac:dyDescent="0.2">
      <c r="B296" s="947" t="s">
        <v>1045</v>
      </c>
      <c r="C296" s="925" t="s">
        <v>118</v>
      </c>
      <c r="D296" s="925" t="s">
        <v>301</v>
      </c>
      <c r="E296" s="934"/>
      <c r="F296" s="927">
        <f>20632150+1900000</f>
        <v>22532150</v>
      </c>
      <c r="G296" s="927">
        <v>20632150</v>
      </c>
      <c r="H296" s="927">
        <v>1900000</v>
      </c>
      <c r="I296" s="928"/>
      <c r="J296" s="927"/>
      <c r="K296" s="927">
        <f t="shared" si="31"/>
        <v>22532150</v>
      </c>
      <c r="L296" s="927"/>
      <c r="M296" s="929">
        <f t="shared" si="30"/>
        <v>0</v>
      </c>
      <c r="N296" s="930">
        <f t="shared" si="29"/>
        <v>0</v>
      </c>
      <c r="O296" s="931"/>
      <c r="P296" s="932"/>
      <c r="Q296" s="927"/>
      <c r="R296" s="933"/>
      <c r="S296" s="903"/>
    </row>
    <row r="297" spans="2:19" s="901" customFormat="1" ht="12.75" x14ac:dyDescent="0.2">
      <c r="B297" s="947" t="s">
        <v>1045</v>
      </c>
      <c r="C297" s="925" t="s">
        <v>132</v>
      </c>
      <c r="D297" s="925" t="s">
        <v>910</v>
      </c>
      <c r="E297" s="926">
        <v>16784280</v>
      </c>
      <c r="F297" s="927"/>
      <c r="G297" s="927">
        <v>16784280</v>
      </c>
      <c r="H297" s="927"/>
      <c r="I297" s="928"/>
      <c r="J297" s="927"/>
      <c r="K297" s="927">
        <f t="shared" si="31"/>
        <v>16784280</v>
      </c>
      <c r="L297" s="927"/>
      <c r="M297" s="929">
        <f t="shared" si="30"/>
        <v>0</v>
      </c>
      <c r="N297" s="930">
        <f t="shared" si="29"/>
        <v>0</v>
      </c>
      <c r="O297" s="931"/>
      <c r="P297" s="932"/>
      <c r="Q297" s="927"/>
      <c r="R297" s="933"/>
      <c r="S297" s="903" t="s">
        <v>943</v>
      </c>
    </row>
    <row r="298" spans="2:19" s="901" customFormat="1" ht="12.75" x14ac:dyDescent="0.2">
      <c r="B298" s="947" t="s">
        <v>1045</v>
      </c>
      <c r="C298" s="925" t="s">
        <v>132</v>
      </c>
      <c r="D298" s="925" t="s">
        <v>910</v>
      </c>
      <c r="E298" s="926">
        <v>7058729</v>
      </c>
      <c r="F298" s="927"/>
      <c r="G298" s="927">
        <v>7058729</v>
      </c>
      <c r="H298" s="927"/>
      <c r="I298" s="928"/>
      <c r="J298" s="927"/>
      <c r="K298" s="927">
        <f t="shared" si="31"/>
        <v>7058729</v>
      </c>
      <c r="L298" s="927"/>
      <c r="M298" s="929">
        <f t="shared" si="30"/>
        <v>0</v>
      </c>
      <c r="N298" s="930">
        <f t="shared" si="29"/>
        <v>0</v>
      </c>
      <c r="O298" s="931"/>
      <c r="P298" s="932"/>
      <c r="Q298" s="927"/>
      <c r="R298" s="933"/>
      <c r="S298" s="903" t="s">
        <v>943</v>
      </c>
    </row>
    <row r="299" spans="2:19" s="901" customFormat="1" ht="25.5" x14ac:dyDescent="0.2">
      <c r="B299" s="947" t="s">
        <v>1045</v>
      </c>
      <c r="C299" s="925" t="s">
        <v>913</v>
      </c>
      <c r="D299" s="925" t="s">
        <v>727</v>
      </c>
      <c r="E299" s="934">
        <v>11000000</v>
      </c>
      <c r="F299" s="927"/>
      <c r="G299" s="927">
        <v>3000000</v>
      </c>
      <c r="H299" s="927">
        <v>2000000</v>
      </c>
      <c r="I299" s="928">
        <v>6000000</v>
      </c>
      <c r="J299" s="927"/>
      <c r="K299" s="927">
        <f t="shared" si="31"/>
        <v>11000000</v>
      </c>
      <c r="L299" s="927"/>
      <c r="M299" s="929">
        <f t="shared" si="30"/>
        <v>0</v>
      </c>
      <c r="N299" s="930">
        <f t="shared" si="29"/>
        <v>0</v>
      </c>
      <c r="O299" s="931"/>
      <c r="P299" s="932"/>
      <c r="Q299" s="927"/>
      <c r="R299" s="933"/>
      <c r="S299" s="903"/>
    </row>
    <row r="300" spans="2:19" s="901" customFormat="1" ht="25.5" x14ac:dyDescent="0.2">
      <c r="B300" s="947" t="s">
        <v>1045</v>
      </c>
      <c r="C300" s="925" t="s">
        <v>257</v>
      </c>
      <c r="D300" s="925" t="s">
        <v>286</v>
      </c>
      <c r="E300" s="934">
        <v>16883354</v>
      </c>
      <c r="F300" s="927"/>
      <c r="G300" s="927">
        <v>16883354</v>
      </c>
      <c r="H300" s="927"/>
      <c r="I300" s="928"/>
      <c r="J300" s="927"/>
      <c r="K300" s="927">
        <f t="shared" si="31"/>
        <v>16883354</v>
      </c>
      <c r="L300" s="927"/>
      <c r="M300" s="929">
        <f t="shared" si="30"/>
        <v>0</v>
      </c>
      <c r="N300" s="930">
        <f t="shared" si="29"/>
        <v>0</v>
      </c>
      <c r="O300" s="931"/>
      <c r="P300" s="932"/>
      <c r="Q300" s="927"/>
      <c r="R300" s="933"/>
      <c r="S300" s="903"/>
    </row>
    <row r="301" spans="2:19" s="901" customFormat="1" ht="25.5" x14ac:dyDescent="0.2">
      <c r="B301" s="947" t="s">
        <v>1045</v>
      </c>
      <c r="C301" s="925" t="s">
        <v>257</v>
      </c>
      <c r="D301" s="925" t="s">
        <v>727</v>
      </c>
      <c r="E301" s="934">
        <f>K301</f>
        <v>11990000</v>
      </c>
      <c r="F301" s="927"/>
      <c r="G301" s="927">
        <v>11990000</v>
      </c>
      <c r="H301" s="927"/>
      <c r="I301" s="928"/>
      <c r="J301" s="927"/>
      <c r="K301" s="927">
        <f t="shared" si="31"/>
        <v>11990000</v>
      </c>
      <c r="L301" s="927"/>
      <c r="M301" s="929">
        <f t="shared" si="30"/>
        <v>0</v>
      </c>
      <c r="N301" s="930">
        <f t="shared" si="29"/>
        <v>0</v>
      </c>
      <c r="O301" s="931"/>
      <c r="P301" s="932"/>
      <c r="Q301" s="927"/>
      <c r="R301" s="933"/>
      <c r="S301" s="903"/>
    </row>
    <row r="302" spans="2:19" s="901" customFormat="1" ht="12.75" x14ac:dyDescent="0.2">
      <c r="B302" s="947" t="s">
        <v>1045</v>
      </c>
      <c r="C302" s="925" t="s">
        <v>346</v>
      </c>
      <c r="D302" s="925" t="s">
        <v>915</v>
      </c>
      <c r="E302" s="934">
        <v>65401661.600000001</v>
      </c>
      <c r="F302" s="927"/>
      <c r="G302" s="927">
        <v>32700830.800000001</v>
      </c>
      <c r="H302" s="927">
        <v>32700830.800000001</v>
      </c>
      <c r="I302" s="928"/>
      <c r="J302" s="927"/>
      <c r="K302" s="927">
        <f t="shared" si="31"/>
        <v>65401661.600000001</v>
      </c>
      <c r="L302" s="927"/>
      <c r="M302" s="929">
        <f t="shared" si="30"/>
        <v>0</v>
      </c>
      <c r="N302" s="930">
        <f t="shared" si="29"/>
        <v>0</v>
      </c>
      <c r="O302" s="931"/>
      <c r="P302" s="932"/>
      <c r="Q302" s="927"/>
      <c r="R302" s="933"/>
      <c r="S302" s="903"/>
    </row>
    <row r="303" spans="2:19" s="901" customFormat="1" ht="12.75" x14ac:dyDescent="0.2">
      <c r="B303" s="947" t="s">
        <v>1045</v>
      </c>
      <c r="C303" s="925" t="s">
        <v>170</v>
      </c>
      <c r="D303" s="925" t="s">
        <v>171</v>
      </c>
      <c r="E303" s="926"/>
      <c r="F303" s="927">
        <v>25548400</v>
      </c>
      <c r="G303" s="927">
        <v>25548400</v>
      </c>
      <c r="H303" s="927"/>
      <c r="I303" s="928"/>
      <c r="J303" s="927"/>
      <c r="K303" s="927">
        <f t="shared" si="31"/>
        <v>25548400</v>
      </c>
      <c r="L303" s="927"/>
      <c r="M303" s="929">
        <f t="shared" si="30"/>
        <v>0</v>
      </c>
      <c r="N303" s="930">
        <f t="shared" si="29"/>
        <v>0</v>
      </c>
      <c r="O303" s="931"/>
      <c r="P303" s="932"/>
      <c r="Q303" s="927"/>
      <c r="R303" s="933"/>
      <c r="S303" s="903" t="s">
        <v>171</v>
      </c>
    </row>
    <row r="304" spans="2:19" s="901" customFormat="1" ht="25.5" x14ac:dyDescent="0.2">
      <c r="B304" s="947" t="s">
        <v>1045</v>
      </c>
      <c r="C304" s="925" t="s">
        <v>916</v>
      </c>
      <c r="D304" s="925" t="s">
        <v>727</v>
      </c>
      <c r="E304" s="934">
        <f>K304</f>
        <v>2350000</v>
      </c>
      <c r="F304" s="927"/>
      <c r="G304" s="927">
        <v>2350000</v>
      </c>
      <c r="H304" s="927"/>
      <c r="I304" s="928"/>
      <c r="J304" s="927"/>
      <c r="K304" s="927">
        <f t="shared" si="31"/>
        <v>2350000</v>
      </c>
      <c r="L304" s="927"/>
      <c r="M304" s="929">
        <f t="shared" si="30"/>
        <v>0</v>
      </c>
      <c r="N304" s="930">
        <f t="shared" si="29"/>
        <v>0</v>
      </c>
      <c r="O304" s="931"/>
      <c r="P304" s="932"/>
      <c r="Q304" s="927"/>
      <c r="R304" s="933"/>
      <c r="S304" s="903"/>
    </row>
    <row r="305" spans="1:23" s="888" customFormat="1" ht="25.5" x14ac:dyDescent="0.2">
      <c r="B305" s="947" t="s">
        <v>1045</v>
      </c>
      <c r="C305" s="925" t="s">
        <v>442</v>
      </c>
      <c r="D305" s="925" t="s">
        <v>443</v>
      </c>
      <c r="E305" s="926">
        <v>3200000</v>
      </c>
      <c r="F305" s="927"/>
      <c r="G305" s="927">
        <v>1600000</v>
      </c>
      <c r="H305" s="927"/>
      <c r="I305" s="928"/>
      <c r="J305" s="927"/>
      <c r="K305" s="927">
        <f t="shared" si="31"/>
        <v>1600000</v>
      </c>
      <c r="L305" s="927"/>
      <c r="M305" s="929">
        <f t="shared" si="30"/>
        <v>1600000</v>
      </c>
      <c r="N305" s="930">
        <f t="shared" si="29"/>
        <v>1600000</v>
      </c>
      <c r="O305" s="931"/>
      <c r="P305" s="932"/>
      <c r="Q305" s="927"/>
      <c r="R305" s="933"/>
      <c r="S305" s="903" t="s">
        <v>943</v>
      </c>
      <c r="T305" s="901"/>
      <c r="U305" s="901"/>
      <c r="V305" s="901"/>
      <c r="W305" s="901"/>
    </row>
    <row r="306" spans="1:23" s="888" customFormat="1" ht="12.75" x14ac:dyDescent="0.2">
      <c r="B306" s="947" t="s">
        <v>1045</v>
      </c>
      <c r="C306" s="925" t="s">
        <v>394</v>
      </c>
      <c r="D306" s="925" t="s">
        <v>909</v>
      </c>
      <c r="E306" s="934">
        <v>400000</v>
      </c>
      <c r="F306" s="927"/>
      <c r="G306" s="927">
        <v>400000</v>
      </c>
      <c r="H306" s="927"/>
      <c r="I306" s="928"/>
      <c r="J306" s="927"/>
      <c r="K306" s="927">
        <f t="shared" si="31"/>
        <v>400000</v>
      </c>
      <c r="L306" s="927"/>
      <c r="M306" s="929">
        <f t="shared" si="30"/>
        <v>0</v>
      </c>
      <c r="N306" s="930">
        <f t="shared" si="29"/>
        <v>0</v>
      </c>
      <c r="O306" s="931"/>
      <c r="P306" s="932"/>
      <c r="Q306" s="927"/>
      <c r="R306" s="933"/>
      <c r="S306" s="903"/>
      <c r="T306" s="901"/>
      <c r="U306" s="901"/>
      <c r="V306" s="901"/>
      <c r="W306" s="901"/>
    </row>
    <row r="307" spans="1:23" s="888" customFormat="1" ht="25.5" x14ac:dyDescent="0.2">
      <c r="B307" s="947" t="s">
        <v>1045</v>
      </c>
      <c r="C307" s="925" t="s">
        <v>917</v>
      </c>
      <c r="D307" s="925" t="s">
        <v>229</v>
      </c>
      <c r="E307" s="926">
        <v>9130000</v>
      </c>
      <c r="F307" s="927"/>
      <c r="G307" s="927">
        <v>9130000</v>
      </c>
      <c r="H307" s="927"/>
      <c r="I307" s="928"/>
      <c r="J307" s="927"/>
      <c r="K307" s="927">
        <f t="shared" si="31"/>
        <v>9130000</v>
      </c>
      <c r="L307" s="927"/>
      <c r="M307" s="929">
        <f t="shared" si="30"/>
        <v>0</v>
      </c>
      <c r="N307" s="930">
        <f t="shared" si="29"/>
        <v>0</v>
      </c>
      <c r="O307" s="931"/>
      <c r="P307" s="932"/>
      <c r="Q307" s="927"/>
      <c r="R307" s="933"/>
      <c r="S307" s="903" t="s">
        <v>943</v>
      </c>
      <c r="T307" s="901"/>
      <c r="U307" s="901"/>
      <c r="V307" s="901"/>
      <c r="W307" s="901"/>
    </row>
    <row r="308" spans="1:23" s="888" customFormat="1" ht="25.5" x14ac:dyDescent="0.2">
      <c r="B308" s="947" t="s">
        <v>1045</v>
      </c>
      <c r="C308" s="925" t="s">
        <v>1046</v>
      </c>
      <c r="D308" s="925" t="s">
        <v>1039</v>
      </c>
      <c r="E308" s="926"/>
      <c r="F308" s="927">
        <v>33916000</v>
      </c>
      <c r="G308" s="927">
        <v>33916000</v>
      </c>
      <c r="H308" s="927"/>
      <c r="I308" s="928"/>
      <c r="J308" s="927"/>
      <c r="K308" s="927">
        <f t="shared" si="31"/>
        <v>33916000</v>
      </c>
      <c r="L308" s="927"/>
      <c r="M308" s="929">
        <f t="shared" si="30"/>
        <v>0</v>
      </c>
      <c r="N308" s="930">
        <f t="shared" si="29"/>
        <v>0</v>
      </c>
      <c r="O308" s="931"/>
      <c r="P308" s="932"/>
      <c r="Q308" s="927"/>
      <c r="R308" s="933"/>
      <c r="S308" s="903"/>
      <c r="T308" s="901"/>
      <c r="U308" s="901"/>
      <c r="V308" s="901"/>
      <c r="W308" s="901"/>
    </row>
    <row r="309" spans="1:23" s="888" customFormat="1" ht="12.75" x14ac:dyDescent="0.2">
      <c r="B309" s="947" t="s">
        <v>1045</v>
      </c>
      <c r="C309" s="925" t="s">
        <v>107</v>
      </c>
      <c r="D309" s="925" t="s">
        <v>995</v>
      </c>
      <c r="E309" s="926">
        <v>530000</v>
      </c>
      <c r="F309" s="927"/>
      <c r="G309" s="927">
        <v>530000</v>
      </c>
      <c r="H309" s="927"/>
      <c r="I309" s="928"/>
      <c r="J309" s="927"/>
      <c r="K309" s="927">
        <f t="shared" si="31"/>
        <v>530000</v>
      </c>
      <c r="L309" s="927"/>
      <c r="M309" s="929">
        <f t="shared" si="30"/>
        <v>0</v>
      </c>
      <c r="N309" s="930">
        <f t="shared" si="29"/>
        <v>0</v>
      </c>
      <c r="O309" s="931"/>
      <c r="P309" s="932"/>
      <c r="Q309" s="927"/>
      <c r="R309" s="933"/>
      <c r="S309" s="903"/>
      <c r="T309" s="901"/>
      <c r="U309" s="901"/>
      <c r="V309" s="901"/>
      <c r="W309" s="901"/>
    </row>
    <row r="310" spans="1:23" s="888" customFormat="1" ht="12.75" x14ac:dyDescent="0.2">
      <c r="B310" s="947" t="s">
        <v>1045</v>
      </c>
      <c r="C310" s="925" t="s">
        <v>170</v>
      </c>
      <c r="D310" s="925" t="s">
        <v>171</v>
      </c>
      <c r="E310" s="926"/>
      <c r="F310" s="927">
        <v>333000</v>
      </c>
      <c r="G310" s="927">
        <v>333000</v>
      </c>
      <c r="H310" s="927"/>
      <c r="I310" s="928"/>
      <c r="J310" s="927"/>
      <c r="K310" s="927">
        <f t="shared" si="31"/>
        <v>333000</v>
      </c>
      <c r="L310" s="927"/>
      <c r="M310" s="929"/>
      <c r="N310" s="930">
        <f t="shared" si="29"/>
        <v>0</v>
      </c>
      <c r="O310" s="931"/>
      <c r="P310" s="932"/>
      <c r="Q310" s="927"/>
      <c r="R310" s="933"/>
      <c r="S310" s="903"/>
      <c r="T310" s="901"/>
      <c r="U310" s="901"/>
      <c r="V310" s="901"/>
      <c r="W310" s="901"/>
    </row>
    <row r="311" spans="1:23" s="888" customFormat="1" ht="12.75" x14ac:dyDescent="0.2">
      <c r="B311" s="947" t="s">
        <v>1045</v>
      </c>
      <c r="C311" s="925" t="s">
        <v>947</v>
      </c>
      <c r="D311" s="925"/>
      <c r="E311" s="926"/>
      <c r="F311" s="927"/>
      <c r="G311" s="927">
        <f>U311</f>
        <v>16310000</v>
      </c>
      <c r="H311" s="927"/>
      <c r="I311" s="928"/>
      <c r="J311" s="927"/>
      <c r="K311" s="927">
        <f t="shared" si="31"/>
        <v>16310000</v>
      </c>
      <c r="L311" s="927"/>
      <c r="M311" s="929">
        <f t="shared" si="30"/>
        <v>-16310000</v>
      </c>
      <c r="N311" s="930">
        <f t="shared" si="29"/>
        <v>-16310000</v>
      </c>
      <c r="O311" s="931"/>
      <c r="P311" s="932"/>
      <c r="Q311" s="927"/>
      <c r="R311" s="933"/>
      <c r="S311" s="903"/>
      <c r="T311" s="901" t="s">
        <v>948</v>
      </c>
      <c r="U311" s="901">
        <f>SUM(U279:U307)</f>
        <v>16310000</v>
      </c>
      <c r="V311" s="901"/>
      <c r="W311" s="901"/>
    </row>
    <row r="312" spans="1:23" s="906" customFormat="1" ht="25.5" x14ac:dyDescent="0.2">
      <c r="B312" s="935" t="s">
        <v>949</v>
      </c>
      <c r="C312" s="936" t="s">
        <v>1047</v>
      </c>
      <c r="D312" s="937"/>
      <c r="E312" s="938"/>
      <c r="F312" s="939"/>
      <c r="G312" s="939"/>
      <c r="H312" s="939"/>
      <c r="I312" s="940"/>
      <c r="J312" s="939"/>
      <c r="K312" s="950">
        <f>SUM(K278:K311)</f>
        <v>909048481.60000002</v>
      </c>
      <c r="L312" s="950">
        <f>SUM(L278:L311)</f>
        <v>0</v>
      </c>
      <c r="M312" s="950">
        <f>SUM(M278:M311)</f>
        <v>-7391565</v>
      </c>
      <c r="N312" s="942">
        <f>SUM(N278:N311)</f>
        <v>-7391565</v>
      </c>
      <c r="O312" s="943"/>
      <c r="P312" s="944"/>
      <c r="Q312" s="939"/>
      <c r="R312" s="945"/>
      <c r="S312" s="908"/>
      <c r="T312" s="909"/>
      <c r="U312" s="909"/>
      <c r="V312" s="909"/>
      <c r="W312" s="909"/>
    </row>
    <row r="313" spans="1:23" s="888" customFormat="1" ht="25.5" x14ac:dyDescent="0.2">
      <c r="A313" s="888">
        <v>14</v>
      </c>
      <c r="B313" s="947" t="s">
        <v>1048</v>
      </c>
      <c r="C313" s="925" t="s">
        <v>920</v>
      </c>
      <c r="D313" s="925" t="s">
        <v>372</v>
      </c>
      <c r="E313" s="926">
        <v>23304000</v>
      </c>
      <c r="F313" s="927">
        <v>38730000</v>
      </c>
      <c r="G313" s="927">
        <v>6991200</v>
      </c>
      <c r="H313" s="927">
        <v>15000000</v>
      </c>
      <c r="I313" s="928">
        <v>16738800</v>
      </c>
      <c r="J313" s="927"/>
      <c r="K313" s="927">
        <f>SUM(G313:J313)</f>
        <v>38730000</v>
      </c>
      <c r="L313" s="927"/>
      <c r="M313" s="929">
        <f>IF(F313="",E313-K313-L313,F313-K313-L313)</f>
        <v>0</v>
      </c>
      <c r="N313" s="930">
        <f t="shared" si="29"/>
        <v>0</v>
      </c>
      <c r="O313" s="931"/>
      <c r="P313" s="932"/>
      <c r="Q313" s="927"/>
      <c r="R313" s="933"/>
      <c r="S313" s="902" t="s">
        <v>372</v>
      </c>
      <c r="T313" s="901" t="s">
        <v>1049</v>
      </c>
      <c r="U313" s="901"/>
      <c r="V313" s="901"/>
      <c r="W313" s="901"/>
    </row>
    <row r="314" spans="1:23" s="888" customFormat="1" ht="12.75" x14ac:dyDescent="0.2">
      <c r="B314" s="947" t="s">
        <v>1048</v>
      </c>
      <c r="C314" s="925" t="s">
        <v>175</v>
      </c>
      <c r="D314" s="925" t="s">
        <v>416</v>
      </c>
      <c r="E314" s="926">
        <v>1100000</v>
      </c>
      <c r="F314" s="927">
        <v>1100000</v>
      </c>
      <c r="G314" s="927">
        <v>1100000</v>
      </c>
      <c r="H314" s="927"/>
      <c r="I314" s="928"/>
      <c r="J314" s="927"/>
      <c r="K314" s="927">
        <f>SUM(G314:J314)</f>
        <v>1100000</v>
      </c>
      <c r="L314" s="927"/>
      <c r="M314" s="929">
        <f>IF(F314="",E314-K314-L314,F314-K314-L314)</f>
        <v>0</v>
      </c>
      <c r="N314" s="930">
        <f t="shared" si="29"/>
        <v>0</v>
      </c>
      <c r="O314" s="931"/>
      <c r="P314" s="932"/>
      <c r="Q314" s="927"/>
      <c r="R314" s="933"/>
      <c r="S314" s="903" t="s">
        <v>943</v>
      </c>
      <c r="T314" s="901"/>
      <c r="U314" s="901"/>
      <c r="V314" s="901"/>
      <c r="W314" s="901"/>
    </row>
    <row r="315" spans="1:23" s="888" customFormat="1" ht="12.75" x14ac:dyDescent="0.2">
      <c r="B315" s="947" t="s">
        <v>1048</v>
      </c>
      <c r="C315" s="925" t="s">
        <v>346</v>
      </c>
      <c r="D315" s="925" t="s">
        <v>915</v>
      </c>
      <c r="E315" s="926">
        <v>5246880.8</v>
      </c>
      <c r="F315" s="927"/>
      <c r="G315" s="927">
        <v>2623440.4</v>
      </c>
      <c r="H315" s="927">
        <v>2623440.4</v>
      </c>
      <c r="I315" s="928"/>
      <c r="J315" s="927"/>
      <c r="K315" s="927">
        <f>SUM(G315:J315)</f>
        <v>5246880.8</v>
      </c>
      <c r="L315" s="927"/>
      <c r="M315" s="929">
        <f>IF(F315="",E315-K315-L315,F315-K315-L315)</f>
        <v>0</v>
      </c>
      <c r="N315" s="930">
        <f t="shared" si="29"/>
        <v>0</v>
      </c>
      <c r="O315" s="931"/>
      <c r="P315" s="932"/>
      <c r="Q315" s="927"/>
      <c r="R315" s="933"/>
      <c r="S315" s="903"/>
      <c r="T315" s="901"/>
      <c r="U315" s="901"/>
      <c r="V315" s="901"/>
      <c r="W315" s="901"/>
    </row>
    <row r="316" spans="1:23" s="888" customFormat="1" ht="12.75" x14ac:dyDescent="0.2">
      <c r="B316" s="947" t="s">
        <v>1048</v>
      </c>
      <c r="C316" s="925" t="s">
        <v>99</v>
      </c>
      <c r="D316" s="925" t="s">
        <v>100</v>
      </c>
      <c r="E316" s="926"/>
      <c r="F316" s="927">
        <v>32167000</v>
      </c>
      <c r="G316" s="927">
        <v>32167000</v>
      </c>
      <c r="H316" s="927"/>
      <c r="I316" s="928"/>
      <c r="J316" s="927"/>
      <c r="K316" s="927">
        <f>SUM(G316:J316)</f>
        <v>32167000</v>
      </c>
      <c r="L316" s="927"/>
      <c r="M316" s="929">
        <f>IF(F316="",E316-K316-L316,F316-K316-L316)</f>
        <v>0</v>
      </c>
      <c r="N316" s="930">
        <f t="shared" si="29"/>
        <v>0</v>
      </c>
      <c r="O316" s="931"/>
      <c r="P316" s="932"/>
      <c r="Q316" s="927"/>
      <c r="R316" s="933"/>
      <c r="S316" s="903" t="s">
        <v>943</v>
      </c>
      <c r="T316" s="901"/>
      <c r="U316" s="901"/>
      <c r="V316" s="901"/>
      <c r="W316" s="901"/>
    </row>
    <row r="317" spans="1:23" s="888" customFormat="1" ht="12.75" x14ac:dyDescent="0.2">
      <c r="B317" s="947" t="s">
        <v>1048</v>
      </c>
      <c r="C317" s="925" t="s">
        <v>947</v>
      </c>
      <c r="D317" s="925"/>
      <c r="E317" s="926"/>
      <c r="F317" s="927"/>
      <c r="G317" s="927">
        <f>U317</f>
        <v>0</v>
      </c>
      <c r="H317" s="927"/>
      <c r="I317" s="928"/>
      <c r="J317" s="927"/>
      <c r="K317" s="927">
        <f>SUM(G317:J317)</f>
        <v>0</v>
      </c>
      <c r="L317" s="927"/>
      <c r="M317" s="929">
        <f>IF(F317="",E317-K317-L317,F317-K317-L317)</f>
        <v>0</v>
      </c>
      <c r="N317" s="930">
        <f t="shared" si="29"/>
        <v>0</v>
      </c>
      <c r="O317" s="931"/>
      <c r="P317" s="932"/>
      <c r="Q317" s="927"/>
      <c r="R317" s="933"/>
      <c r="S317" s="903"/>
      <c r="T317" s="901" t="s">
        <v>948</v>
      </c>
      <c r="U317" s="901">
        <f>SUM(U314:U316)</f>
        <v>0</v>
      </c>
      <c r="V317" s="901"/>
      <c r="W317" s="901"/>
    </row>
    <row r="318" spans="1:23" s="906" customFormat="1" ht="25.5" x14ac:dyDescent="0.2">
      <c r="B318" s="935" t="s">
        <v>949</v>
      </c>
      <c r="C318" s="936" t="s">
        <v>919</v>
      </c>
      <c r="D318" s="937"/>
      <c r="E318" s="938"/>
      <c r="F318" s="939"/>
      <c r="G318" s="939"/>
      <c r="H318" s="939"/>
      <c r="I318" s="940"/>
      <c r="J318" s="939"/>
      <c r="K318" s="950">
        <f>SUM(K313:K317)</f>
        <v>77243880.799999997</v>
      </c>
      <c r="L318" s="950">
        <f>SUM(L313:L317)</f>
        <v>0</v>
      </c>
      <c r="M318" s="950">
        <f>SUM(M313:M317)</f>
        <v>0</v>
      </c>
      <c r="N318" s="942">
        <f>SUM(N313:N317)</f>
        <v>0</v>
      </c>
      <c r="O318" s="943"/>
      <c r="P318" s="944"/>
      <c r="Q318" s="939"/>
      <c r="R318" s="945"/>
      <c r="S318" s="908"/>
      <c r="T318" s="909"/>
      <c r="U318" s="909"/>
      <c r="V318" s="909"/>
      <c r="W318" s="909"/>
    </row>
    <row r="319" spans="1:23" s="888" customFormat="1" ht="12.75" x14ac:dyDescent="0.2">
      <c r="A319" s="888">
        <v>15</v>
      </c>
      <c r="B319" s="947" t="s">
        <v>1050</v>
      </c>
      <c r="C319" s="925" t="s">
        <v>75</v>
      </c>
      <c r="D319" s="925" t="s">
        <v>397</v>
      </c>
      <c r="E319" s="926">
        <v>338200000</v>
      </c>
      <c r="F319" s="927"/>
      <c r="G319" s="927">
        <v>101460000</v>
      </c>
      <c r="H319" s="927">
        <v>62033100</v>
      </c>
      <c r="I319" s="928"/>
      <c r="J319" s="927"/>
      <c r="K319" s="927">
        <f>SUM(G319:J319)</f>
        <v>163493100</v>
      </c>
      <c r="L319" s="927"/>
      <c r="M319" s="929">
        <f t="shared" ref="M319:M335" si="32">IF(F319="",E319-K319-L319,F319-K319-L319)</f>
        <v>174706900</v>
      </c>
      <c r="N319" s="930">
        <f t="shared" si="29"/>
        <v>174706900</v>
      </c>
      <c r="O319" s="931" t="s">
        <v>923</v>
      </c>
      <c r="P319" s="932">
        <v>43816</v>
      </c>
      <c r="Q319" s="927"/>
      <c r="R319" s="933"/>
      <c r="S319" s="902"/>
      <c r="T319" s="901" t="s">
        <v>1051</v>
      </c>
      <c r="U319" s="901"/>
      <c r="V319" s="901"/>
      <c r="W319" s="901"/>
    </row>
    <row r="320" spans="1:23" s="888" customFormat="1" ht="25.5" x14ac:dyDescent="0.2">
      <c r="B320" s="947" t="s">
        <v>1050</v>
      </c>
      <c r="C320" s="925" t="s">
        <v>920</v>
      </c>
      <c r="D320" s="925" t="s">
        <v>372</v>
      </c>
      <c r="E320" s="934">
        <v>36800000</v>
      </c>
      <c r="F320" s="927">
        <v>39800000</v>
      </c>
      <c r="G320" s="927">
        <v>11040000</v>
      </c>
      <c r="H320" s="927">
        <v>14720000</v>
      </c>
      <c r="I320" s="928">
        <v>14040000</v>
      </c>
      <c r="J320" s="927"/>
      <c r="K320" s="927">
        <f t="shared" ref="K320:K334" si="33">SUM(G320:J320)</f>
        <v>39800000</v>
      </c>
      <c r="L320" s="927"/>
      <c r="M320" s="929">
        <f t="shared" si="32"/>
        <v>0</v>
      </c>
      <c r="N320" s="930">
        <f t="shared" si="29"/>
        <v>0</v>
      </c>
      <c r="O320" s="931"/>
      <c r="P320" s="932"/>
      <c r="Q320" s="927"/>
      <c r="R320" s="933"/>
      <c r="S320" s="903"/>
      <c r="T320" s="901" t="s">
        <v>1001</v>
      </c>
      <c r="U320" s="901">
        <v>1800000</v>
      </c>
      <c r="V320" s="901"/>
      <c r="W320" s="901"/>
    </row>
    <row r="321" spans="2:23" s="888" customFormat="1" ht="12.75" x14ac:dyDescent="0.2">
      <c r="B321" s="947" t="s">
        <v>1050</v>
      </c>
      <c r="C321" s="925" t="s">
        <v>99</v>
      </c>
      <c r="D321" s="925" t="s">
        <v>100</v>
      </c>
      <c r="E321" s="926">
        <v>227447000.00000003</v>
      </c>
      <c r="F321" s="927">
        <v>236456100</v>
      </c>
      <c r="G321" s="927">
        <v>62033100</v>
      </c>
      <c r="H321" s="927">
        <v>90981880</v>
      </c>
      <c r="I321" s="928">
        <v>70668320</v>
      </c>
      <c r="J321" s="927"/>
      <c r="K321" s="927">
        <f t="shared" si="33"/>
        <v>223683300</v>
      </c>
      <c r="L321" s="927"/>
      <c r="M321" s="929">
        <f t="shared" si="32"/>
        <v>12772800</v>
      </c>
      <c r="N321" s="930">
        <f t="shared" si="29"/>
        <v>12772800</v>
      </c>
      <c r="O321" s="931"/>
      <c r="P321" s="932"/>
      <c r="Q321" s="927"/>
      <c r="R321" s="933"/>
      <c r="S321" s="903" t="s">
        <v>943</v>
      </c>
      <c r="T321" s="901" t="s">
        <v>1018</v>
      </c>
      <c r="U321" s="901">
        <v>6210000</v>
      </c>
      <c r="V321" s="901" t="s">
        <v>1052</v>
      </c>
      <c r="W321" s="901"/>
    </row>
    <row r="322" spans="2:23" s="888" customFormat="1" ht="12.75" x14ac:dyDescent="0.2">
      <c r="B322" s="947" t="s">
        <v>1050</v>
      </c>
      <c r="C322" s="925" t="s">
        <v>340</v>
      </c>
      <c r="D322" s="925" t="s">
        <v>906</v>
      </c>
      <c r="E322" s="926">
        <v>500000</v>
      </c>
      <c r="F322" s="927"/>
      <c r="G322" s="927">
        <v>500000</v>
      </c>
      <c r="H322" s="927"/>
      <c r="I322" s="928"/>
      <c r="J322" s="927"/>
      <c r="K322" s="927">
        <f t="shared" si="33"/>
        <v>500000</v>
      </c>
      <c r="L322" s="927"/>
      <c r="M322" s="929">
        <f t="shared" si="32"/>
        <v>0</v>
      </c>
      <c r="N322" s="930">
        <f t="shared" si="29"/>
        <v>0</v>
      </c>
      <c r="O322" s="931"/>
      <c r="P322" s="932"/>
      <c r="Q322" s="927"/>
      <c r="R322" s="933"/>
      <c r="S322" s="903" t="s">
        <v>943</v>
      </c>
      <c r="T322" s="901" t="s">
        <v>1016</v>
      </c>
      <c r="U322" s="901">
        <v>120000</v>
      </c>
      <c r="V322" s="901"/>
      <c r="W322" s="901"/>
    </row>
    <row r="323" spans="2:23" s="888" customFormat="1" ht="25.5" x14ac:dyDescent="0.2">
      <c r="B323" s="947" t="s">
        <v>1050</v>
      </c>
      <c r="C323" s="925" t="s">
        <v>926</v>
      </c>
      <c r="D323" s="925" t="s">
        <v>104</v>
      </c>
      <c r="E323" s="926">
        <v>2000000</v>
      </c>
      <c r="F323" s="927"/>
      <c r="G323" s="927">
        <v>2000000</v>
      </c>
      <c r="H323" s="927"/>
      <c r="I323" s="928"/>
      <c r="J323" s="927"/>
      <c r="K323" s="927">
        <f t="shared" si="33"/>
        <v>2000000</v>
      </c>
      <c r="L323" s="927"/>
      <c r="M323" s="929">
        <f t="shared" si="32"/>
        <v>0</v>
      </c>
      <c r="N323" s="930">
        <f t="shared" si="29"/>
        <v>0</v>
      </c>
      <c r="O323" s="931"/>
      <c r="P323" s="932"/>
      <c r="Q323" s="927"/>
      <c r="R323" s="933"/>
      <c r="S323" s="903" t="s">
        <v>104</v>
      </c>
      <c r="T323" s="901"/>
      <c r="U323" s="901"/>
      <c r="V323" s="901"/>
      <c r="W323" s="901"/>
    </row>
    <row r="324" spans="2:23" s="888" customFormat="1" ht="12.75" x14ac:dyDescent="0.2">
      <c r="B324" s="947" t="s">
        <v>1050</v>
      </c>
      <c r="C324" s="925" t="s">
        <v>246</v>
      </c>
      <c r="D324" s="925" t="s">
        <v>927</v>
      </c>
      <c r="E324" s="926">
        <v>3300000</v>
      </c>
      <c r="F324" s="927"/>
      <c r="G324" s="927"/>
      <c r="H324" s="927"/>
      <c r="I324" s="928"/>
      <c r="J324" s="927"/>
      <c r="K324" s="927">
        <f t="shared" si="33"/>
        <v>0</v>
      </c>
      <c r="L324" s="927"/>
      <c r="M324" s="929">
        <f t="shared" si="32"/>
        <v>3300000</v>
      </c>
      <c r="N324" s="930">
        <f t="shared" si="29"/>
        <v>3300000</v>
      </c>
      <c r="O324" s="931"/>
      <c r="P324" s="932"/>
      <c r="Q324" s="927"/>
      <c r="R324" s="933"/>
      <c r="S324" s="903" t="s">
        <v>943</v>
      </c>
      <c r="T324" s="901"/>
      <c r="U324" s="901"/>
      <c r="V324" s="901"/>
      <c r="W324" s="901"/>
    </row>
    <row r="325" spans="2:23" s="888" customFormat="1" ht="25.5" x14ac:dyDescent="0.2">
      <c r="B325" s="947" t="s">
        <v>1050</v>
      </c>
      <c r="C325" s="925" t="s">
        <v>913</v>
      </c>
      <c r="D325" s="925" t="s">
        <v>879</v>
      </c>
      <c r="E325" s="934">
        <f>K325</f>
        <v>2000000</v>
      </c>
      <c r="F325" s="927"/>
      <c r="G325" s="927">
        <v>2000000</v>
      </c>
      <c r="H325" s="927"/>
      <c r="I325" s="928"/>
      <c r="J325" s="927"/>
      <c r="K325" s="927">
        <f t="shared" si="33"/>
        <v>2000000</v>
      </c>
      <c r="L325" s="927"/>
      <c r="M325" s="929">
        <f t="shared" si="32"/>
        <v>0</v>
      </c>
      <c r="N325" s="930">
        <f t="shared" si="29"/>
        <v>0</v>
      </c>
      <c r="O325" s="931"/>
      <c r="P325" s="932"/>
      <c r="Q325" s="927"/>
      <c r="R325" s="933"/>
      <c r="S325" s="903"/>
      <c r="T325" s="901"/>
      <c r="U325" s="901"/>
      <c r="V325" s="901"/>
      <c r="W325" s="901"/>
    </row>
    <row r="326" spans="2:23" s="888" customFormat="1" ht="25.5" x14ac:dyDescent="0.2">
      <c r="B326" s="947" t="s">
        <v>1050</v>
      </c>
      <c r="C326" s="925" t="s">
        <v>257</v>
      </c>
      <c r="D326" s="925" t="s">
        <v>879</v>
      </c>
      <c r="E326" s="934">
        <f>K326</f>
        <v>3000000</v>
      </c>
      <c r="F326" s="927"/>
      <c r="G326" s="927">
        <v>3000000</v>
      </c>
      <c r="H326" s="927"/>
      <c r="I326" s="928"/>
      <c r="J326" s="927"/>
      <c r="K326" s="927">
        <f t="shared" si="33"/>
        <v>3000000</v>
      </c>
      <c r="L326" s="927"/>
      <c r="M326" s="929">
        <f t="shared" si="32"/>
        <v>0</v>
      </c>
      <c r="N326" s="930">
        <f t="shared" si="29"/>
        <v>0</v>
      </c>
      <c r="O326" s="931"/>
      <c r="P326" s="932"/>
      <c r="Q326" s="927"/>
      <c r="R326" s="933"/>
      <c r="S326" s="903"/>
      <c r="T326" s="901"/>
      <c r="U326" s="901"/>
      <c r="V326" s="901"/>
      <c r="W326" s="901"/>
    </row>
    <row r="327" spans="2:23" s="888" customFormat="1" ht="12.75" x14ac:dyDescent="0.2">
      <c r="B327" s="947" t="s">
        <v>1050</v>
      </c>
      <c r="C327" s="925" t="s">
        <v>175</v>
      </c>
      <c r="D327" s="925" t="s">
        <v>416</v>
      </c>
      <c r="E327" s="926">
        <v>1100000</v>
      </c>
      <c r="F327" s="927">
        <v>1100000</v>
      </c>
      <c r="G327" s="927">
        <v>1100000</v>
      </c>
      <c r="H327" s="927"/>
      <c r="I327" s="928"/>
      <c r="J327" s="927"/>
      <c r="K327" s="927">
        <f t="shared" si="33"/>
        <v>1100000</v>
      </c>
      <c r="L327" s="927"/>
      <c r="M327" s="929">
        <f t="shared" si="32"/>
        <v>0</v>
      </c>
      <c r="N327" s="930">
        <f t="shared" si="29"/>
        <v>0</v>
      </c>
      <c r="O327" s="931"/>
      <c r="P327" s="932"/>
      <c r="Q327" s="927"/>
      <c r="R327" s="933"/>
      <c r="S327" s="903" t="s">
        <v>943</v>
      </c>
      <c r="T327" s="901"/>
      <c r="U327" s="901"/>
      <c r="V327" s="901"/>
      <c r="W327" s="901"/>
    </row>
    <row r="328" spans="2:23" s="888" customFormat="1" ht="25.5" x14ac:dyDescent="0.2">
      <c r="B328" s="947" t="s">
        <v>1050</v>
      </c>
      <c r="C328" s="925" t="s">
        <v>929</v>
      </c>
      <c r="D328" s="925" t="s">
        <v>930</v>
      </c>
      <c r="E328" s="934">
        <f>K328</f>
        <v>843000</v>
      </c>
      <c r="F328" s="927"/>
      <c r="G328" s="927">
        <v>843000</v>
      </c>
      <c r="H328" s="927"/>
      <c r="I328" s="928"/>
      <c r="J328" s="927"/>
      <c r="K328" s="927">
        <f t="shared" si="33"/>
        <v>843000</v>
      </c>
      <c r="L328" s="927"/>
      <c r="M328" s="929">
        <f t="shared" si="32"/>
        <v>0</v>
      </c>
      <c r="N328" s="930">
        <f t="shared" si="29"/>
        <v>0</v>
      </c>
      <c r="O328" s="931"/>
      <c r="P328" s="932"/>
      <c r="Q328" s="927"/>
      <c r="R328" s="933"/>
      <c r="S328" s="903"/>
      <c r="T328" s="901"/>
      <c r="U328" s="901"/>
      <c r="V328" s="901"/>
      <c r="W328" s="901"/>
    </row>
    <row r="329" spans="2:23" s="888" customFormat="1" ht="12.75" x14ac:dyDescent="0.2">
      <c r="B329" s="947" t="s">
        <v>1050</v>
      </c>
      <c r="C329" s="925" t="s">
        <v>246</v>
      </c>
      <c r="D329" s="925" t="s">
        <v>927</v>
      </c>
      <c r="E329" s="926">
        <v>3300000</v>
      </c>
      <c r="F329" s="927"/>
      <c r="G329" s="927">
        <v>3300000</v>
      </c>
      <c r="H329" s="927"/>
      <c r="I329" s="928"/>
      <c r="J329" s="927"/>
      <c r="K329" s="927">
        <f t="shared" si="33"/>
        <v>3300000</v>
      </c>
      <c r="L329" s="927"/>
      <c r="M329" s="929">
        <f t="shared" si="32"/>
        <v>0</v>
      </c>
      <c r="N329" s="930">
        <f t="shared" si="29"/>
        <v>0</v>
      </c>
      <c r="O329" s="931"/>
      <c r="P329" s="932"/>
      <c r="Q329" s="927"/>
      <c r="R329" s="933"/>
      <c r="S329" s="903" t="s">
        <v>943</v>
      </c>
      <c r="T329" s="901"/>
      <c r="U329" s="901"/>
      <c r="V329" s="901"/>
      <c r="W329" s="901"/>
    </row>
    <row r="330" spans="2:23" s="888" customFormat="1" ht="12.75" x14ac:dyDescent="0.2">
      <c r="B330" s="947" t="s">
        <v>1050</v>
      </c>
      <c r="C330" s="925" t="s">
        <v>932</v>
      </c>
      <c r="D330" s="925" t="s">
        <v>341</v>
      </c>
      <c r="E330" s="926">
        <v>4160000</v>
      </c>
      <c r="F330" s="927">
        <v>4760000</v>
      </c>
      <c r="G330" s="927">
        <v>2160000</v>
      </c>
      <c r="H330" s="927">
        <v>2600000</v>
      </c>
      <c r="I330" s="928"/>
      <c r="J330" s="927"/>
      <c r="K330" s="927">
        <f t="shared" si="33"/>
        <v>4760000</v>
      </c>
      <c r="L330" s="927"/>
      <c r="M330" s="929">
        <f t="shared" si="32"/>
        <v>0</v>
      </c>
      <c r="N330" s="930">
        <f t="shared" si="29"/>
        <v>0</v>
      </c>
      <c r="O330" s="931"/>
      <c r="P330" s="932"/>
      <c r="Q330" s="927"/>
      <c r="R330" s="933"/>
      <c r="S330" s="903" t="s">
        <v>341</v>
      </c>
      <c r="T330" s="901"/>
      <c r="U330" s="901"/>
      <c r="V330" s="901"/>
      <c r="W330" s="901"/>
    </row>
    <row r="331" spans="2:23" s="888" customFormat="1" ht="12.75" x14ac:dyDescent="0.2">
      <c r="B331" s="947" t="s">
        <v>1050</v>
      </c>
      <c r="C331" s="925" t="s">
        <v>394</v>
      </c>
      <c r="D331" s="925" t="s">
        <v>909</v>
      </c>
      <c r="E331" s="926">
        <v>1200000</v>
      </c>
      <c r="F331" s="927"/>
      <c r="G331" s="927">
        <v>1200000</v>
      </c>
      <c r="H331" s="927"/>
      <c r="I331" s="928"/>
      <c r="J331" s="927"/>
      <c r="K331" s="927">
        <f t="shared" si="33"/>
        <v>1200000</v>
      </c>
      <c r="L331" s="927"/>
      <c r="M331" s="929">
        <f t="shared" si="32"/>
        <v>0</v>
      </c>
      <c r="N331" s="930">
        <f t="shared" si="29"/>
        <v>0</v>
      </c>
      <c r="O331" s="931"/>
      <c r="P331" s="932"/>
      <c r="Q331" s="927"/>
      <c r="R331" s="933"/>
      <c r="S331" s="903" t="s">
        <v>909</v>
      </c>
      <c r="T331" s="901"/>
      <c r="U331" s="901"/>
      <c r="V331" s="901"/>
      <c r="W331" s="901"/>
    </row>
    <row r="332" spans="2:23" s="888" customFormat="1" ht="12.75" x14ac:dyDescent="0.2">
      <c r="B332" s="947" t="s">
        <v>1050</v>
      </c>
      <c r="C332" s="925" t="s">
        <v>346</v>
      </c>
      <c r="D332" s="925" t="s">
        <v>915</v>
      </c>
      <c r="E332" s="934">
        <v>18544240</v>
      </c>
      <c r="F332" s="927"/>
      <c r="G332" s="927">
        <v>9272120</v>
      </c>
      <c r="H332" s="927">
        <v>9272120</v>
      </c>
      <c r="I332" s="928"/>
      <c r="J332" s="927"/>
      <c r="K332" s="927">
        <f t="shared" si="33"/>
        <v>18544240</v>
      </c>
      <c r="L332" s="927"/>
      <c r="M332" s="929">
        <f t="shared" si="32"/>
        <v>0</v>
      </c>
      <c r="N332" s="930">
        <f t="shared" si="29"/>
        <v>0</v>
      </c>
      <c r="O332" s="931"/>
      <c r="P332" s="932"/>
      <c r="Q332" s="927"/>
      <c r="R332" s="933"/>
      <c r="S332" s="903"/>
      <c r="T332" s="901"/>
      <c r="U332" s="901"/>
      <c r="V332" s="901"/>
      <c r="W332" s="901"/>
    </row>
    <row r="333" spans="2:23" s="888" customFormat="1" ht="25.5" x14ac:dyDescent="0.2">
      <c r="B333" s="947" t="s">
        <v>1050</v>
      </c>
      <c r="C333" s="925" t="s">
        <v>257</v>
      </c>
      <c r="D333" s="925" t="s">
        <v>727</v>
      </c>
      <c r="E333" s="934">
        <f>K333</f>
        <v>3764000</v>
      </c>
      <c r="F333" s="927"/>
      <c r="G333" s="927">
        <v>3764000</v>
      </c>
      <c r="H333" s="927"/>
      <c r="I333" s="928"/>
      <c r="J333" s="927"/>
      <c r="K333" s="927">
        <f t="shared" si="33"/>
        <v>3764000</v>
      </c>
      <c r="L333" s="927"/>
      <c r="M333" s="929">
        <f t="shared" si="32"/>
        <v>0</v>
      </c>
      <c r="N333" s="930">
        <f t="shared" ref="N333:N413" si="34">IF($F333="",($E333-$K333),($F333-$K333))</f>
        <v>0</v>
      </c>
      <c r="O333" s="931"/>
      <c r="P333" s="932"/>
      <c r="Q333" s="927"/>
      <c r="R333" s="933"/>
      <c r="S333" s="903"/>
      <c r="T333" s="901"/>
      <c r="U333" s="901"/>
      <c r="V333" s="901"/>
      <c r="W333" s="901"/>
    </row>
    <row r="334" spans="2:23" s="888" customFormat="1" ht="25.5" x14ac:dyDescent="0.2">
      <c r="B334" s="947" t="s">
        <v>1050</v>
      </c>
      <c r="C334" s="925" t="s">
        <v>1053</v>
      </c>
      <c r="D334" s="925"/>
      <c r="E334" s="934">
        <v>1127641</v>
      </c>
      <c r="F334" s="927"/>
      <c r="G334" s="927">
        <v>1127641</v>
      </c>
      <c r="H334" s="927"/>
      <c r="I334" s="928"/>
      <c r="J334" s="927"/>
      <c r="K334" s="927">
        <f t="shared" si="33"/>
        <v>1127641</v>
      </c>
      <c r="L334" s="927"/>
      <c r="M334" s="929"/>
      <c r="N334" s="930">
        <f t="shared" si="34"/>
        <v>0</v>
      </c>
      <c r="O334" s="931"/>
      <c r="P334" s="932"/>
      <c r="Q334" s="927"/>
      <c r="R334" s="933"/>
      <c r="S334" s="903"/>
      <c r="T334" s="901"/>
      <c r="U334" s="901"/>
      <c r="V334" s="901"/>
      <c r="W334" s="901"/>
    </row>
    <row r="335" spans="2:23" s="888" customFormat="1" ht="12.75" x14ac:dyDescent="0.2">
      <c r="B335" s="947" t="s">
        <v>1050</v>
      </c>
      <c r="C335" s="925" t="s">
        <v>947</v>
      </c>
      <c r="D335" s="925"/>
      <c r="E335" s="926"/>
      <c r="F335" s="927"/>
      <c r="G335" s="927">
        <f>U335</f>
        <v>8130000</v>
      </c>
      <c r="H335" s="927"/>
      <c r="I335" s="928"/>
      <c r="J335" s="927"/>
      <c r="K335" s="927">
        <f>SUM(G335:J335)</f>
        <v>8130000</v>
      </c>
      <c r="L335" s="927"/>
      <c r="M335" s="929">
        <f t="shared" si="32"/>
        <v>-8130000</v>
      </c>
      <c r="N335" s="930">
        <f t="shared" si="34"/>
        <v>-8130000</v>
      </c>
      <c r="O335" s="931"/>
      <c r="P335" s="932"/>
      <c r="Q335" s="927"/>
      <c r="R335" s="933"/>
      <c r="S335" s="903"/>
      <c r="T335" s="901" t="s">
        <v>948</v>
      </c>
      <c r="U335" s="901">
        <f>SUM(U320:U333)</f>
        <v>8130000</v>
      </c>
      <c r="V335" s="901"/>
      <c r="W335" s="901"/>
    </row>
    <row r="336" spans="2:23" s="906" customFormat="1" ht="25.5" x14ac:dyDescent="0.2">
      <c r="B336" s="935" t="s">
        <v>997</v>
      </c>
      <c r="C336" s="936" t="s">
        <v>922</v>
      </c>
      <c r="D336" s="937"/>
      <c r="E336" s="938"/>
      <c r="F336" s="939"/>
      <c r="G336" s="939"/>
      <c r="H336" s="939"/>
      <c r="I336" s="940"/>
      <c r="J336" s="939"/>
      <c r="K336" s="950">
        <f>SUM(K319:K335)</f>
        <v>477245281</v>
      </c>
      <c r="L336" s="950">
        <f>SUM(L319:L335)</f>
        <v>0</v>
      </c>
      <c r="M336" s="950">
        <f>SUM(M319:M335)</f>
        <v>182649700</v>
      </c>
      <c r="N336" s="942">
        <f>SUM(N319:N335)</f>
        <v>182649700</v>
      </c>
      <c r="O336" s="943"/>
      <c r="P336" s="944"/>
      <c r="Q336" s="939"/>
      <c r="R336" s="945"/>
      <c r="S336" s="907"/>
      <c r="T336" s="909"/>
      <c r="U336" s="909"/>
      <c r="V336" s="909"/>
      <c r="W336" s="909"/>
    </row>
    <row r="337" spans="1:23" s="888" customFormat="1" ht="38.25" x14ac:dyDescent="0.2">
      <c r="A337" s="888">
        <v>16</v>
      </c>
      <c r="B337" s="947" t="s">
        <v>1054</v>
      </c>
      <c r="C337" s="925" t="s">
        <v>56</v>
      </c>
      <c r="D337" s="948" t="s">
        <v>57</v>
      </c>
      <c r="E337" s="926">
        <f>15644560+670000</f>
        <v>16314560</v>
      </c>
      <c r="F337" s="927"/>
      <c r="G337" s="927">
        <v>15644560</v>
      </c>
      <c r="H337" s="927">
        <v>670000</v>
      </c>
      <c r="I337" s="928"/>
      <c r="J337" s="927"/>
      <c r="K337" s="927">
        <f t="shared" ref="K337:K344" si="35">SUM(G337:J337)</f>
        <v>16314560</v>
      </c>
      <c r="L337" s="927"/>
      <c r="M337" s="929">
        <f t="shared" ref="M337:M345" si="36">IF(F337="",E337-K337-L337,F337-K337-L337)</f>
        <v>0</v>
      </c>
      <c r="N337" s="930">
        <f t="shared" si="34"/>
        <v>0</v>
      </c>
      <c r="O337" s="931"/>
      <c r="P337" s="932"/>
      <c r="Q337" s="927"/>
      <c r="R337" s="933"/>
      <c r="S337" s="903"/>
      <c r="T337" s="901" t="s">
        <v>1055</v>
      </c>
      <c r="U337" s="901"/>
      <c r="V337" s="901"/>
      <c r="W337" s="901"/>
    </row>
    <row r="338" spans="1:23" s="888" customFormat="1" ht="38.25" x14ac:dyDescent="0.2">
      <c r="B338" s="947" t="s">
        <v>1054</v>
      </c>
      <c r="C338" s="925" t="s">
        <v>1056</v>
      </c>
      <c r="D338" s="948" t="s">
        <v>864</v>
      </c>
      <c r="E338" s="926">
        <v>14958000</v>
      </c>
      <c r="F338" s="927"/>
      <c r="G338" s="927">
        <v>14958000</v>
      </c>
      <c r="H338" s="927"/>
      <c r="I338" s="928"/>
      <c r="J338" s="927"/>
      <c r="K338" s="927">
        <f t="shared" si="35"/>
        <v>14958000</v>
      </c>
      <c r="L338" s="927"/>
      <c r="M338" s="929">
        <f t="shared" si="36"/>
        <v>0</v>
      </c>
      <c r="N338" s="930">
        <f t="shared" si="34"/>
        <v>0</v>
      </c>
      <c r="O338" s="931"/>
      <c r="P338" s="932"/>
      <c r="Q338" s="927"/>
      <c r="R338" s="933"/>
      <c r="S338" s="903"/>
      <c r="T338" s="901" t="s">
        <v>961</v>
      </c>
      <c r="U338" s="901">
        <v>1120000</v>
      </c>
      <c r="V338" s="901"/>
      <c r="W338" s="901"/>
    </row>
    <row r="339" spans="1:23" s="888" customFormat="1" ht="38.25" x14ac:dyDescent="0.2">
      <c r="B339" s="947" t="s">
        <v>1054</v>
      </c>
      <c r="C339" s="925" t="s">
        <v>1057</v>
      </c>
      <c r="D339" s="925" t="s">
        <v>315</v>
      </c>
      <c r="E339" s="926">
        <v>14539120</v>
      </c>
      <c r="F339" s="927"/>
      <c r="G339" s="927">
        <v>14539120</v>
      </c>
      <c r="H339" s="927"/>
      <c r="I339" s="928"/>
      <c r="J339" s="927"/>
      <c r="K339" s="927">
        <f t="shared" si="35"/>
        <v>14539120</v>
      </c>
      <c r="L339" s="927"/>
      <c r="M339" s="929">
        <f t="shared" si="36"/>
        <v>0</v>
      </c>
      <c r="N339" s="930">
        <f t="shared" si="34"/>
        <v>0</v>
      </c>
      <c r="O339" s="931"/>
      <c r="P339" s="932"/>
      <c r="Q339" s="927"/>
      <c r="R339" s="933"/>
      <c r="S339" s="903"/>
      <c r="T339" s="901" t="s">
        <v>944</v>
      </c>
      <c r="U339" s="901">
        <v>640000</v>
      </c>
      <c r="V339" s="901"/>
      <c r="W339" s="901"/>
    </row>
    <row r="340" spans="1:23" s="888" customFormat="1" ht="38.25" x14ac:dyDescent="0.2">
      <c r="B340" s="947" t="s">
        <v>1054</v>
      </c>
      <c r="C340" s="925" t="s">
        <v>1058</v>
      </c>
      <c r="D340" s="925" t="s">
        <v>1012</v>
      </c>
      <c r="E340" s="926">
        <v>2580000</v>
      </c>
      <c r="F340" s="927"/>
      <c r="G340" s="927">
        <v>2580000</v>
      </c>
      <c r="H340" s="927"/>
      <c r="I340" s="928"/>
      <c r="J340" s="927"/>
      <c r="K340" s="927">
        <f t="shared" si="35"/>
        <v>2580000</v>
      </c>
      <c r="L340" s="927"/>
      <c r="M340" s="929">
        <f t="shared" si="36"/>
        <v>0</v>
      </c>
      <c r="N340" s="930">
        <f t="shared" si="34"/>
        <v>0</v>
      </c>
      <c r="O340" s="931"/>
      <c r="P340" s="932"/>
      <c r="Q340" s="927"/>
      <c r="R340" s="933"/>
      <c r="S340" s="903"/>
      <c r="T340" s="901" t="s">
        <v>963</v>
      </c>
      <c r="U340" s="901">
        <v>500000</v>
      </c>
      <c r="V340" s="901"/>
      <c r="W340" s="901"/>
    </row>
    <row r="341" spans="1:23" s="888" customFormat="1" ht="38.25" x14ac:dyDescent="0.2">
      <c r="B341" s="947" t="s">
        <v>1054</v>
      </c>
      <c r="C341" s="925" t="s">
        <v>1059</v>
      </c>
      <c r="D341" s="925" t="s">
        <v>173</v>
      </c>
      <c r="E341" s="926">
        <v>5130000</v>
      </c>
      <c r="F341" s="927"/>
      <c r="G341" s="927">
        <v>5130000</v>
      </c>
      <c r="H341" s="927"/>
      <c r="I341" s="928"/>
      <c r="J341" s="927"/>
      <c r="K341" s="927">
        <f t="shared" si="35"/>
        <v>5130000</v>
      </c>
      <c r="L341" s="927"/>
      <c r="M341" s="929">
        <f t="shared" si="36"/>
        <v>0</v>
      </c>
      <c r="N341" s="930">
        <f t="shared" si="34"/>
        <v>0</v>
      </c>
      <c r="O341" s="931"/>
      <c r="P341" s="932"/>
      <c r="Q341" s="927"/>
      <c r="R341" s="933"/>
      <c r="S341" s="903"/>
      <c r="T341" s="901"/>
      <c r="U341" s="901"/>
      <c r="V341" s="901"/>
      <c r="W341" s="901"/>
    </row>
    <row r="342" spans="1:23" s="888" customFormat="1" ht="38.25" x14ac:dyDescent="0.2">
      <c r="B342" s="947" t="s">
        <v>1054</v>
      </c>
      <c r="C342" s="925" t="s">
        <v>99</v>
      </c>
      <c r="D342" s="948" t="s">
        <v>1060</v>
      </c>
      <c r="E342" s="926">
        <v>22800000</v>
      </c>
      <c r="F342" s="927"/>
      <c r="G342" s="927">
        <v>22800000</v>
      </c>
      <c r="H342" s="927"/>
      <c r="I342" s="928"/>
      <c r="J342" s="927"/>
      <c r="K342" s="927">
        <f t="shared" si="35"/>
        <v>22800000</v>
      </c>
      <c r="L342" s="927"/>
      <c r="M342" s="929">
        <f t="shared" si="36"/>
        <v>0</v>
      </c>
      <c r="N342" s="930">
        <f t="shared" si="34"/>
        <v>0</v>
      </c>
      <c r="O342" s="931"/>
      <c r="P342" s="932"/>
      <c r="Q342" s="927"/>
      <c r="R342" s="933"/>
      <c r="S342" s="903"/>
      <c r="T342" s="901"/>
      <c r="U342" s="901"/>
      <c r="V342" s="901"/>
      <c r="W342" s="901"/>
    </row>
    <row r="343" spans="1:23" s="888" customFormat="1" ht="12.75" hidden="1" x14ac:dyDescent="0.2">
      <c r="B343" s="947"/>
      <c r="C343" s="925"/>
      <c r="D343" s="925"/>
      <c r="E343" s="926"/>
      <c r="F343" s="927"/>
      <c r="G343" s="927"/>
      <c r="H343" s="927"/>
      <c r="I343" s="928"/>
      <c r="J343" s="927"/>
      <c r="K343" s="927">
        <f t="shared" si="35"/>
        <v>0</v>
      </c>
      <c r="L343" s="927"/>
      <c r="M343" s="929">
        <f t="shared" si="36"/>
        <v>0</v>
      </c>
      <c r="N343" s="930">
        <f t="shared" si="34"/>
        <v>0</v>
      </c>
      <c r="O343" s="931"/>
      <c r="P343" s="932"/>
      <c r="Q343" s="927"/>
      <c r="R343" s="933"/>
      <c r="S343" s="903"/>
      <c r="T343" s="901"/>
      <c r="U343" s="901"/>
      <c r="V343" s="901"/>
      <c r="W343" s="901"/>
    </row>
    <row r="344" spans="1:23" s="888" customFormat="1" ht="12.75" hidden="1" x14ac:dyDescent="0.2">
      <c r="B344" s="947"/>
      <c r="C344" s="925"/>
      <c r="D344" s="925"/>
      <c r="E344" s="926"/>
      <c r="F344" s="927"/>
      <c r="G344" s="927"/>
      <c r="H344" s="927"/>
      <c r="I344" s="928"/>
      <c r="J344" s="927"/>
      <c r="K344" s="927">
        <f t="shared" si="35"/>
        <v>0</v>
      </c>
      <c r="L344" s="927"/>
      <c r="M344" s="929"/>
      <c r="N344" s="930">
        <f t="shared" si="34"/>
        <v>0</v>
      </c>
      <c r="O344" s="931"/>
      <c r="P344" s="932"/>
      <c r="Q344" s="927"/>
      <c r="R344" s="933"/>
      <c r="S344" s="903"/>
      <c r="T344" s="901"/>
      <c r="U344" s="901"/>
      <c r="V344" s="901"/>
      <c r="W344" s="901"/>
    </row>
    <row r="345" spans="1:23" s="888" customFormat="1" ht="38.25" x14ac:dyDescent="0.2">
      <c r="B345" s="947" t="s">
        <v>1054</v>
      </c>
      <c r="C345" s="925" t="s">
        <v>947</v>
      </c>
      <c r="D345" s="925"/>
      <c r="E345" s="926"/>
      <c r="F345" s="927"/>
      <c r="G345" s="927">
        <f>U345</f>
        <v>2260000</v>
      </c>
      <c r="H345" s="927"/>
      <c r="I345" s="928"/>
      <c r="J345" s="927"/>
      <c r="K345" s="927">
        <f>SUM(G345:J345)</f>
        <v>2260000</v>
      </c>
      <c r="L345" s="927"/>
      <c r="M345" s="929">
        <f t="shared" si="36"/>
        <v>-2260000</v>
      </c>
      <c r="N345" s="930">
        <f t="shared" si="34"/>
        <v>-2260000</v>
      </c>
      <c r="O345" s="931"/>
      <c r="P345" s="932"/>
      <c r="Q345" s="927"/>
      <c r="R345" s="933"/>
      <c r="S345" s="903"/>
      <c r="T345" s="901" t="s">
        <v>948</v>
      </c>
      <c r="U345" s="901">
        <f>SUM(U338:U343)</f>
        <v>2260000</v>
      </c>
      <c r="V345" s="901"/>
      <c r="W345" s="901"/>
    </row>
    <row r="346" spans="1:23" s="906" customFormat="1" ht="25.5" x14ac:dyDescent="0.2">
      <c r="B346" s="935" t="s">
        <v>997</v>
      </c>
      <c r="C346" s="936" t="s">
        <v>1061</v>
      </c>
      <c r="D346" s="937"/>
      <c r="E346" s="938"/>
      <c r="F346" s="939"/>
      <c r="G346" s="939"/>
      <c r="H346" s="939"/>
      <c r="I346" s="940"/>
      <c r="J346" s="939"/>
      <c r="K346" s="950">
        <f>SUM(K337:K345)</f>
        <v>78581680</v>
      </c>
      <c r="L346" s="950">
        <f>SUM(L337:L345)</f>
        <v>0</v>
      </c>
      <c r="M346" s="950">
        <f>SUM(M337:M345)</f>
        <v>-2260000</v>
      </c>
      <c r="N346" s="942">
        <f>SUM(N337:N345)</f>
        <v>-2260000</v>
      </c>
      <c r="O346" s="943"/>
      <c r="P346" s="944"/>
      <c r="Q346" s="939"/>
      <c r="R346" s="945"/>
      <c r="S346" s="907"/>
      <c r="T346" s="909"/>
      <c r="U346" s="909"/>
      <c r="V346" s="909"/>
      <c r="W346" s="909"/>
    </row>
    <row r="347" spans="1:23" s="888" customFormat="1" ht="27.75" customHeight="1" x14ac:dyDescent="0.2">
      <c r="A347" s="888">
        <v>17</v>
      </c>
      <c r="B347" s="947" t="s">
        <v>576</v>
      </c>
      <c r="C347" s="925" t="s">
        <v>1062</v>
      </c>
      <c r="D347" s="958">
        <v>126</v>
      </c>
      <c r="E347" s="926">
        <v>22539100</v>
      </c>
      <c r="F347" s="927"/>
      <c r="G347" s="927">
        <v>9431000</v>
      </c>
      <c r="H347" s="927">
        <v>13108100</v>
      </c>
      <c r="I347" s="928"/>
      <c r="J347" s="927"/>
      <c r="K347" s="927">
        <f t="shared" ref="K347:K352" si="37">SUM(G347:J347)</f>
        <v>22539100</v>
      </c>
      <c r="L347" s="927"/>
      <c r="M347" s="929">
        <f t="shared" ref="M347:M352" si="38">IF(F347="",E347-K347-L347,F347-K347-L347)</f>
        <v>0</v>
      </c>
      <c r="N347" s="930">
        <f t="shared" si="34"/>
        <v>0</v>
      </c>
      <c r="O347" s="931"/>
      <c r="P347" s="932"/>
      <c r="Q347" s="927"/>
      <c r="R347" s="933"/>
      <c r="S347" s="902"/>
      <c r="T347" s="901"/>
      <c r="U347" s="901"/>
      <c r="V347" s="901"/>
      <c r="W347" s="901"/>
    </row>
    <row r="348" spans="1:23" s="888" customFormat="1" ht="27.75" customHeight="1" x14ac:dyDescent="0.2">
      <c r="B348" s="947" t="s">
        <v>576</v>
      </c>
      <c r="C348" s="925" t="s">
        <v>1063</v>
      </c>
      <c r="D348" s="958"/>
      <c r="E348" s="926">
        <v>559000</v>
      </c>
      <c r="F348" s="927"/>
      <c r="G348" s="927">
        <v>559000</v>
      </c>
      <c r="H348" s="927"/>
      <c r="I348" s="928"/>
      <c r="J348" s="927"/>
      <c r="K348" s="927">
        <f t="shared" si="37"/>
        <v>559000</v>
      </c>
      <c r="L348" s="927"/>
      <c r="M348" s="929">
        <f t="shared" si="38"/>
        <v>0</v>
      </c>
      <c r="N348" s="930">
        <f t="shared" si="34"/>
        <v>0</v>
      </c>
      <c r="O348" s="931"/>
      <c r="P348" s="932"/>
      <c r="Q348" s="927"/>
      <c r="R348" s="933"/>
      <c r="S348" s="903"/>
      <c r="T348" s="901"/>
      <c r="U348" s="901"/>
      <c r="V348" s="901"/>
      <c r="W348" s="901"/>
    </row>
    <row r="349" spans="1:23" s="888" customFormat="1" ht="27.75" customHeight="1" x14ac:dyDescent="0.2">
      <c r="B349" s="947" t="s">
        <v>576</v>
      </c>
      <c r="C349" s="925" t="s">
        <v>1064</v>
      </c>
      <c r="D349" s="958"/>
      <c r="E349" s="949">
        <v>25315000</v>
      </c>
      <c r="F349" s="927"/>
      <c r="G349" s="949">
        <v>25315000</v>
      </c>
      <c r="H349" s="927"/>
      <c r="I349" s="928"/>
      <c r="J349" s="927"/>
      <c r="K349" s="927">
        <f t="shared" si="37"/>
        <v>25315000</v>
      </c>
      <c r="L349" s="927"/>
      <c r="M349" s="929">
        <f t="shared" si="38"/>
        <v>0</v>
      </c>
      <c r="N349" s="930">
        <f t="shared" si="34"/>
        <v>0</v>
      </c>
      <c r="O349" s="931"/>
      <c r="P349" s="932"/>
      <c r="Q349" s="927"/>
      <c r="R349" s="933"/>
      <c r="S349" s="903"/>
      <c r="T349" s="901"/>
      <c r="U349" s="901"/>
      <c r="V349" s="901"/>
      <c r="W349" s="901"/>
    </row>
    <row r="350" spans="1:23" s="888" customFormat="1" ht="27.75" customHeight="1" x14ac:dyDescent="0.2">
      <c r="B350" s="947" t="s">
        <v>576</v>
      </c>
      <c r="C350" s="925" t="s">
        <v>1065</v>
      </c>
      <c r="D350" s="958"/>
      <c r="E350" s="927">
        <v>15960000</v>
      </c>
      <c r="F350" s="927"/>
      <c r="G350" s="927">
        <v>15960000</v>
      </c>
      <c r="H350" s="927"/>
      <c r="I350" s="928"/>
      <c r="J350" s="927"/>
      <c r="K350" s="927">
        <f t="shared" si="37"/>
        <v>15960000</v>
      </c>
      <c r="L350" s="927"/>
      <c r="M350" s="929"/>
      <c r="N350" s="930">
        <f t="shared" si="34"/>
        <v>0</v>
      </c>
      <c r="O350" s="931"/>
      <c r="P350" s="932"/>
      <c r="Q350" s="927"/>
      <c r="R350" s="933"/>
      <c r="S350" s="903"/>
      <c r="T350" s="901"/>
      <c r="U350" s="901"/>
      <c r="V350" s="901"/>
      <c r="W350" s="901"/>
    </row>
    <row r="351" spans="1:23" s="888" customFormat="1" ht="27.75" customHeight="1" x14ac:dyDescent="0.2">
      <c r="B351" s="947" t="s">
        <v>576</v>
      </c>
      <c r="C351" s="925" t="s">
        <v>947</v>
      </c>
      <c r="D351" s="925" t="s">
        <v>1066</v>
      </c>
      <c r="E351" s="926"/>
      <c r="F351" s="927"/>
      <c r="G351" s="927">
        <f>U351</f>
        <v>183451000</v>
      </c>
      <c r="H351" s="927"/>
      <c r="I351" s="928"/>
      <c r="J351" s="927"/>
      <c r="K351" s="927">
        <f t="shared" si="37"/>
        <v>183451000</v>
      </c>
      <c r="L351" s="927"/>
      <c r="M351" s="929">
        <f>IF(F351="",E351-K351-L351,F351-K351-L351)</f>
        <v>-183451000</v>
      </c>
      <c r="N351" s="930">
        <f t="shared" si="34"/>
        <v>-183451000</v>
      </c>
      <c r="O351" s="931"/>
      <c r="P351" s="932"/>
      <c r="Q351" s="927"/>
      <c r="R351" s="933"/>
      <c r="S351" s="903"/>
      <c r="T351" s="901" t="s">
        <v>948</v>
      </c>
      <c r="U351" s="901">
        <v>183451000</v>
      </c>
      <c r="V351" s="901"/>
      <c r="W351" s="901"/>
    </row>
    <row r="352" spans="1:23" s="888" customFormat="1" ht="12.75" hidden="1" x14ac:dyDescent="0.2">
      <c r="B352" s="947"/>
      <c r="C352" s="925"/>
      <c r="D352" s="925"/>
      <c r="E352" s="926"/>
      <c r="F352" s="927"/>
      <c r="G352" s="927">
        <f>U352</f>
        <v>0</v>
      </c>
      <c r="H352" s="927"/>
      <c r="I352" s="928"/>
      <c r="J352" s="927"/>
      <c r="K352" s="927">
        <f t="shared" si="37"/>
        <v>0</v>
      </c>
      <c r="L352" s="927"/>
      <c r="M352" s="929">
        <f t="shared" si="38"/>
        <v>0</v>
      </c>
      <c r="N352" s="930">
        <f t="shared" si="34"/>
        <v>0</v>
      </c>
      <c r="O352" s="931"/>
      <c r="P352" s="932"/>
      <c r="Q352" s="927"/>
      <c r="R352" s="933"/>
      <c r="S352" s="903"/>
      <c r="T352" s="901"/>
      <c r="U352" s="901"/>
      <c r="V352" s="901"/>
      <c r="W352" s="901"/>
    </row>
    <row r="353" spans="1:23" s="906" customFormat="1" ht="25.5" x14ac:dyDescent="0.2">
      <c r="B353" s="935" t="s">
        <v>997</v>
      </c>
      <c r="C353" s="936" t="s">
        <v>1067</v>
      </c>
      <c r="D353" s="937"/>
      <c r="E353" s="938"/>
      <c r="F353" s="939"/>
      <c r="G353" s="939"/>
      <c r="H353" s="939"/>
      <c r="I353" s="940"/>
      <c r="J353" s="939"/>
      <c r="K353" s="950">
        <f>SUM(K347:K352)</f>
        <v>247824100</v>
      </c>
      <c r="L353" s="950">
        <f>SUM(L347:L352)</f>
        <v>0</v>
      </c>
      <c r="M353" s="950">
        <f>SUM(M347:M352)</f>
        <v>-183451000</v>
      </c>
      <c r="N353" s="942">
        <f>SUM(N347:N352)</f>
        <v>-183451000</v>
      </c>
      <c r="O353" s="943"/>
      <c r="P353" s="944"/>
      <c r="Q353" s="939"/>
      <c r="R353" s="945"/>
      <c r="S353" s="908"/>
      <c r="T353" s="909"/>
      <c r="U353" s="909"/>
      <c r="V353" s="909"/>
      <c r="W353" s="909"/>
    </row>
    <row r="354" spans="1:23" s="888" customFormat="1" ht="12.75" x14ac:dyDescent="0.2">
      <c r="A354" s="888">
        <v>18</v>
      </c>
      <c r="B354" s="947" t="s">
        <v>1068</v>
      </c>
      <c r="C354" s="925" t="s">
        <v>1069</v>
      </c>
      <c r="D354" s="948" t="s">
        <v>1070</v>
      </c>
      <c r="E354" s="926">
        <v>2000000</v>
      </c>
      <c r="F354" s="927"/>
      <c r="G354" s="927">
        <v>2000000</v>
      </c>
      <c r="H354" s="927"/>
      <c r="I354" s="928"/>
      <c r="J354" s="927"/>
      <c r="K354" s="927">
        <f t="shared" ref="K354:K359" si="39">SUM(G354:J354)</f>
        <v>2000000</v>
      </c>
      <c r="L354" s="927"/>
      <c r="M354" s="929">
        <f t="shared" ref="M354:M368" si="40">IF(F354="",E354-K354-L354,F354-K354-L354)</f>
        <v>0</v>
      </c>
      <c r="N354" s="930">
        <f t="shared" si="34"/>
        <v>0</v>
      </c>
      <c r="O354" s="931"/>
      <c r="P354" s="932"/>
      <c r="Q354" s="927"/>
      <c r="R354" s="933"/>
      <c r="T354" s="901" t="s">
        <v>1071</v>
      </c>
      <c r="U354" s="901">
        <v>800000</v>
      </c>
      <c r="V354" s="901"/>
      <c r="W354" s="901"/>
    </row>
    <row r="355" spans="1:23" s="888" customFormat="1" ht="25.5" x14ac:dyDescent="0.2">
      <c r="B355" s="947" t="s">
        <v>1068</v>
      </c>
      <c r="C355" s="925" t="s">
        <v>1072</v>
      </c>
      <c r="D355" s="925" t="s">
        <v>1073</v>
      </c>
      <c r="E355" s="926">
        <v>5000000</v>
      </c>
      <c r="F355" s="927"/>
      <c r="G355" s="927">
        <v>5000000</v>
      </c>
      <c r="H355" s="927"/>
      <c r="I355" s="928"/>
      <c r="J355" s="927"/>
      <c r="K355" s="927">
        <f t="shared" si="39"/>
        <v>5000000</v>
      </c>
      <c r="L355" s="927"/>
      <c r="M355" s="929">
        <f t="shared" si="40"/>
        <v>0</v>
      </c>
      <c r="N355" s="930">
        <f t="shared" si="34"/>
        <v>0</v>
      </c>
      <c r="O355" s="931"/>
      <c r="P355" s="932"/>
      <c r="Q355" s="927"/>
      <c r="R355" s="933"/>
      <c r="T355" s="901" t="s">
        <v>1074</v>
      </c>
      <c r="U355" s="901">
        <v>1620000</v>
      </c>
      <c r="V355" s="901"/>
      <c r="W355" s="901"/>
    </row>
    <row r="356" spans="1:23" s="888" customFormat="1" ht="25.5" x14ac:dyDescent="0.2">
      <c r="B356" s="947" t="s">
        <v>1068</v>
      </c>
      <c r="C356" s="925" t="s">
        <v>175</v>
      </c>
      <c r="D356" s="925" t="s">
        <v>1075</v>
      </c>
      <c r="E356" s="926">
        <v>1100000</v>
      </c>
      <c r="F356" s="927"/>
      <c r="G356" s="926">
        <v>1100000</v>
      </c>
      <c r="H356" s="927"/>
      <c r="I356" s="928"/>
      <c r="J356" s="927"/>
      <c r="K356" s="927">
        <f t="shared" si="39"/>
        <v>1100000</v>
      </c>
      <c r="L356" s="927"/>
      <c r="M356" s="929">
        <f t="shared" si="40"/>
        <v>0</v>
      </c>
      <c r="N356" s="930">
        <f t="shared" si="34"/>
        <v>0</v>
      </c>
      <c r="O356" s="931"/>
      <c r="P356" s="932"/>
      <c r="Q356" s="927"/>
      <c r="R356" s="933"/>
      <c r="T356" s="901" t="s">
        <v>1076</v>
      </c>
      <c r="U356" s="901">
        <v>1870000</v>
      </c>
      <c r="V356" s="901"/>
      <c r="W356" s="901"/>
    </row>
    <row r="357" spans="1:23" s="888" customFormat="1" ht="25.5" x14ac:dyDescent="0.2">
      <c r="B357" s="947" t="s">
        <v>1068</v>
      </c>
      <c r="C357" s="925" t="s">
        <v>823</v>
      </c>
      <c r="D357" s="925" t="s">
        <v>1075</v>
      </c>
      <c r="E357" s="926">
        <v>1584000</v>
      </c>
      <c r="F357" s="927"/>
      <c r="G357" s="926">
        <v>1584000</v>
      </c>
      <c r="H357" s="927"/>
      <c r="I357" s="928"/>
      <c r="J357" s="927"/>
      <c r="K357" s="927">
        <f t="shared" si="39"/>
        <v>1584000</v>
      </c>
      <c r="L357" s="927"/>
      <c r="M357" s="929">
        <f t="shared" si="40"/>
        <v>0</v>
      </c>
      <c r="N357" s="930">
        <f t="shared" si="34"/>
        <v>0</v>
      </c>
      <c r="O357" s="931"/>
      <c r="P357" s="932"/>
      <c r="Q357" s="927"/>
      <c r="R357" s="933"/>
      <c r="T357" s="913" t="s">
        <v>1077</v>
      </c>
      <c r="U357" s="910">
        <v>1860000</v>
      </c>
      <c r="V357" s="901"/>
      <c r="W357" s="901"/>
    </row>
    <row r="358" spans="1:23" s="888" customFormat="1" ht="12.75" x14ac:dyDescent="0.2">
      <c r="B358" s="947" t="s">
        <v>1068</v>
      </c>
      <c r="C358" s="925" t="s">
        <v>1078</v>
      </c>
      <c r="D358" s="925" t="s">
        <v>1079</v>
      </c>
      <c r="E358" s="926">
        <v>230853099</v>
      </c>
      <c r="F358" s="927"/>
      <c r="G358" s="926">
        <v>69255929</v>
      </c>
      <c r="H358" s="927">
        <v>35783000</v>
      </c>
      <c r="I358" s="928"/>
      <c r="J358" s="927"/>
      <c r="K358" s="927">
        <f t="shared" si="39"/>
        <v>105038929</v>
      </c>
      <c r="L358" s="927"/>
      <c r="M358" s="929">
        <f t="shared" si="40"/>
        <v>125814170</v>
      </c>
      <c r="N358" s="930">
        <f t="shared" si="34"/>
        <v>125814170</v>
      </c>
      <c r="O358" s="931"/>
      <c r="P358" s="932"/>
      <c r="Q358" s="927"/>
      <c r="R358" s="933"/>
      <c r="T358" s="901"/>
      <c r="U358" s="901"/>
      <c r="V358" s="901"/>
      <c r="W358" s="901"/>
    </row>
    <row r="359" spans="1:23" s="888" customFormat="1" ht="25.5" x14ac:dyDescent="0.2">
      <c r="B359" s="947" t="s">
        <v>1068</v>
      </c>
      <c r="C359" s="925" t="s">
        <v>1080</v>
      </c>
      <c r="D359" s="925" t="s">
        <v>1081</v>
      </c>
      <c r="E359" s="926">
        <f>3490000+4660000</f>
        <v>8150000</v>
      </c>
      <c r="F359" s="927"/>
      <c r="G359" s="926">
        <v>3490000</v>
      </c>
      <c r="H359" s="927">
        <v>4660000</v>
      </c>
      <c r="I359" s="928"/>
      <c r="J359" s="927"/>
      <c r="K359" s="927">
        <f t="shared" si="39"/>
        <v>8150000</v>
      </c>
      <c r="L359" s="927"/>
      <c r="M359" s="929">
        <f t="shared" si="40"/>
        <v>0</v>
      </c>
      <c r="N359" s="930">
        <f t="shared" si="34"/>
        <v>0</v>
      </c>
      <c r="O359" s="931"/>
      <c r="P359" s="932"/>
      <c r="Q359" s="927"/>
      <c r="R359" s="933"/>
      <c r="T359" s="901"/>
      <c r="U359" s="901"/>
      <c r="V359" s="901"/>
      <c r="W359" s="901"/>
    </row>
    <row r="360" spans="1:23" s="888" customFormat="1" ht="25.5" x14ac:dyDescent="0.2">
      <c r="B360" s="947" t="s">
        <v>1068</v>
      </c>
      <c r="C360" s="925" t="s">
        <v>1082</v>
      </c>
      <c r="D360" s="925" t="s">
        <v>1083</v>
      </c>
      <c r="E360" s="934">
        <v>7200000</v>
      </c>
      <c r="F360" s="927"/>
      <c r="G360" s="926">
        <v>7200000</v>
      </c>
      <c r="H360" s="927"/>
      <c r="I360" s="928"/>
      <c r="J360" s="927"/>
      <c r="K360" s="927">
        <f t="shared" ref="K360:K371" si="41">SUM(G360:J360)</f>
        <v>7200000</v>
      </c>
      <c r="L360" s="927"/>
      <c r="M360" s="929">
        <f t="shared" si="40"/>
        <v>0</v>
      </c>
      <c r="N360" s="930">
        <f t="shared" si="34"/>
        <v>0</v>
      </c>
      <c r="O360" s="931"/>
      <c r="P360" s="932"/>
      <c r="Q360" s="927"/>
      <c r="R360" s="933"/>
      <c r="T360" s="901"/>
      <c r="U360" s="901"/>
      <c r="V360" s="901"/>
      <c r="W360" s="901"/>
    </row>
    <row r="361" spans="1:23" s="888" customFormat="1" ht="12.75" x14ac:dyDescent="0.2">
      <c r="B361" s="947" t="s">
        <v>1068</v>
      </c>
      <c r="C361" s="925" t="s">
        <v>394</v>
      </c>
      <c r="D361" s="925" t="s">
        <v>1084</v>
      </c>
      <c r="E361" s="926">
        <v>102780000</v>
      </c>
      <c r="F361" s="927"/>
      <c r="G361" s="926">
        <v>41112000</v>
      </c>
      <c r="H361" s="927"/>
      <c r="I361" s="928"/>
      <c r="J361" s="927"/>
      <c r="K361" s="927">
        <f t="shared" si="41"/>
        <v>41112000</v>
      </c>
      <c r="L361" s="927"/>
      <c r="M361" s="929">
        <f>IF(F361="",E361-K361-L361,F361-K361-L361)</f>
        <v>61668000</v>
      </c>
      <c r="N361" s="930">
        <f t="shared" si="34"/>
        <v>61668000</v>
      </c>
      <c r="O361" s="931"/>
      <c r="P361" s="932"/>
      <c r="Q361" s="927"/>
      <c r="R361" s="933"/>
      <c r="T361" s="901"/>
      <c r="U361" s="901"/>
      <c r="V361" s="901"/>
      <c r="W361" s="901"/>
    </row>
    <row r="362" spans="1:23" s="888" customFormat="1" ht="25.5" x14ac:dyDescent="0.2">
      <c r="B362" s="947" t="s">
        <v>1068</v>
      </c>
      <c r="C362" s="925" t="s">
        <v>1085</v>
      </c>
      <c r="D362" s="925" t="s">
        <v>887</v>
      </c>
      <c r="E362" s="934">
        <v>20000000</v>
      </c>
      <c r="F362" s="927"/>
      <c r="G362" s="926">
        <v>20000000</v>
      </c>
      <c r="H362" s="927"/>
      <c r="I362" s="928"/>
      <c r="J362" s="927"/>
      <c r="K362" s="927">
        <f t="shared" si="41"/>
        <v>20000000</v>
      </c>
      <c r="L362" s="927"/>
      <c r="M362" s="929">
        <f t="shared" si="40"/>
        <v>0</v>
      </c>
      <c r="N362" s="930">
        <f t="shared" si="34"/>
        <v>0</v>
      </c>
      <c r="O362" s="931"/>
      <c r="P362" s="932"/>
      <c r="Q362" s="927"/>
      <c r="R362" s="933"/>
      <c r="T362" s="901"/>
      <c r="U362" s="901"/>
      <c r="V362" s="901"/>
      <c r="W362" s="901"/>
    </row>
    <row r="363" spans="1:23" s="888" customFormat="1" ht="12.75" x14ac:dyDescent="0.2">
      <c r="B363" s="947" t="s">
        <v>1068</v>
      </c>
      <c r="C363" s="925" t="s">
        <v>1086</v>
      </c>
      <c r="D363" s="948" t="s">
        <v>1060</v>
      </c>
      <c r="E363" s="927">
        <v>20951000</v>
      </c>
      <c r="F363" s="927"/>
      <c r="G363" s="926">
        <v>20951000</v>
      </c>
      <c r="H363" s="927"/>
      <c r="I363" s="928"/>
      <c r="J363" s="927"/>
      <c r="K363" s="927">
        <f t="shared" si="41"/>
        <v>20951000</v>
      </c>
      <c r="L363" s="927"/>
      <c r="M363" s="929">
        <f t="shared" si="40"/>
        <v>0</v>
      </c>
      <c r="N363" s="930">
        <f t="shared" si="34"/>
        <v>0</v>
      </c>
      <c r="O363" s="931"/>
      <c r="P363" s="932"/>
      <c r="Q363" s="927"/>
      <c r="R363" s="933"/>
      <c r="T363" s="901"/>
      <c r="U363" s="901"/>
      <c r="V363" s="901"/>
      <c r="W363" s="901"/>
    </row>
    <row r="364" spans="1:23" s="888" customFormat="1" ht="12.75" x14ac:dyDescent="0.2">
      <c r="B364" s="947" t="s">
        <v>1068</v>
      </c>
      <c r="C364" s="925" t="s">
        <v>1087</v>
      </c>
      <c r="D364" s="925" t="s">
        <v>1088</v>
      </c>
      <c r="E364" s="927">
        <v>15246000</v>
      </c>
      <c r="F364" s="927"/>
      <c r="G364" s="927">
        <v>15246000</v>
      </c>
      <c r="H364" s="927"/>
      <c r="I364" s="928"/>
      <c r="J364" s="927"/>
      <c r="K364" s="927">
        <f t="shared" si="41"/>
        <v>15246000</v>
      </c>
      <c r="L364" s="927"/>
      <c r="M364" s="929">
        <f t="shared" si="40"/>
        <v>0</v>
      </c>
      <c r="N364" s="930">
        <f t="shared" si="34"/>
        <v>0</v>
      </c>
      <c r="O364" s="931"/>
      <c r="P364" s="932"/>
      <c r="Q364" s="927"/>
      <c r="R364" s="933"/>
      <c r="T364" s="901"/>
      <c r="U364" s="901"/>
      <c r="V364" s="901"/>
      <c r="W364" s="901"/>
    </row>
    <row r="365" spans="1:23" s="888" customFormat="1" ht="25.5" x14ac:dyDescent="0.2">
      <c r="B365" s="947" t="s">
        <v>1068</v>
      </c>
      <c r="C365" s="925" t="s">
        <v>1089</v>
      </c>
      <c r="D365" s="925" t="s">
        <v>1090</v>
      </c>
      <c r="E365" s="926">
        <v>3158000</v>
      </c>
      <c r="F365" s="927"/>
      <c r="G365" s="926">
        <v>3158000</v>
      </c>
      <c r="H365" s="927"/>
      <c r="I365" s="928"/>
      <c r="J365" s="927"/>
      <c r="K365" s="927">
        <f t="shared" si="41"/>
        <v>3158000</v>
      </c>
      <c r="L365" s="927"/>
      <c r="M365" s="929">
        <f t="shared" si="40"/>
        <v>0</v>
      </c>
      <c r="N365" s="930">
        <f t="shared" si="34"/>
        <v>0</v>
      </c>
      <c r="O365" s="931"/>
      <c r="P365" s="932"/>
      <c r="Q365" s="927"/>
      <c r="R365" s="933"/>
      <c r="T365" s="901"/>
      <c r="U365" s="901"/>
      <c r="V365" s="901"/>
      <c r="W365" s="901"/>
    </row>
    <row r="366" spans="1:23" s="888" customFormat="1" ht="25.5" x14ac:dyDescent="0.2">
      <c r="B366" s="947" t="s">
        <v>1068</v>
      </c>
      <c r="C366" s="925" t="s">
        <v>1082</v>
      </c>
      <c r="D366" s="925" t="s">
        <v>1083</v>
      </c>
      <c r="E366" s="926">
        <v>8900000</v>
      </c>
      <c r="F366" s="927"/>
      <c r="G366" s="926">
        <v>8900000</v>
      </c>
      <c r="H366" s="927"/>
      <c r="I366" s="928"/>
      <c r="J366" s="927"/>
      <c r="K366" s="927">
        <f t="shared" si="41"/>
        <v>8900000</v>
      </c>
      <c r="L366" s="927"/>
      <c r="M366" s="929">
        <f t="shared" si="40"/>
        <v>0</v>
      </c>
      <c r="N366" s="930">
        <f t="shared" si="34"/>
        <v>0</v>
      </c>
      <c r="O366" s="931"/>
      <c r="P366" s="932"/>
      <c r="Q366" s="927"/>
      <c r="R366" s="933"/>
      <c r="T366" s="901"/>
      <c r="U366" s="901"/>
      <c r="V366" s="901"/>
      <c r="W366" s="901"/>
    </row>
    <row r="367" spans="1:23" s="888" customFormat="1" ht="25.5" x14ac:dyDescent="0.2">
      <c r="B367" s="947" t="s">
        <v>1068</v>
      </c>
      <c r="C367" s="925" t="s">
        <v>1091</v>
      </c>
      <c r="D367" s="925" t="s">
        <v>1090</v>
      </c>
      <c r="E367" s="926">
        <v>8270000</v>
      </c>
      <c r="F367" s="927"/>
      <c r="G367" s="926">
        <v>8270000</v>
      </c>
      <c r="H367" s="927"/>
      <c r="I367" s="928"/>
      <c r="J367" s="927"/>
      <c r="K367" s="927">
        <f t="shared" si="41"/>
        <v>8270000</v>
      </c>
      <c r="L367" s="927"/>
      <c r="M367" s="929">
        <f t="shared" si="40"/>
        <v>0</v>
      </c>
      <c r="N367" s="930">
        <f t="shared" si="34"/>
        <v>0</v>
      </c>
      <c r="O367" s="931"/>
      <c r="P367" s="932"/>
      <c r="Q367" s="927"/>
      <c r="R367" s="933"/>
      <c r="T367" s="901"/>
      <c r="U367" s="901"/>
      <c r="V367" s="901"/>
      <c r="W367" s="901"/>
    </row>
    <row r="368" spans="1:23" s="888" customFormat="1" ht="12.75" x14ac:dyDescent="0.2">
      <c r="B368" s="947" t="s">
        <v>1068</v>
      </c>
      <c r="C368" s="925" t="s">
        <v>1092</v>
      </c>
      <c r="D368" s="925" t="s">
        <v>1093</v>
      </c>
      <c r="E368" s="927">
        <v>17798000</v>
      </c>
      <c r="F368" s="927"/>
      <c r="G368" s="926">
        <v>17798000</v>
      </c>
      <c r="H368" s="927"/>
      <c r="I368" s="928"/>
      <c r="J368" s="927"/>
      <c r="K368" s="927">
        <f t="shared" si="41"/>
        <v>17798000</v>
      </c>
      <c r="L368" s="927"/>
      <c r="M368" s="929">
        <f t="shared" si="40"/>
        <v>0</v>
      </c>
      <c r="N368" s="930">
        <f t="shared" si="34"/>
        <v>0</v>
      </c>
      <c r="O368" s="931"/>
      <c r="P368" s="932"/>
      <c r="Q368" s="927"/>
      <c r="R368" s="933"/>
      <c r="T368" s="901"/>
      <c r="U368" s="901"/>
      <c r="V368" s="901"/>
      <c r="W368" s="901"/>
    </row>
    <row r="369" spans="1:23" s="888" customFormat="1" ht="12.75" x14ac:dyDescent="0.2">
      <c r="B369" s="947" t="s">
        <v>1068</v>
      </c>
      <c r="C369" s="925" t="s">
        <v>1094</v>
      </c>
      <c r="D369" s="925" t="s">
        <v>1095</v>
      </c>
      <c r="E369" s="949">
        <v>665000</v>
      </c>
      <c r="F369" s="927"/>
      <c r="G369" s="949">
        <v>665000</v>
      </c>
      <c r="H369" s="927"/>
      <c r="I369" s="928"/>
      <c r="J369" s="927"/>
      <c r="K369" s="927">
        <f t="shared" si="41"/>
        <v>665000</v>
      </c>
      <c r="L369" s="927"/>
      <c r="M369" s="929"/>
      <c r="N369" s="930">
        <f t="shared" si="34"/>
        <v>0</v>
      </c>
      <c r="O369" s="931"/>
      <c r="P369" s="932"/>
      <c r="Q369" s="927"/>
      <c r="R369" s="933"/>
      <c r="T369" s="901"/>
      <c r="U369" s="901"/>
      <c r="V369" s="901"/>
      <c r="W369" s="901"/>
    </row>
    <row r="370" spans="1:23" s="888" customFormat="1" ht="25.5" x14ac:dyDescent="0.2">
      <c r="B370" s="947" t="s">
        <v>1068</v>
      </c>
      <c r="C370" s="925" t="s">
        <v>1078</v>
      </c>
      <c r="D370" s="925" t="s">
        <v>229</v>
      </c>
      <c r="E370" s="949">
        <v>169097171</v>
      </c>
      <c r="F370" s="927"/>
      <c r="G370" s="949">
        <v>169097171</v>
      </c>
      <c r="H370" s="927"/>
      <c r="I370" s="928"/>
      <c r="J370" s="927"/>
      <c r="K370" s="927">
        <f t="shared" si="41"/>
        <v>169097171</v>
      </c>
      <c r="L370" s="927"/>
      <c r="M370" s="929"/>
      <c r="N370" s="930">
        <f t="shared" si="34"/>
        <v>0</v>
      </c>
      <c r="O370" s="931"/>
      <c r="P370" s="932"/>
      <c r="Q370" s="927"/>
      <c r="R370" s="933"/>
      <c r="T370" s="901"/>
      <c r="U370" s="901"/>
      <c r="V370" s="901"/>
      <c r="W370" s="901"/>
    </row>
    <row r="371" spans="1:23" s="888" customFormat="1" ht="12.75" x14ac:dyDescent="0.2">
      <c r="B371" s="947" t="s">
        <v>1068</v>
      </c>
      <c r="C371" s="925" t="s">
        <v>947</v>
      </c>
      <c r="D371" s="925"/>
      <c r="E371" s="926"/>
      <c r="F371" s="927"/>
      <c r="G371" s="926">
        <f>U371</f>
        <v>6150000</v>
      </c>
      <c r="H371" s="927"/>
      <c r="I371" s="928"/>
      <c r="J371" s="927"/>
      <c r="K371" s="927">
        <f t="shared" si="41"/>
        <v>6150000</v>
      </c>
      <c r="L371" s="927"/>
      <c r="M371" s="929">
        <f>IF(F371="",E371-K371-L371,F371-K371-L371)</f>
        <v>-6150000</v>
      </c>
      <c r="N371" s="930">
        <f t="shared" si="34"/>
        <v>-6150000</v>
      </c>
      <c r="O371" s="931"/>
      <c r="P371" s="932"/>
      <c r="Q371" s="927"/>
      <c r="R371" s="933"/>
      <c r="T371" s="901" t="s">
        <v>948</v>
      </c>
      <c r="U371" s="901">
        <f>SUM(U354:U357)</f>
        <v>6150000</v>
      </c>
      <c r="V371" s="901"/>
      <c r="W371" s="901"/>
    </row>
    <row r="372" spans="1:23" s="906" customFormat="1" ht="12.75" x14ac:dyDescent="0.2">
      <c r="B372" s="935" t="s">
        <v>997</v>
      </c>
      <c r="C372" s="936" t="s">
        <v>1068</v>
      </c>
      <c r="D372" s="937"/>
      <c r="E372" s="938"/>
      <c r="F372" s="939"/>
      <c r="G372" s="939"/>
      <c r="H372" s="939"/>
      <c r="I372" s="940"/>
      <c r="J372" s="939"/>
      <c r="K372" s="950">
        <f>SUM(K354:K371)</f>
        <v>441420100</v>
      </c>
      <c r="L372" s="950">
        <f>SUM(L354:L371)</f>
        <v>0</v>
      </c>
      <c r="M372" s="950">
        <f>SUM(M354:M371)</f>
        <v>181332170</v>
      </c>
      <c r="N372" s="942">
        <f>SUM(N354:N371)</f>
        <v>181332170</v>
      </c>
      <c r="O372" s="943"/>
      <c r="P372" s="944"/>
      <c r="Q372" s="939"/>
      <c r="R372" s="945"/>
      <c r="S372" s="907"/>
      <c r="T372" s="909"/>
      <c r="U372" s="909"/>
      <c r="V372" s="909"/>
      <c r="W372" s="909"/>
    </row>
    <row r="373" spans="1:23" s="888" customFormat="1" ht="38.25" x14ac:dyDescent="0.2">
      <c r="A373" s="888">
        <v>19</v>
      </c>
      <c r="B373" s="947" t="s">
        <v>1096</v>
      </c>
      <c r="C373" s="925" t="s">
        <v>1097</v>
      </c>
      <c r="D373" s="948" t="s">
        <v>1098</v>
      </c>
      <c r="E373" s="926">
        <v>30000000</v>
      </c>
      <c r="F373" s="927"/>
      <c r="G373" s="927">
        <v>30000000</v>
      </c>
      <c r="H373" s="927"/>
      <c r="I373" s="928"/>
      <c r="J373" s="927"/>
      <c r="K373" s="927">
        <f t="shared" ref="K373:K395" si="42">SUM(G373:J373)</f>
        <v>30000000</v>
      </c>
      <c r="L373" s="927"/>
      <c r="M373" s="929">
        <f t="shared" ref="M373:M381" si="43">IF(F373="",E373-K373-L373,F373-K373-L373)</f>
        <v>0</v>
      </c>
      <c r="N373" s="930">
        <f t="shared" si="34"/>
        <v>0</v>
      </c>
      <c r="O373" s="931"/>
      <c r="P373" s="932"/>
      <c r="Q373" s="927"/>
      <c r="R373" s="933"/>
      <c r="T373" s="901" t="s">
        <v>1074</v>
      </c>
      <c r="U373" s="901">
        <v>840000</v>
      </c>
      <c r="V373" s="901"/>
      <c r="W373" s="901"/>
    </row>
    <row r="374" spans="1:23" s="888" customFormat="1" ht="12.75" x14ac:dyDescent="0.2">
      <c r="B374" s="947" t="s">
        <v>1096</v>
      </c>
      <c r="C374" s="925" t="s">
        <v>1099</v>
      </c>
      <c r="D374" s="948" t="s">
        <v>736</v>
      </c>
      <c r="E374" s="926">
        <v>11260004.285714287</v>
      </c>
      <c r="F374" s="927"/>
      <c r="G374" s="927">
        <v>7882003.0000000009</v>
      </c>
      <c r="H374" s="927">
        <v>3378000</v>
      </c>
      <c r="I374" s="928"/>
      <c r="J374" s="927"/>
      <c r="K374" s="927">
        <f t="shared" si="42"/>
        <v>11260003</v>
      </c>
      <c r="L374" s="927"/>
      <c r="M374" s="929">
        <f t="shared" si="43"/>
        <v>1.2857142873108387</v>
      </c>
      <c r="N374" s="930">
        <f t="shared" si="34"/>
        <v>1.2857142873108387</v>
      </c>
      <c r="O374" s="931"/>
      <c r="P374" s="932"/>
      <c r="Q374" s="927"/>
      <c r="R374" s="933"/>
      <c r="T374" s="901" t="s">
        <v>1076</v>
      </c>
      <c r="U374" s="901">
        <v>1960000</v>
      </c>
      <c r="V374" s="901"/>
      <c r="W374" s="901"/>
    </row>
    <row r="375" spans="1:23" s="888" customFormat="1" ht="12.75" x14ac:dyDescent="0.2">
      <c r="B375" s="947" t="s">
        <v>1096</v>
      </c>
      <c r="C375" s="925" t="s">
        <v>1100</v>
      </c>
      <c r="D375" s="925" t="s">
        <v>1101</v>
      </c>
      <c r="E375" s="934">
        <v>5000000</v>
      </c>
      <c r="F375" s="927"/>
      <c r="G375" s="927">
        <v>5000000</v>
      </c>
      <c r="H375" s="927"/>
      <c r="I375" s="928"/>
      <c r="J375" s="927"/>
      <c r="K375" s="927">
        <f t="shared" si="42"/>
        <v>5000000</v>
      </c>
      <c r="L375" s="927"/>
      <c r="M375" s="929">
        <f t="shared" si="43"/>
        <v>0</v>
      </c>
      <c r="N375" s="930">
        <f t="shared" si="34"/>
        <v>0</v>
      </c>
      <c r="O375" s="931"/>
      <c r="P375" s="932"/>
      <c r="Q375" s="927"/>
      <c r="R375" s="933"/>
      <c r="T375" s="913" t="s">
        <v>1077</v>
      </c>
      <c r="U375" s="910">
        <v>1680000</v>
      </c>
      <c r="V375" s="901"/>
      <c r="W375" s="901"/>
    </row>
    <row r="376" spans="1:23" s="888" customFormat="1" ht="12.75" x14ac:dyDescent="0.2">
      <c r="B376" s="947" t="s">
        <v>1096</v>
      </c>
      <c r="C376" s="925" t="s">
        <v>1102</v>
      </c>
      <c r="D376" s="948" t="s">
        <v>1060</v>
      </c>
      <c r="E376" s="926">
        <v>1900000</v>
      </c>
      <c r="F376" s="927"/>
      <c r="G376" s="926">
        <v>1900000</v>
      </c>
      <c r="H376" s="927"/>
      <c r="I376" s="928"/>
      <c r="J376" s="927"/>
      <c r="K376" s="927">
        <f t="shared" si="42"/>
        <v>1900000</v>
      </c>
      <c r="L376" s="927"/>
      <c r="M376" s="929">
        <f t="shared" si="43"/>
        <v>0</v>
      </c>
      <c r="N376" s="930">
        <f t="shared" si="34"/>
        <v>0</v>
      </c>
      <c r="O376" s="931"/>
      <c r="P376" s="932"/>
      <c r="Q376" s="927"/>
      <c r="R376" s="933"/>
      <c r="T376" s="901"/>
      <c r="U376" s="901"/>
      <c r="V376" s="901"/>
      <c r="W376" s="901"/>
    </row>
    <row r="377" spans="1:23" s="888" customFormat="1" ht="12.75" x14ac:dyDescent="0.2">
      <c r="B377" s="947" t="s">
        <v>1096</v>
      </c>
      <c r="C377" s="925" t="s">
        <v>1103</v>
      </c>
      <c r="D377" s="948" t="s">
        <v>1060</v>
      </c>
      <c r="E377" s="926">
        <v>2282000</v>
      </c>
      <c r="F377" s="927"/>
      <c r="G377" s="926">
        <v>2282000</v>
      </c>
      <c r="H377" s="927"/>
      <c r="I377" s="928"/>
      <c r="J377" s="927"/>
      <c r="K377" s="927">
        <f t="shared" si="42"/>
        <v>2282000</v>
      </c>
      <c r="L377" s="927"/>
      <c r="M377" s="929">
        <f t="shared" si="43"/>
        <v>0</v>
      </c>
      <c r="N377" s="930">
        <f t="shared" si="34"/>
        <v>0</v>
      </c>
      <c r="O377" s="931"/>
      <c r="P377" s="932"/>
      <c r="Q377" s="927"/>
      <c r="R377" s="933"/>
      <c r="T377" s="901"/>
      <c r="U377" s="901"/>
      <c r="V377" s="901"/>
      <c r="W377" s="901"/>
    </row>
    <row r="378" spans="1:23" s="888" customFormat="1" ht="12.75" x14ac:dyDescent="0.2">
      <c r="B378" s="947" t="s">
        <v>1096</v>
      </c>
      <c r="C378" s="925" t="s">
        <v>1104</v>
      </c>
      <c r="D378" s="959">
        <v>126</v>
      </c>
      <c r="E378" s="926">
        <v>200000000</v>
      </c>
      <c r="F378" s="927"/>
      <c r="G378" s="926">
        <v>200000000</v>
      </c>
      <c r="H378" s="927"/>
      <c r="I378" s="928"/>
      <c r="J378" s="927"/>
      <c r="K378" s="927">
        <f t="shared" si="42"/>
        <v>200000000</v>
      </c>
      <c r="L378" s="927"/>
      <c r="M378" s="929">
        <f t="shared" si="43"/>
        <v>0</v>
      </c>
      <c r="N378" s="930">
        <f t="shared" si="34"/>
        <v>0</v>
      </c>
      <c r="O378" s="931"/>
      <c r="P378" s="932"/>
      <c r="Q378" s="927"/>
      <c r="R378" s="933"/>
      <c r="T378" s="901"/>
      <c r="U378" s="901"/>
      <c r="V378" s="901"/>
      <c r="W378" s="901"/>
    </row>
    <row r="379" spans="1:23" s="888" customFormat="1" ht="12.75" x14ac:dyDescent="0.2">
      <c r="B379" s="947" t="s">
        <v>1096</v>
      </c>
      <c r="C379" s="925" t="s">
        <v>1105</v>
      </c>
      <c r="D379" s="925" t="s">
        <v>815</v>
      </c>
      <c r="E379" s="927">
        <v>16108313</v>
      </c>
      <c r="F379" s="927"/>
      <c r="G379" s="926">
        <f>E379</f>
        <v>16108313</v>
      </c>
      <c r="H379" s="927"/>
      <c r="I379" s="928"/>
      <c r="J379" s="927"/>
      <c r="K379" s="927">
        <f t="shared" si="42"/>
        <v>16108313</v>
      </c>
      <c r="L379" s="927"/>
      <c r="M379" s="929">
        <f t="shared" si="43"/>
        <v>0</v>
      </c>
      <c r="N379" s="930">
        <f t="shared" si="34"/>
        <v>0</v>
      </c>
      <c r="O379" s="931"/>
      <c r="P379" s="932"/>
      <c r="Q379" s="927"/>
      <c r="R379" s="933"/>
      <c r="T379" s="901"/>
      <c r="U379" s="901"/>
      <c r="V379" s="901"/>
      <c r="W379" s="901"/>
    </row>
    <row r="380" spans="1:23" s="888" customFormat="1" ht="12.75" x14ac:dyDescent="0.2">
      <c r="B380" s="947" t="s">
        <v>1096</v>
      </c>
      <c r="C380" s="925" t="s">
        <v>1106</v>
      </c>
      <c r="D380" s="925" t="s">
        <v>815</v>
      </c>
      <c r="E380" s="927">
        <f>645000</f>
        <v>645000</v>
      </c>
      <c r="F380" s="927"/>
      <c r="G380" s="926">
        <f>E380</f>
        <v>645000</v>
      </c>
      <c r="H380" s="927"/>
      <c r="I380" s="928"/>
      <c r="J380" s="927"/>
      <c r="K380" s="927">
        <f t="shared" si="42"/>
        <v>645000</v>
      </c>
      <c r="L380" s="927"/>
      <c r="M380" s="929">
        <f t="shared" si="43"/>
        <v>0</v>
      </c>
      <c r="N380" s="930">
        <f t="shared" si="34"/>
        <v>0</v>
      </c>
      <c r="O380" s="931"/>
      <c r="P380" s="932"/>
      <c r="Q380" s="927"/>
      <c r="R380" s="933"/>
      <c r="T380" s="901"/>
      <c r="U380" s="901"/>
      <c r="V380" s="901"/>
      <c r="W380" s="901"/>
    </row>
    <row r="381" spans="1:23" s="888" customFormat="1" ht="12.75" x14ac:dyDescent="0.2">
      <c r="B381" s="947" t="s">
        <v>1096</v>
      </c>
      <c r="C381" s="925" t="s">
        <v>1107</v>
      </c>
      <c r="D381" s="925" t="s">
        <v>1108</v>
      </c>
      <c r="E381" s="927">
        <v>7488000</v>
      </c>
      <c r="F381" s="927"/>
      <c r="G381" s="927">
        <v>7488000</v>
      </c>
      <c r="H381" s="927"/>
      <c r="I381" s="928"/>
      <c r="J381" s="927"/>
      <c r="K381" s="927">
        <f t="shared" si="42"/>
        <v>7488000</v>
      </c>
      <c r="L381" s="927"/>
      <c r="M381" s="929">
        <f t="shared" si="43"/>
        <v>0</v>
      </c>
      <c r="N381" s="930">
        <f t="shared" si="34"/>
        <v>0</v>
      </c>
      <c r="O381" s="931"/>
      <c r="P381" s="932"/>
      <c r="Q381" s="927"/>
      <c r="R381" s="933"/>
      <c r="T381" s="901"/>
      <c r="U381" s="901"/>
      <c r="V381" s="901"/>
      <c r="W381" s="901"/>
    </row>
    <row r="382" spans="1:23" s="888" customFormat="1" ht="12.75" x14ac:dyDescent="0.2">
      <c r="B382" s="947" t="s">
        <v>1096</v>
      </c>
      <c r="C382" s="925" t="s">
        <v>1109</v>
      </c>
      <c r="D382" s="925" t="s">
        <v>1110</v>
      </c>
      <c r="E382" s="927">
        <v>110413116</v>
      </c>
      <c r="F382" s="927"/>
      <c r="G382" s="926">
        <v>110413116</v>
      </c>
      <c r="H382" s="927"/>
      <c r="I382" s="928"/>
      <c r="J382" s="927"/>
      <c r="K382" s="927">
        <f t="shared" si="42"/>
        <v>110413116</v>
      </c>
      <c r="L382" s="927"/>
      <c r="M382" s="929"/>
      <c r="N382" s="930">
        <f t="shared" si="34"/>
        <v>0</v>
      </c>
      <c r="O382" s="931"/>
      <c r="P382" s="932"/>
      <c r="Q382" s="927"/>
      <c r="R382" s="933"/>
      <c r="T382" s="901"/>
      <c r="U382" s="901"/>
      <c r="V382" s="901"/>
      <c r="W382" s="901"/>
    </row>
    <row r="383" spans="1:23" s="888" customFormat="1" ht="12.75" x14ac:dyDescent="0.2">
      <c r="B383" s="947" t="s">
        <v>1096</v>
      </c>
      <c r="C383" s="925" t="s">
        <v>1111</v>
      </c>
      <c r="D383" s="925" t="s">
        <v>1112</v>
      </c>
      <c r="E383" s="927">
        <v>11064000</v>
      </c>
      <c r="F383" s="927"/>
      <c r="G383" s="926">
        <v>11064000</v>
      </c>
      <c r="H383" s="927"/>
      <c r="I383" s="928"/>
      <c r="J383" s="927"/>
      <c r="K383" s="927">
        <f t="shared" si="42"/>
        <v>11064000</v>
      </c>
      <c r="L383" s="927"/>
      <c r="M383" s="929"/>
      <c r="N383" s="930">
        <f t="shared" si="34"/>
        <v>0</v>
      </c>
      <c r="O383" s="931"/>
      <c r="P383" s="932"/>
      <c r="Q383" s="927"/>
      <c r="R383" s="933"/>
      <c r="T383" s="901"/>
      <c r="U383" s="901"/>
      <c r="V383" s="901"/>
      <c r="W383" s="901"/>
    </row>
    <row r="384" spans="1:23" s="888" customFormat="1" ht="25.5" x14ac:dyDescent="0.2">
      <c r="B384" s="947" t="s">
        <v>1096</v>
      </c>
      <c r="C384" s="925" t="s">
        <v>1109</v>
      </c>
      <c r="D384" s="925" t="s">
        <v>1113</v>
      </c>
      <c r="E384" s="927">
        <v>26260465</v>
      </c>
      <c r="F384" s="927"/>
      <c r="G384" s="927">
        <v>26260465</v>
      </c>
      <c r="H384" s="927"/>
      <c r="I384" s="928"/>
      <c r="J384" s="927"/>
      <c r="K384" s="927">
        <f t="shared" si="42"/>
        <v>26260465</v>
      </c>
      <c r="L384" s="927"/>
      <c r="M384" s="929"/>
      <c r="N384" s="930">
        <f t="shared" si="34"/>
        <v>0</v>
      </c>
      <c r="O384" s="931"/>
      <c r="P384" s="932"/>
      <c r="Q384" s="927"/>
      <c r="R384" s="933"/>
      <c r="T384" s="901"/>
      <c r="U384" s="901"/>
      <c r="V384" s="901"/>
      <c r="W384" s="901"/>
    </row>
    <row r="385" spans="1:21" s="901" customFormat="1" ht="25.5" x14ac:dyDescent="0.2">
      <c r="A385" s="888"/>
      <c r="B385" s="947" t="s">
        <v>1096</v>
      </c>
      <c r="C385" s="925" t="s">
        <v>1114</v>
      </c>
      <c r="D385" s="925" t="s">
        <v>1079</v>
      </c>
      <c r="E385" s="927">
        <v>60434000</v>
      </c>
      <c r="F385" s="927"/>
      <c r="G385" s="926">
        <v>60434000</v>
      </c>
      <c r="H385" s="927"/>
      <c r="I385" s="928"/>
      <c r="J385" s="927"/>
      <c r="K385" s="927">
        <f t="shared" si="42"/>
        <v>60434000</v>
      </c>
      <c r="L385" s="927"/>
      <c r="M385" s="929"/>
      <c r="N385" s="930">
        <f t="shared" si="34"/>
        <v>0</v>
      </c>
      <c r="O385" s="931"/>
      <c r="P385" s="932"/>
      <c r="Q385" s="927"/>
      <c r="R385" s="933"/>
      <c r="S385" s="888"/>
    </row>
    <row r="386" spans="1:21" s="901" customFormat="1" ht="12.75" x14ac:dyDescent="0.2">
      <c r="A386" s="888"/>
      <c r="B386" s="947" t="s">
        <v>1096</v>
      </c>
      <c r="C386" s="925" t="s">
        <v>1115</v>
      </c>
      <c r="D386" s="925" t="s">
        <v>700</v>
      </c>
      <c r="E386" s="927">
        <v>74590000</v>
      </c>
      <c r="F386" s="927"/>
      <c r="G386" s="926">
        <v>74590000</v>
      </c>
      <c r="H386" s="927"/>
      <c r="I386" s="928"/>
      <c r="J386" s="927"/>
      <c r="K386" s="927">
        <f t="shared" si="42"/>
        <v>74590000</v>
      </c>
      <c r="L386" s="927"/>
      <c r="M386" s="929"/>
      <c r="N386" s="930">
        <f t="shared" si="34"/>
        <v>0</v>
      </c>
      <c r="O386" s="931"/>
      <c r="P386" s="932"/>
      <c r="Q386" s="927"/>
      <c r="R386" s="933"/>
      <c r="S386" s="888"/>
    </row>
    <row r="387" spans="1:21" s="901" customFormat="1" ht="12.75" x14ac:dyDescent="0.2">
      <c r="A387" s="888"/>
      <c r="B387" s="947" t="s">
        <v>1096</v>
      </c>
      <c r="C387" s="925" t="s">
        <v>1116</v>
      </c>
      <c r="D387" s="925" t="s">
        <v>1084</v>
      </c>
      <c r="E387" s="927">
        <v>8769390</v>
      </c>
      <c r="F387" s="927"/>
      <c r="G387" s="926">
        <v>8769390</v>
      </c>
      <c r="H387" s="927"/>
      <c r="I387" s="928"/>
      <c r="J387" s="927"/>
      <c r="K387" s="927">
        <f t="shared" si="42"/>
        <v>8769390</v>
      </c>
      <c r="L387" s="927"/>
      <c r="M387" s="929"/>
      <c r="N387" s="930">
        <f t="shared" si="34"/>
        <v>0</v>
      </c>
      <c r="O387" s="931"/>
      <c r="P387" s="932"/>
      <c r="Q387" s="927"/>
      <c r="R387" s="933"/>
      <c r="S387" s="888"/>
    </row>
    <row r="388" spans="1:21" s="901" customFormat="1" ht="12.75" x14ac:dyDescent="0.2">
      <c r="A388" s="888"/>
      <c r="B388" s="947" t="s">
        <v>1096</v>
      </c>
      <c r="C388" s="925" t="s">
        <v>1117</v>
      </c>
      <c r="D388" s="925" t="s">
        <v>1118</v>
      </c>
      <c r="E388" s="927">
        <v>136272582</v>
      </c>
      <c r="F388" s="927"/>
      <c r="G388" s="926">
        <v>136272582</v>
      </c>
      <c r="H388" s="927"/>
      <c r="I388" s="928"/>
      <c r="J388" s="927"/>
      <c r="K388" s="927">
        <f t="shared" si="42"/>
        <v>136272582</v>
      </c>
      <c r="L388" s="927"/>
      <c r="M388" s="929"/>
      <c r="N388" s="930">
        <f t="shared" si="34"/>
        <v>0</v>
      </c>
      <c r="O388" s="931"/>
      <c r="P388" s="932"/>
      <c r="Q388" s="927"/>
      <c r="R388" s="933"/>
      <c r="S388" s="888"/>
    </row>
    <row r="389" spans="1:21" s="901" customFormat="1" ht="12.75" x14ac:dyDescent="0.2">
      <c r="A389" s="888"/>
      <c r="B389" s="947" t="s">
        <v>1096</v>
      </c>
      <c r="C389" s="925" t="s">
        <v>1099</v>
      </c>
      <c r="D389" s="925" t="s">
        <v>1119</v>
      </c>
      <c r="E389" s="949">
        <v>1340900</v>
      </c>
      <c r="F389" s="927"/>
      <c r="G389" s="949">
        <v>1340900</v>
      </c>
      <c r="H389" s="927"/>
      <c r="I389" s="928"/>
      <c r="J389" s="927"/>
      <c r="K389" s="927">
        <f t="shared" si="42"/>
        <v>1340900</v>
      </c>
      <c r="L389" s="927"/>
      <c r="M389" s="929"/>
      <c r="N389" s="930">
        <f t="shared" si="34"/>
        <v>0</v>
      </c>
      <c r="O389" s="931"/>
      <c r="P389" s="932"/>
      <c r="Q389" s="927"/>
      <c r="R389" s="933"/>
      <c r="S389" s="888"/>
    </row>
    <row r="390" spans="1:21" s="901" customFormat="1" ht="12.75" x14ac:dyDescent="0.2">
      <c r="A390" s="888"/>
      <c r="B390" s="947" t="s">
        <v>1096</v>
      </c>
      <c r="C390" s="925" t="s">
        <v>394</v>
      </c>
      <c r="D390" s="925" t="s">
        <v>1120</v>
      </c>
      <c r="E390" s="949">
        <v>78000000</v>
      </c>
      <c r="F390" s="927"/>
      <c r="G390" s="949">
        <v>78000000</v>
      </c>
      <c r="H390" s="927"/>
      <c r="I390" s="928"/>
      <c r="J390" s="927"/>
      <c r="K390" s="927">
        <f t="shared" si="42"/>
        <v>78000000</v>
      </c>
      <c r="L390" s="927"/>
      <c r="M390" s="929"/>
      <c r="N390" s="930">
        <f t="shared" si="34"/>
        <v>0</v>
      </c>
      <c r="O390" s="931"/>
      <c r="P390" s="932"/>
      <c r="Q390" s="927"/>
      <c r="R390" s="933"/>
      <c r="S390" s="888"/>
    </row>
    <row r="391" spans="1:21" s="901" customFormat="1" ht="25.5" x14ac:dyDescent="0.2">
      <c r="A391" s="888"/>
      <c r="B391" s="947" t="s">
        <v>1096</v>
      </c>
      <c r="C391" s="925" t="s">
        <v>1121</v>
      </c>
      <c r="D391" s="925" t="s">
        <v>1122</v>
      </c>
      <c r="E391" s="949">
        <v>54000000</v>
      </c>
      <c r="F391" s="927"/>
      <c r="G391" s="949">
        <v>54000000</v>
      </c>
      <c r="H391" s="927"/>
      <c r="I391" s="928"/>
      <c r="J391" s="927"/>
      <c r="K391" s="927">
        <f t="shared" si="42"/>
        <v>54000000</v>
      </c>
      <c r="L391" s="927"/>
      <c r="M391" s="929"/>
      <c r="N391" s="930">
        <f t="shared" si="34"/>
        <v>0</v>
      </c>
      <c r="O391" s="931"/>
      <c r="P391" s="932"/>
      <c r="Q391" s="927"/>
      <c r="R391" s="933"/>
      <c r="S391" s="888"/>
    </row>
    <row r="392" spans="1:21" s="901" customFormat="1" ht="12.75" x14ac:dyDescent="0.2">
      <c r="A392" s="888"/>
      <c r="B392" s="947" t="s">
        <v>1096</v>
      </c>
      <c r="C392" s="925" t="s">
        <v>1123</v>
      </c>
      <c r="D392" s="925" t="s">
        <v>1124</v>
      </c>
      <c r="E392" s="949">
        <v>30000000</v>
      </c>
      <c r="F392" s="927"/>
      <c r="G392" s="949">
        <v>30000000</v>
      </c>
      <c r="H392" s="927"/>
      <c r="I392" s="928"/>
      <c r="J392" s="927"/>
      <c r="K392" s="927">
        <f t="shared" si="42"/>
        <v>30000000</v>
      </c>
      <c r="L392" s="927"/>
      <c r="M392" s="929"/>
      <c r="N392" s="930">
        <f t="shared" si="34"/>
        <v>0</v>
      </c>
      <c r="O392" s="931"/>
      <c r="P392" s="932"/>
      <c r="Q392" s="927"/>
      <c r="R392" s="933"/>
      <c r="S392" s="888"/>
    </row>
    <row r="393" spans="1:21" s="901" customFormat="1" ht="12.75" x14ac:dyDescent="0.2">
      <c r="A393" s="888"/>
      <c r="B393" s="947" t="s">
        <v>1096</v>
      </c>
      <c r="C393" s="925" t="s">
        <v>1099</v>
      </c>
      <c r="D393" s="925" t="s">
        <v>736</v>
      </c>
      <c r="E393" s="949">
        <v>62106000</v>
      </c>
      <c r="F393" s="927"/>
      <c r="G393" s="949">
        <v>62106000</v>
      </c>
      <c r="H393" s="927"/>
      <c r="I393" s="928"/>
      <c r="J393" s="927"/>
      <c r="K393" s="927">
        <f t="shared" si="42"/>
        <v>62106000</v>
      </c>
      <c r="L393" s="927"/>
      <c r="M393" s="929"/>
      <c r="N393" s="930">
        <f t="shared" si="34"/>
        <v>0</v>
      </c>
      <c r="O393" s="931"/>
      <c r="P393" s="932"/>
      <c r="Q393" s="927"/>
      <c r="R393" s="933"/>
      <c r="S393" s="888"/>
    </row>
    <row r="394" spans="1:21" s="901" customFormat="1" ht="12.75" x14ac:dyDescent="0.2">
      <c r="A394" s="888"/>
      <c r="B394" s="947" t="s">
        <v>1096</v>
      </c>
      <c r="C394" s="925" t="s">
        <v>1099</v>
      </c>
      <c r="D394" s="925" t="s">
        <v>1125</v>
      </c>
      <c r="E394" s="949">
        <v>4290000</v>
      </c>
      <c r="F394" s="927"/>
      <c r="G394" s="949">
        <v>4290000</v>
      </c>
      <c r="H394" s="927"/>
      <c r="I394" s="928"/>
      <c r="J394" s="927"/>
      <c r="K394" s="927">
        <f t="shared" si="42"/>
        <v>4290000</v>
      </c>
      <c r="L394" s="927"/>
      <c r="M394" s="929"/>
      <c r="N394" s="930">
        <f t="shared" si="34"/>
        <v>0</v>
      </c>
      <c r="O394" s="931"/>
      <c r="P394" s="932"/>
      <c r="Q394" s="927"/>
      <c r="R394" s="933"/>
      <c r="S394" s="888"/>
    </row>
    <row r="395" spans="1:21" s="901" customFormat="1" ht="12.75" x14ac:dyDescent="0.2">
      <c r="A395" s="888"/>
      <c r="B395" s="947" t="s">
        <v>1096</v>
      </c>
      <c r="C395" s="925" t="s">
        <v>947</v>
      </c>
      <c r="D395" s="925"/>
      <c r="E395" s="926"/>
      <c r="F395" s="927"/>
      <c r="G395" s="927">
        <f>U395</f>
        <v>4480000</v>
      </c>
      <c r="H395" s="927"/>
      <c r="I395" s="928"/>
      <c r="J395" s="927"/>
      <c r="K395" s="927">
        <f t="shared" si="42"/>
        <v>4480000</v>
      </c>
      <c r="L395" s="927"/>
      <c r="M395" s="929">
        <f>IF(F395="",E395-K395-L395,F395-K395-L395)</f>
        <v>-4480000</v>
      </c>
      <c r="N395" s="930">
        <f t="shared" si="34"/>
        <v>-4480000</v>
      </c>
      <c r="O395" s="931"/>
      <c r="P395" s="932"/>
      <c r="Q395" s="927"/>
      <c r="R395" s="933"/>
      <c r="S395" s="888"/>
      <c r="T395" s="901" t="s">
        <v>948</v>
      </c>
      <c r="U395" s="901">
        <f>SUM(U373:U375)</f>
        <v>4480000</v>
      </c>
    </row>
    <row r="396" spans="1:21" s="901" customFormat="1" ht="12.75" x14ac:dyDescent="0.2">
      <c r="A396" s="888"/>
      <c r="B396" s="935" t="s">
        <v>997</v>
      </c>
      <c r="C396" s="936" t="s">
        <v>1096</v>
      </c>
      <c r="D396" s="937"/>
      <c r="E396" s="938"/>
      <c r="F396" s="939"/>
      <c r="G396" s="939"/>
      <c r="H396" s="939"/>
      <c r="I396" s="940"/>
      <c r="J396" s="939"/>
      <c r="K396" s="950">
        <f>SUM(K373:K395)</f>
        <v>936703769</v>
      </c>
      <c r="L396" s="950">
        <f>SUM(L373:L395)</f>
        <v>0</v>
      </c>
      <c r="M396" s="950">
        <f>SUM(M373:M395)</f>
        <v>-4479998.7142857127</v>
      </c>
      <c r="N396" s="942">
        <f>SUM(N373:N395)</f>
        <v>-4479998.7142857127</v>
      </c>
      <c r="O396" s="943"/>
      <c r="P396" s="944"/>
      <c r="Q396" s="939"/>
      <c r="R396" s="945"/>
      <c r="S396" s="888"/>
    </row>
    <row r="397" spans="1:21" s="901" customFormat="1" ht="38.25" x14ac:dyDescent="0.2">
      <c r="A397" s="888">
        <v>20</v>
      </c>
      <c r="B397" s="947" t="s">
        <v>1126</v>
      </c>
      <c r="C397" s="925" t="s">
        <v>1127</v>
      </c>
      <c r="D397" s="925" t="s">
        <v>1108</v>
      </c>
      <c r="E397" s="927">
        <v>5883000</v>
      </c>
      <c r="F397" s="927"/>
      <c r="G397" s="927">
        <v>5883000</v>
      </c>
      <c r="H397" s="927"/>
      <c r="I397" s="928"/>
      <c r="J397" s="927"/>
      <c r="K397" s="927">
        <f>SUM(G397:J397)</f>
        <v>5883000</v>
      </c>
      <c r="L397" s="927"/>
      <c r="M397" s="929">
        <f>IF(F397="",E397-K397-L397,F397-K397-L397)</f>
        <v>0</v>
      </c>
      <c r="N397" s="930">
        <f t="shared" si="34"/>
        <v>0</v>
      </c>
      <c r="O397" s="931"/>
      <c r="P397" s="932"/>
      <c r="Q397" s="927"/>
      <c r="R397" s="933"/>
      <c r="S397" s="888"/>
    </row>
    <row r="398" spans="1:21" s="901" customFormat="1" ht="25.5" x14ac:dyDescent="0.2">
      <c r="A398" s="888"/>
      <c r="B398" s="947" t="s">
        <v>1126</v>
      </c>
      <c r="C398" s="925" t="s">
        <v>1117</v>
      </c>
      <c r="D398" s="948" t="s">
        <v>1118</v>
      </c>
      <c r="E398" s="926">
        <v>47070000</v>
      </c>
      <c r="F398" s="927"/>
      <c r="G398" s="926">
        <v>47070000</v>
      </c>
      <c r="H398" s="927"/>
      <c r="I398" s="928"/>
      <c r="J398" s="927"/>
      <c r="K398" s="927">
        <f>SUM(G398:J398)</f>
        <v>47070000</v>
      </c>
      <c r="L398" s="927"/>
      <c r="M398" s="929">
        <f>IF(F398="",E398-K398-L398,F398-K398-L398)</f>
        <v>0</v>
      </c>
      <c r="N398" s="930">
        <f t="shared" si="34"/>
        <v>0</v>
      </c>
      <c r="O398" s="931"/>
      <c r="P398" s="932"/>
      <c r="Q398" s="927"/>
      <c r="R398" s="933"/>
      <c r="S398" s="888"/>
    </row>
    <row r="399" spans="1:21" s="901" customFormat="1" ht="12.75" x14ac:dyDescent="0.2">
      <c r="A399" s="888"/>
      <c r="B399" s="947"/>
      <c r="C399" s="925"/>
      <c r="D399" s="925"/>
      <c r="E399" s="926"/>
      <c r="F399" s="927"/>
      <c r="G399" s="927"/>
      <c r="H399" s="927"/>
      <c r="I399" s="928"/>
      <c r="J399" s="927"/>
      <c r="K399" s="927">
        <f>SUM(G399:J399)</f>
        <v>0</v>
      </c>
      <c r="L399" s="927"/>
      <c r="M399" s="929">
        <f>IF(F399="",E399-K399-L399,F399-K399-L399)</f>
        <v>0</v>
      </c>
      <c r="N399" s="930">
        <f t="shared" si="34"/>
        <v>0</v>
      </c>
      <c r="O399" s="931"/>
      <c r="P399" s="932"/>
      <c r="Q399" s="927"/>
      <c r="R399" s="933"/>
      <c r="S399" s="888"/>
    </row>
    <row r="400" spans="1:21" s="901" customFormat="1" ht="12.75" x14ac:dyDescent="0.2">
      <c r="A400" s="888"/>
      <c r="B400" s="947"/>
      <c r="C400" s="925"/>
      <c r="D400" s="925"/>
      <c r="E400" s="926"/>
      <c r="F400" s="927"/>
      <c r="G400" s="927"/>
      <c r="H400" s="927"/>
      <c r="I400" s="928"/>
      <c r="J400" s="927"/>
      <c r="K400" s="927">
        <f>SUM(G400:J400)</f>
        <v>0</v>
      </c>
      <c r="L400" s="927"/>
      <c r="M400" s="929">
        <f>IF(F400="",E400-K400-L400,F400-K400-L400)</f>
        <v>0</v>
      </c>
      <c r="N400" s="930">
        <f t="shared" si="34"/>
        <v>0</v>
      </c>
      <c r="O400" s="931"/>
      <c r="P400" s="932"/>
      <c r="Q400" s="927"/>
      <c r="R400" s="933"/>
      <c r="S400" s="888"/>
    </row>
    <row r="401" spans="1:23" s="888" customFormat="1" ht="12.75" x14ac:dyDescent="0.2">
      <c r="B401" s="935" t="s">
        <v>997</v>
      </c>
      <c r="C401" s="936" t="s">
        <v>1126</v>
      </c>
      <c r="D401" s="937"/>
      <c r="E401" s="938"/>
      <c r="F401" s="939"/>
      <c r="G401" s="939"/>
      <c r="H401" s="939"/>
      <c r="I401" s="940"/>
      <c r="J401" s="939"/>
      <c r="K401" s="950">
        <f>SUM(K397:K400)</f>
        <v>52953000</v>
      </c>
      <c r="L401" s="950">
        <f>SUM(L397:L400)</f>
        <v>0</v>
      </c>
      <c r="M401" s="950">
        <f>SUM(M397:M400)</f>
        <v>0</v>
      </c>
      <c r="N401" s="942">
        <f>SUM(N397:N400)</f>
        <v>0</v>
      </c>
      <c r="O401" s="943"/>
      <c r="P401" s="944"/>
      <c r="Q401" s="939"/>
      <c r="R401" s="945"/>
      <c r="T401" s="901"/>
      <c r="U401" s="901"/>
      <c r="V401" s="901"/>
      <c r="W401" s="901"/>
    </row>
    <row r="402" spans="1:23" s="888" customFormat="1" ht="12.75" x14ac:dyDescent="0.2">
      <c r="A402" s="888">
        <v>21</v>
      </c>
      <c r="B402" s="947" t="s">
        <v>585</v>
      </c>
      <c r="C402" s="925" t="s">
        <v>1128</v>
      </c>
      <c r="D402" s="948" t="s">
        <v>1108</v>
      </c>
      <c r="E402" s="926">
        <v>6980000</v>
      </c>
      <c r="F402" s="927"/>
      <c r="G402" s="926">
        <v>6980000</v>
      </c>
      <c r="H402" s="927"/>
      <c r="I402" s="928"/>
      <c r="J402" s="927"/>
      <c r="K402" s="927">
        <f>SUM(G402:J402)</f>
        <v>6980000</v>
      </c>
      <c r="L402" s="927"/>
      <c r="M402" s="929">
        <f>IF(F402="",E402-K402-L402,F402-K402-L402)</f>
        <v>0</v>
      </c>
      <c r="N402" s="930">
        <f t="shared" si="34"/>
        <v>0</v>
      </c>
      <c r="O402" s="931"/>
      <c r="P402" s="932"/>
      <c r="Q402" s="927"/>
      <c r="R402" s="933"/>
      <c r="T402" s="901"/>
      <c r="U402" s="901"/>
      <c r="V402" s="901"/>
      <c r="W402" s="901"/>
    </row>
    <row r="403" spans="1:23" s="888" customFormat="1" ht="12.75" x14ac:dyDescent="0.2">
      <c r="B403" s="947"/>
      <c r="C403" s="925"/>
      <c r="D403" s="948"/>
      <c r="E403" s="926"/>
      <c r="F403" s="927"/>
      <c r="G403" s="927"/>
      <c r="H403" s="927"/>
      <c r="I403" s="928"/>
      <c r="J403" s="927"/>
      <c r="K403" s="927">
        <f>SUM(G403:J403)</f>
        <v>0</v>
      </c>
      <c r="L403" s="927"/>
      <c r="M403" s="929">
        <f>IF(F403="",E403-K403-L403,F403-K403-L403)</f>
        <v>0</v>
      </c>
      <c r="N403" s="930">
        <f t="shared" si="34"/>
        <v>0</v>
      </c>
      <c r="O403" s="931"/>
      <c r="P403" s="932"/>
      <c r="Q403" s="927"/>
      <c r="R403" s="933"/>
      <c r="T403" s="901"/>
      <c r="U403" s="901"/>
      <c r="V403" s="901"/>
      <c r="W403" s="901"/>
    </row>
    <row r="404" spans="1:23" s="888" customFormat="1" ht="12.75" x14ac:dyDescent="0.2">
      <c r="B404" s="947"/>
      <c r="C404" s="925"/>
      <c r="D404" s="925"/>
      <c r="E404" s="926"/>
      <c r="F404" s="927"/>
      <c r="G404" s="927"/>
      <c r="H404" s="927"/>
      <c r="I404" s="928"/>
      <c r="J404" s="927"/>
      <c r="K404" s="927">
        <f>SUM(G404:J404)</f>
        <v>0</v>
      </c>
      <c r="L404" s="927"/>
      <c r="M404" s="929">
        <f>IF(F404="",E404-K404-L404,F404-K404-L404)</f>
        <v>0</v>
      </c>
      <c r="N404" s="930">
        <f t="shared" si="34"/>
        <v>0</v>
      </c>
      <c r="O404" s="931"/>
      <c r="P404" s="932"/>
      <c r="Q404" s="927"/>
      <c r="R404" s="933"/>
      <c r="T404" s="901"/>
      <c r="U404" s="901"/>
      <c r="V404" s="901"/>
      <c r="W404" s="901"/>
    </row>
    <row r="405" spans="1:23" s="888" customFormat="1" ht="12.75" x14ac:dyDescent="0.2">
      <c r="B405" s="947"/>
      <c r="C405" s="925"/>
      <c r="D405" s="925"/>
      <c r="E405" s="926"/>
      <c r="F405" s="927"/>
      <c r="G405" s="927"/>
      <c r="H405" s="927"/>
      <c r="I405" s="928"/>
      <c r="J405" s="927"/>
      <c r="K405" s="927">
        <f>SUM(G405:J405)</f>
        <v>0</v>
      </c>
      <c r="L405" s="927"/>
      <c r="M405" s="929">
        <f>IF(F405="",E405-K405-L405,F405-K405-L405)</f>
        <v>0</v>
      </c>
      <c r="N405" s="930">
        <f t="shared" si="34"/>
        <v>0</v>
      </c>
      <c r="O405" s="931"/>
      <c r="P405" s="932"/>
      <c r="Q405" s="927"/>
      <c r="R405" s="933"/>
      <c r="T405" s="901"/>
      <c r="U405" s="901"/>
      <c r="V405" s="901"/>
      <c r="W405" s="901"/>
    </row>
    <row r="406" spans="1:23" s="888" customFormat="1" ht="12.75" x14ac:dyDescent="0.2">
      <c r="B406" s="935" t="s">
        <v>997</v>
      </c>
      <c r="C406" s="936" t="s">
        <v>585</v>
      </c>
      <c r="D406" s="937"/>
      <c r="E406" s="938"/>
      <c r="F406" s="939"/>
      <c r="G406" s="939"/>
      <c r="H406" s="939"/>
      <c r="I406" s="940"/>
      <c r="J406" s="939"/>
      <c r="K406" s="950">
        <f>SUM(K402:K405)</f>
        <v>6980000</v>
      </c>
      <c r="L406" s="950">
        <f>SUM(L402:L405)</f>
        <v>0</v>
      </c>
      <c r="M406" s="950">
        <f>SUM(M402:M405)</f>
        <v>0</v>
      </c>
      <c r="N406" s="942">
        <f>SUM(N402:N405)</f>
        <v>0</v>
      </c>
      <c r="O406" s="943"/>
      <c r="P406" s="944"/>
      <c r="Q406" s="939"/>
      <c r="R406" s="945"/>
      <c r="T406" s="901"/>
      <c r="U406" s="901"/>
      <c r="V406" s="901"/>
      <c r="W406" s="901"/>
    </row>
    <row r="407" spans="1:23" s="888" customFormat="1" ht="43.5" customHeight="1" x14ac:dyDescent="0.2">
      <c r="A407" s="888">
        <v>22</v>
      </c>
      <c r="B407" s="960" t="s">
        <v>1129</v>
      </c>
      <c r="C407" s="925" t="s">
        <v>1117</v>
      </c>
      <c r="D407" s="948" t="s">
        <v>1118</v>
      </c>
      <c r="E407" s="926">
        <v>31550000</v>
      </c>
      <c r="F407" s="927"/>
      <c r="G407" s="926">
        <v>31550000</v>
      </c>
      <c r="H407" s="927"/>
      <c r="I407" s="928"/>
      <c r="J407" s="927"/>
      <c r="K407" s="927">
        <f>SUM(G407:J407)</f>
        <v>31550000</v>
      </c>
      <c r="L407" s="927"/>
      <c r="M407" s="929">
        <f>IF(F407="",E407-K407-L407,F407-K407-L407)</f>
        <v>0</v>
      </c>
      <c r="N407" s="930">
        <f t="shared" si="34"/>
        <v>0</v>
      </c>
      <c r="O407" s="931"/>
      <c r="P407" s="932"/>
      <c r="Q407" s="927"/>
      <c r="R407" s="933"/>
      <c r="T407" s="901"/>
      <c r="U407" s="901"/>
      <c r="V407" s="901"/>
      <c r="W407" s="901"/>
    </row>
    <row r="408" spans="1:23" s="888" customFormat="1" ht="12.75" x14ac:dyDescent="0.2">
      <c r="B408" s="947"/>
      <c r="C408" s="925"/>
      <c r="D408" s="948"/>
      <c r="E408" s="926"/>
      <c r="F408" s="927"/>
      <c r="G408" s="927"/>
      <c r="H408" s="927"/>
      <c r="I408" s="928"/>
      <c r="J408" s="927"/>
      <c r="K408" s="927">
        <f>SUM(G408:J408)</f>
        <v>0</v>
      </c>
      <c r="L408" s="927"/>
      <c r="M408" s="929">
        <f>IF(F408="",E408-K408-L408,F408-K408-L408)</f>
        <v>0</v>
      </c>
      <c r="N408" s="930">
        <f t="shared" si="34"/>
        <v>0</v>
      </c>
      <c r="O408" s="931"/>
      <c r="P408" s="932"/>
      <c r="Q408" s="927"/>
      <c r="R408" s="933"/>
      <c r="T408" s="901"/>
      <c r="U408" s="901"/>
      <c r="V408" s="901"/>
      <c r="W408" s="901"/>
    </row>
    <row r="409" spans="1:23" s="888" customFormat="1" ht="12.75" x14ac:dyDescent="0.2">
      <c r="B409" s="947"/>
      <c r="C409" s="925"/>
      <c r="D409" s="925"/>
      <c r="E409" s="926"/>
      <c r="F409" s="927"/>
      <c r="G409" s="927"/>
      <c r="H409" s="927"/>
      <c r="I409" s="928"/>
      <c r="J409" s="927"/>
      <c r="K409" s="927">
        <f>SUM(G409:J409)</f>
        <v>0</v>
      </c>
      <c r="L409" s="927"/>
      <c r="M409" s="929">
        <f>IF(F409="",E409-K409-L409,F409-K409-L409)</f>
        <v>0</v>
      </c>
      <c r="N409" s="930">
        <f t="shared" si="34"/>
        <v>0</v>
      </c>
      <c r="O409" s="931"/>
      <c r="P409" s="932"/>
      <c r="Q409" s="927"/>
      <c r="R409" s="933"/>
      <c r="T409" s="901"/>
      <c r="U409" s="901"/>
      <c r="V409" s="901"/>
      <c r="W409" s="901"/>
    </row>
    <row r="410" spans="1:23" s="888" customFormat="1" ht="12.75" x14ac:dyDescent="0.2">
      <c r="B410" s="947"/>
      <c r="C410" s="925"/>
      <c r="D410" s="925"/>
      <c r="E410" s="926"/>
      <c r="F410" s="927"/>
      <c r="G410" s="927"/>
      <c r="H410" s="927"/>
      <c r="I410" s="928"/>
      <c r="J410" s="927"/>
      <c r="K410" s="927">
        <f>SUM(G410:J410)</f>
        <v>0</v>
      </c>
      <c r="L410" s="927"/>
      <c r="M410" s="929">
        <f>IF(F410="",E410-K410-L410,F410-K410-L410)</f>
        <v>0</v>
      </c>
      <c r="N410" s="930">
        <f t="shared" si="34"/>
        <v>0</v>
      </c>
      <c r="O410" s="931"/>
      <c r="P410" s="932"/>
      <c r="Q410" s="927"/>
      <c r="R410" s="933"/>
      <c r="T410" s="901"/>
      <c r="U410" s="901"/>
      <c r="V410" s="901"/>
      <c r="W410" s="901"/>
    </row>
    <row r="411" spans="1:23" s="888" customFormat="1" ht="25.5" x14ac:dyDescent="0.2">
      <c r="B411" s="935" t="s">
        <v>997</v>
      </c>
      <c r="C411" s="936" t="s">
        <v>1130</v>
      </c>
      <c r="D411" s="937"/>
      <c r="E411" s="938"/>
      <c r="F411" s="939"/>
      <c r="G411" s="939"/>
      <c r="H411" s="939"/>
      <c r="I411" s="940"/>
      <c r="J411" s="939"/>
      <c r="K411" s="950">
        <f>SUM(K407:K410)</f>
        <v>31550000</v>
      </c>
      <c r="L411" s="950">
        <f>SUM(L407:L410)</f>
        <v>0</v>
      </c>
      <c r="M411" s="950">
        <f>SUM(M407:M410)</f>
        <v>0</v>
      </c>
      <c r="N411" s="942">
        <f>SUM(N407:N410)</f>
        <v>0</v>
      </c>
      <c r="O411" s="943"/>
      <c r="P411" s="944"/>
      <c r="Q411" s="939"/>
      <c r="R411" s="945"/>
      <c r="T411" s="901"/>
      <c r="U411" s="901"/>
      <c r="V411" s="901"/>
      <c r="W411" s="901"/>
    </row>
    <row r="412" spans="1:23" s="888" customFormat="1" ht="51" x14ac:dyDescent="0.2">
      <c r="A412" s="888">
        <v>23</v>
      </c>
      <c r="B412" s="960" t="s">
        <v>1131</v>
      </c>
      <c r="C412" s="925" t="s">
        <v>1117</v>
      </c>
      <c r="D412" s="948" t="s">
        <v>1118</v>
      </c>
      <c r="E412" s="926">
        <v>52330000</v>
      </c>
      <c r="F412" s="927"/>
      <c r="G412" s="926">
        <v>52330000</v>
      </c>
      <c r="H412" s="927"/>
      <c r="I412" s="928"/>
      <c r="J412" s="927"/>
      <c r="K412" s="927">
        <f>SUM(G412:J412)</f>
        <v>52330000</v>
      </c>
      <c r="L412" s="927"/>
      <c r="M412" s="929">
        <f>IF(F412="",E412-K412-L412,F412-K412-L412)</f>
        <v>0</v>
      </c>
      <c r="N412" s="930">
        <f t="shared" si="34"/>
        <v>0</v>
      </c>
      <c r="O412" s="931"/>
      <c r="P412" s="932"/>
      <c r="Q412" s="927"/>
      <c r="R412" s="933"/>
      <c r="T412" s="901"/>
      <c r="U412" s="901"/>
      <c r="V412" s="901"/>
      <c r="W412" s="901"/>
    </row>
    <row r="413" spans="1:23" s="888" customFormat="1" ht="12.75" x14ac:dyDescent="0.2">
      <c r="B413" s="947"/>
      <c r="C413" s="925"/>
      <c r="D413" s="948"/>
      <c r="E413" s="926"/>
      <c r="F413" s="927"/>
      <c r="G413" s="927"/>
      <c r="H413" s="927"/>
      <c r="I413" s="928"/>
      <c r="J413" s="927"/>
      <c r="K413" s="927">
        <f>SUM(G413:J413)</f>
        <v>0</v>
      </c>
      <c r="L413" s="927"/>
      <c r="M413" s="929">
        <f>IF(F413="",E413-K413-L413,F413-K413-L413)</f>
        <v>0</v>
      </c>
      <c r="N413" s="930">
        <f t="shared" si="34"/>
        <v>0</v>
      </c>
      <c r="O413" s="931"/>
      <c r="P413" s="932"/>
      <c r="Q413" s="927"/>
      <c r="R413" s="933"/>
      <c r="T413" s="901"/>
      <c r="U413" s="901"/>
      <c r="V413" s="901"/>
      <c r="W413" s="901"/>
    </row>
    <row r="414" spans="1:23" s="888" customFormat="1" ht="12.75" x14ac:dyDescent="0.2">
      <c r="B414" s="947"/>
      <c r="C414" s="925"/>
      <c r="D414" s="925"/>
      <c r="E414" s="926"/>
      <c r="F414" s="927"/>
      <c r="G414" s="927"/>
      <c r="H414" s="927"/>
      <c r="I414" s="928"/>
      <c r="J414" s="927"/>
      <c r="K414" s="927">
        <f>SUM(G414:J414)</f>
        <v>0</v>
      </c>
      <c r="L414" s="927"/>
      <c r="M414" s="929">
        <f>IF(F414="",E414-K414-L414,F414-K414-L414)</f>
        <v>0</v>
      </c>
      <c r="N414" s="930">
        <f t="shared" ref="N414:N420" si="44">IF($F414="",($E414-$K414),($F414-$K414))</f>
        <v>0</v>
      </c>
      <c r="O414" s="931"/>
      <c r="P414" s="932"/>
      <c r="Q414" s="927"/>
      <c r="R414" s="933"/>
      <c r="T414" s="901"/>
      <c r="U414" s="901"/>
      <c r="V414" s="901"/>
      <c r="W414" s="901"/>
    </row>
    <row r="415" spans="1:23" s="888" customFormat="1" ht="12.75" x14ac:dyDescent="0.2">
      <c r="B415" s="947"/>
      <c r="C415" s="925"/>
      <c r="D415" s="925"/>
      <c r="E415" s="926"/>
      <c r="F415" s="927"/>
      <c r="G415" s="927"/>
      <c r="H415" s="927"/>
      <c r="I415" s="928"/>
      <c r="J415" s="927"/>
      <c r="K415" s="927">
        <f>SUM(G415:J415)</f>
        <v>0</v>
      </c>
      <c r="L415" s="927"/>
      <c r="M415" s="929">
        <f>IF(F415="",E415-K415-L415,F415-K415-L415)</f>
        <v>0</v>
      </c>
      <c r="N415" s="930">
        <f t="shared" si="44"/>
        <v>0</v>
      </c>
      <c r="O415" s="931"/>
      <c r="P415" s="932"/>
      <c r="Q415" s="927"/>
      <c r="R415" s="933"/>
      <c r="T415" s="901"/>
      <c r="U415" s="901"/>
      <c r="V415" s="901"/>
      <c r="W415" s="901"/>
    </row>
    <row r="416" spans="1:23" s="888" customFormat="1" ht="25.5" x14ac:dyDescent="0.2">
      <c r="B416" s="935" t="s">
        <v>997</v>
      </c>
      <c r="C416" s="936" t="str">
        <f>B412</f>
        <v>AQUA SONATUS-CT Năm 2019</v>
      </c>
      <c r="D416" s="937"/>
      <c r="E416" s="938"/>
      <c r="F416" s="939"/>
      <c r="G416" s="939"/>
      <c r="H416" s="939"/>
      <c r="I416" s="940"/>
      <c r="J416" s="939"/>
      <c r="K416" s="950">
        <f>SUM(K412:K415)</f>
        <v>52330000</v>
      </c>
      <c r="L416" s="950">
        <f>SUM(L412:L415)</f>
        <v>0</v>
      </c>
      <c r="M416" s="950">
        <f>SUM(M412:M415)</f>
        <v>0</v>
      </c>
      <c r="N416" s="942">
        <f>SUM(N412:N415)</f>
        <v>0</v>
      </c>
      <c r="O416" s="943"/>
      <c r="P416" s="944"/>
      <c r="Q416" s="939"/>
      <c r="R416" s="945"/>
      <c r="T416" s="901"/>
      <c r="U416" s="901"/>
      <c r="V416" s="901"/>
      <c r="W416" s="901"/>
    </row>
    <row r="417" spans="1:23" s="888" customFormat="1" ht="33.75" customHeight="1" x14ac:dyDescent="0.2">
      <c r="A417" s="888">
        <v>24</v>
      </c>
      <c r="B417" s="960" t="s">
        <v>1132</v>
      </c>
      <c r="C417" s="925" t="s">
        <v>215</v>
      </c>
      <c r="D417" s="925" t="s">
        <v>216</v>
      </c>
      <c r="E417" s="949">
        <v>35261625</v>
      </c>
      <c r="F417" s="927"/>
      <c r="G417" s="926">
        <v>35261625</v>
      </c>
      <c r="H417" s="927"/>
      <c r="I417" s="928"/>
      <c r="J417" s="927"/>
      <c r="K417" s="927">
        <f>SUM(G417:J417)</f>
        <v>35261625</v>
      </c>
      <c r="L417" s="927"/>
      <c r="M417" s="929">
        <f>IF(F417="",E417-K417-L417,F417-K417-L417)</f>
        <v>0</v>
      </c>
      <c r="N417" s="930">
        <f t="shared" si="44"/>
        <v>0</v>
      </c>
      <c r="O417" s="931"/>
      <c r="P417" s="932"/>
      <c r="Q417" s="927"/>
      <c r="R417" s="933"/>
      <c r="T417" s="901"/>
      <c r="U417" s="901"/>
      <c r="V417" s="901"/>
      <c r="W417" s="901"/>
    </row>
    <row r="418" spans="1:23" s="888" customFormat="1" ht="12.75" x14ac:dyDescent="0.2">
      <c r="B418" s="947"/>
      <c r="C418" s="925"/>
      <c r="D418" s="948"/>
      <c r="E418" s="926"/>
      <c r="F418" s="927"/>
      <c r="G418" s="927"/>
      <c r="H418" s="927"/>
      <c r="I418" s="928"/>
      <c r="J418" s="927"/>
      <c r="K418" s="927">
        <f>SUM(G418:J418)</f>
        <v>0</v>
      </c>
      <c r="L418" s="927"/>
      <c r="M418" s="929">
        <f>IF(F418="",E418-K418-L418,F418-K418-L418)</f>
        <v>0</v>
      </c>
      <c r="N418" s="930">
        <f t="shared" si="44"/>
        <v>0</v>
      </c>
      <c r="O418" s="931"/>
      <c r="P418" s="932"/>
      <c r="Q418" s="927"/>
      <c r="R418" s="933"/>
      <c r="T418" s="901"/>
      <c r="U418" s="901"/>
      <c r="V418" s="901"/>
      <c r="W418" s="901"/>
    </row>
    <row r="419" spans="1:23" s="888" customFormat="1" ht="12.75" x14ac:dyDescent="0.2">
      <c r="B419" s="947"/>
      <c r="C419" s="925"/>
      <c r="D419" s="925"/>
      <c r="E419" s="926"/>
      <c r="F419" s="927"/>
      <c r="G419" s="927"/>
      <c r="H419" s="927"/>
      <c r="I419" s="928"/>
      <c r="J419" s="927"/>
      <c r="K419" s="927">
        <f>SUM(G419:J419)</f>
        <v>0</v>
      </c>
      <c r="L419" s="927"/>
      <c r="M419" s="929">
        <f>IF(F419="",E419-K419-L419,F419-K419-L419)</f>
        <v>0</v>
      </c>
      <c r="N419" s="930">
        <f t="shared" si="44"/>
        <v>0</v>
      </c>
      <c r="O419" s="931"/>
      <c r="P419" s="932"/>
      <c r="Q419" s="927"/>
      <c r="R419" s="933"/>
      <c r="T419" s="901"/>
      <c r="U419" s="901"/>
      <c r="V419" s="901"/>
      <c r="W419" s="901"/>
    </row>
    <row r="420" spans="1:23" s="888" customFormat="1" ht="12.75" x14ac:dyDescent="0.2">
      <c r="B420" s="947"/>
      <c r="C420" s="925"/>
      <c r="D420" s="925"/>
      <c r="E420" s="926"/>
      <c r="F420" s="927"/>
      <c r="G420" s="927"/>
      <c r="H420" s="927"/>
      <c r="I420" s="928"/>
      <c r="J420" s="927"/>
      <c r="K420" s="927">
        <f>SUM(G420:J420)</f>
        <v>0</v>
      </c>
      <c r="L420" s="927"/>
      <c r="M420" s="929">
        <f>IF(F420="",E420-K420-L420,F420-K420-L420)</f>
        <v>0</v>
      </c>
      <c r="N420" s="930">
        <f t="shared" si="44"/>
        <v>0</v>
      </c>
      <c r="O420" s="931"/>
      <c r="P420" s="932"/>
      <c r="Q420" s="927"/>
      <c r="R420" s="933"/>
      <c r="T420" s="901"/>
      <c r="U420" s="901"/>
      <c r="V420" s="901"/>
      <c r="W420" s="901"/>
    </row>
    <row r="421" spans="1:23" s="888" customFormat="1" ht="25.5" x14ac:dyDescent="0.2">
      <c r="B421" s="961" t="s">
        <v>997</v>
      </c>
      <c r="C421" s="962" t="str">
        <f>B417</f>
        <v>Nam Thuận T19 - CT Năm 2019</v>
      </c>
      <c r="D421" s="963"/>
      <c r="E421" s="964"/>
      <c r="F421" s="965"/>
      <c r="G421" s="965"/>
      <c r="H421" s="965"/>
      <c r="I421" s="966"/>
      <c r="J421" s="965"/>
      <c r="K421" s="967">
        <f>SUM(K417:K420)</f>
        <v>35261625</v>
      </c>
      <c r="L421" s="967">
        <f>SUM(L417:L420)</f>
        <v>0</v>
      </c>
      <c r="M421" s="967">
        <f>SUM(M417:M420)</f>
        <v>0</v>
      </c>
      <c r="N421" s="968">
        <f>SUM(N417:N420)</f>
        <v>0</v>
      </c>
      <c r="O421" s="969"/>
      <c r="P421" s="970"/>
      <c r="Q421" s="965"/>
      <c r="R421" s="971"/>
      <c r="T421" s="901"/>
      <c r="U421" s="901"/>
      <c r="V421" s="901"/>
      <c r="W421" s="901"/>
    </row>
    <row r="445" spans="7:15" ht="15.75" x14ac:dyDescent="0.25">
      <c r="G445" s="686"/>
      <c r="H445" s="715" t="s">
        <v>1133</v>
      </c>
      <c r="I445" s="728"/>
      <c r="K445" s="714">
        <f>K346+K336+K318+K312+K277+K261+K226+K194+K177+K140+K135+K102+K95+K70+K27+K15</f>
        <v>8442025746.8999996</v>
      </c>
      <c r="L445" s="714">
        <f>L346+L336+L318+L312+L277+L261+L226+L194+L177+L140+L135+L102+L95+L70+L27+L15</f>
        <v>17374000</v>
      </c>
      <c r="M445" s="714">
        <f>M346+M336+M318+M312+M277+M261+M226+M194+M177+M140+M135+M102+M95+M70+M27+M15</f>
        <v>229438569.5</v>
      </c>
      <c r="N445" s="871">
        <f>N346+N336+N318+N312+N277+N261+N226+N194+N177+N140+N135+N102+N95+N70+N27+N15</f>
        <v>246812569.5</v>
      </c>
    </row>
    <row r="446" spans="7:15" ht="15.75" x14ac:dyDescent="0.25">
      <c r="G446" s="686"/>
      <c r="H446" s="737" t="s">
        <v>1134</v>
      </c>
      <c r="I446" s="738"/>
      <c r="J446" s="739"/>
      <c r="K446" s="740">
        <f>SUBTOTAL(9,K6:K346)</f>
        <v>16884051493.799999</v>
      </c>
      <c r="L446" s="740">
        <f>SUBTOTAL(9,L6:L443)</f>
        <v>34748000</v>
      </c>
      <c r="M446" s="740">
        <f>SUBTOTAL(9,M6:M346)</f>
        <v>458877139</v>
      </c>
      <c r="N446" s="872">
        <f>SUBTOTAL(9,N6:N346)</f>
        <v>493625139</v>
      </c>
    </row>
    <row r="447" spans="7:15" x14ac:dyDescent="0.25">
      <c r="H447" s="716" t="s">
        <v>1135</v>
      </c>
      <c r="K447" s="713">
        <f>K446/K445</f>
        <v>2</v>
      </c>
      <c r="L447" s="713"/>
      <c r="M447" s="713">
        <f>M446/M445</f>
        <v>2</v>
      </c>
      <c r="N447" s="873">
        <f>N446/N445</f>
        <v>2</v>
      </c>
      <c r="O447" s="686" t="s">
        <v>1136</v>
      </c>
    </row>
    <row r="448" spans="7:15" x14ac:dyDescent="0.25">
      <c r="K448" s="712"/>
    </row>
    <row r="449" spans="8:11" x14ac:dyDescent="0.25">
      <c r="K449" s="712"/>
    </row>
    <row r="450" spans="8:11" x14ac:dyDescent="0.25">
      <c r="H450" s="694"/>
      <c r="K450" s="719"/>
    </row>
    <row r="451" spans="8:11" x14ac:dyDescent="0.25">
      <c r="H451" s="718"/>
      <c r="K451" s="719"/>
    </row>
  </sheetData>
  <autoFilter ref="A5:X442"/>
  <mergeCells count="1">
    <mergeCell ref="B1:R3"/>
  </mergeCells>
  <pageMargins left="0" right="0" top="0" bottom="0" header="0.15748031496062992" footer="0.15748031496062992"/>
  <pageSetup paperSize="9" orientation="landscape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workbookViewId="0">
      <selection activeCell="C6" sqref="C6"/>
    </sheetView>
  </sheetViews>
  <sheetFormatPr defaultColWidth="9.28515625" defaultRowHeight="16.5" x14ac:dyDescent="0.25"/>
  <cols>
    <col min="1" max="1" width="4.42578125" style="435" customWidth="1"/>
    <col min="2" max="2" width="28.5703125" style="612" customWidth="1"/>
    <col min="3" max="3" width="24.28515625" style="590" customWidth="1"/>
    <col min="4" max="4" width="23.140625" style="591" customWidth="1"/>
    <col min="5" max="5" width="25.5703125" style="591" customWidth="1"/>
    <col min="6" max="6" width="26.140625" style="591" customWidth="1"/>
    <col min="7" max="7" width="17.28515625" style="592" customWidth="1"/>
    <col min="8" max="8" width="18.42578125" style="233" customWidth="1"/>
    <col min="9" max="9" width="25.42578125" style="233" customWidth="1"/>
    <col min="10" max="10" width="41.7109375" style="233" customWidth="1"/>
    <col min="11" max="11" width="19.7109375" style="233" bestFit="1" customWidth="1"/>
    <col min="12" max="16384" width="9.28515625" style="233"/>
  </cols>
  <sheetData>
    <row r="1" spans="1:10" s="1051" customFormat="1" ht="20.25" x14ac:dyDescent="0.3">
      <c r="A1" s="1252" t="s">
        <v>1137</v>
      </c>
      <c r="B1" s="1252"/>
      <c r="C1" s="1252"/>
      <c r="D1" s="1252"/>
      <c r="E1" s="1252"/>
      <c r="F1" s="1252"/>
      <c r="G1" s="1252"/>
      <c r="H1" s="1252"/>
      <c r="I1" s="1252"/>
      <c r="J1" s="1252"/>
    </row>
    <row r="2" spans="1:10" s="1051" customFormat="1" ht="15" x14ac:dyDescent="0.25"/>
    <row r="3" spans="1:10" s="1051" customFormat="1" ht="47.25" x14ac:dyDescent="0.25">
      <c r="A3" s="1052" t="s">
        <v>634</v>
      </c>
      <c r="B3" s="1052" t="s">
        <v>4</v>
      </c>
      <c r="C3" s="1052" t="s">
        <v>635</v>
      </c>
      <c r="D3" s="1053" t="s">
        <v>636</v>
      </c>
      <c r="E3" s="1053" t="s">
        <v>637</v>
      </c>
      <c r="F3" s="1052" t="s">
        <v>603</v>
      </c>
      <c r="G3" s="1053" t="s">
        <v>638</v>
      </c>
      <c r="H3" s="1053" t="s">
        <v>1138</v>
      </c>
      <c r="I3" s="1053" t="s">
        <v>639</v>
      </c>
      <c r="J3" s="1052" t="s">
        <v>605</v>
      </c>
    </row>
    <row r="4" spans="1:10" s="1051" customFormat="1" ht="15" x14ac:dyDescent="0.25">
      <c r="A4" s="1070">
        <v>1</v>
      </c>
      <c r="B4" s="1058" t="s">
        <v>1139</v>
      </c>
      <c r="C4" s="1058" t="s">
        <v>607</v>
      </c>
      <c r="D4" s="1058" t="s">
        <v>1140</v>
      </c>
      <c r="E4" s="1059">
        <v>6000000</v>
      </c>
      <c r="F4" s="1165">
        <v>43839</v>
      </c>
      <c r="G4" s="1060"/>
      <c r="H4" s="1296">
        <v>8974000</v>
      </c>
      <c r="I4" s="1061">
        <v>43846</v>
      </c>
      <c r="J4" s="1058" t="s">
        <v>630</v>
      </c>
    </row>
    <row r="5" spans="1:10" s="1051" customFormat="1" ht="15" x14ac:dyDescent="0.25">
      <c r="A5" s="1070">
        <f>1+A4</f>
        <v>2</v>
      </c>
      <c r="B5" s="1058" t="s">
        <v>1141</v>
      </c>
      <c r="C5" s="1058" t="s">
        <v>1142</v>
      </c>
      <c r="D5" s="1058" t="s">
        <v>1140</v>
      </c>
      <c r="E5" s="1059">
        <v>2000000</v>
      </c>
      <c r="F5" s="1086">
        <v>43840</v>
      </c>
      <c r="G5" s="1060"/>
      <c r="H5" s="1297"/>
      <c r="I5" s="1061">
        <v>43846</v>
      </c>
      <c r="J5" s="1058" t="s">
        <v>630</v>
      </c>
    </row>
    <row r="6" spans="1:10" s="1051" customFormat="1" ht="15" x14ac:dyDescent="0.25">
      <c r="A6" s="1070">
        <f>1+A5</f>
        <v>3</v>
      </c>
      <c r="B6" s="1058" t="s">
        <v>1143</v>
      </c>
      <c r="C6" s="1058" t="s">
        <v>1144</v>
      </c>
      <c r="D6" s="1058" t="s">
        <v>1140</v>
      </c>
      <c r="E6" s="1059">
        <v>3000000</v>
      </c>
      <c r="F6" s="1086">
        <v>43840</v>
      </c>
      <c r="G6" s="1060"/>
      <c r="H6" s="1298"/>
      <c r="I6" s="1061">
        <v>43846</v>
      </c>
      <c r="J6" s="1058" t="s">
        <v>630</v>
      </c>
    </row>
    <row r="7" spans="1:10" s="1051" customFormat="1" ht="15" x14ac:dyDescent="0.25">
      <c r="A7" s="1070">
        <v>1</v>
      </c>
      <c r="B7" s="1058" t="s">
        <v>19</v>
      </c>
      <c r="C7" s="1058" t="s">
        <v>607</v>
      </c>
      <c r="D7" s="1058" t="s">
        <v>1140</v>
      </c>
      <c r="E7" s="1059">
        <v>8000000</v>
      </c>
      <c r="F7" s="1165">
        <v>43832</v>
      </c>
      <c r="G7" s="1060"/>
      <c r="H7" s="1183">
        <v>5435000</v>
      </c>
      <c r="I7" s="1061">
        <v>43837</v>
      </c>
      <c r="J7" s="1058" t="s">
        <v>630</v>
      </c>
    </row>
    <row r="8" spans="1:10" s="1051" customFormat="1" ht="15" x14ac:dyDescent="0.25">
      <c r="A8" s="1070">
        <f>1+A7</f>
        <v>2</v>
      </c>
      <c r="B8" s="1058" t="s">
        <v>1145</v>
      </c>
      <c r="C8" s="1058" t="s">
        <v>607</v>
      </c>
      <c r="D8" s="1058" t="s">
        <v>651</v>
      </c>
      <c r="E8" s="1059">
        <v>2000000</v>
      </c>
      <c r="F8" s="1164">
        <v>44192</v>
      </c>
      <c r="G8" s="1060"/>
      <c r="H8" s="1183">
        <v>1885000</v>
      </c>
      <c r="I8" s="1061">
        <v>43840</v>
      </c>
      <c r="J8" s="1058" t="s">
        <v>630</v>
      </c>
    </row>
    <row r="9" spans="1:10" s="1051" customFormat="1" ht="15" x14ac:dyDescent="0.25">
      <c r="A9" s="1070">
        <f>1+A8</f>
        <v>3</v>
      </c>
      <c r="B9" s="1058" t="s">
        <v>1143</v>
      </c>
      <c r="C9" s="1058" t="s">
        <v>1146</v>
      </c>
      <c r="D9" s="1058" t="s">
        <v>1140</v>
      </c>
      <c r="E9" s="1059">
        <v>2000000</v>
      </c>
      <c r="F9" s="1164">
        <v>44192</v>
      </c>
      <c r="G9" s="1060"/>
      <c r="H9" s="1183">
        <v>2808000</v>
      </c>
      <c r="I9" s="1061">
        <v>43833</v>
      </c>
      <c r="J9" s="1058" t="s">
        <v>630</v>
      </c>
    </row>
    <row r="10" spans="1:10" s="1051" customFormat="1" ht="15" x14ac:dyDescent="0.25">
      <c r="A10" s="1070">
        <f>1+A9</f>
        <v>4</v>
      </c>
      <c r="B10" s="1058" t="s">
        <v>1147</v>
      </c>
      <c r="C10" s="1058" t="s">
        <v>607</v>
      </c>
      <c r="D10" s="1058" t="s">
        <v>659</v>
      </c>
      <c r="E10" s="1059">
        <v>2000000</v>
      </c>
      <c r="F10" s="1061">
        <v>43878</v>
      </c>
      <c r="G10" s="1308">
        <v>110000</v>
      </c>
      <c r="H10" s="1144"/>
      <c r="I10" s="1061">
        <v>43950</v>
      </c>
      <c r="J10" s="1058" t="s">
        <v>630</v>
      </c>
    </row>
    <row r="11" spans="1:10" s="1051" customFormat="1" ht="15" x14ac:dyDescent="0.25">
      <c r="A11" s="1070">
        <f>1+A10</f>
        <v>5</v>
      </c>
      <c r="B11" s="1058" t="s">
        <v>1147</v>
      </c>
      <c r="C11" s="1058" t="s">
        <v>607</v>
      </c>
      <c r="D11" s="1058" t="s">
        <v>659</v>
      </c>
      <c r="E11" s="1059">
        <v>2000000</v>
      </c>
      <c r="F11" s="1061">
        <v>43882</v>
      </c>
      <c r="G11" s="1305"/>
      <c r="H11" s="1144"/>
      <c r="I11" s="1061">
        <v>43950</v>
      </c>
      <c r="J11" s="1058" t="s">
        <v>630</v>
      </c>
    </row>
    <row r="12" spans="1:10" s="1051" customFormat="1" ht="15" x14ac:dyDescent="0.25">
      <c r="A12" s="1070">
        <f t="shared" ref="A12:A13" si="0">1+A11</f>
        <v>6</v>
      </c>
      <c r="B12" s="1058" t="s">
        <v>1148</v>
      </c>
      <c r="C12" s="1058" t="s">
        <v>607</v>
      </c>
      <c r="D12" s="1058" t="s">
        <v>659</v>
      </c>
      <c r="E12" s="1059">
        <v>4000000</v>
      </c>
      <c r="F12" s="1061">
        <v>43867</v>
      </c>
      <c r="G12" s="1060"/>
      <c r="H12" s="1296">
        <v>990000</v>
      </c>
      <c r="I12" s="1061">
        <v>43944</v>
      </c>
      <c r="J12" s="1058" t="s">
        <v>630</v>
      </c>
    </row>
    <row r="13" spans="1:10" s="1051" customFormat="1" ht="15" x14ac:dyDescent="0.25">
      <c r="A13" s="1070">
        <f t="shared" si="0"/>
        <v>7</v>
      </c>
      <c r="B13" s="1058" t="s">
        <v>1148</v>
      </c>
      <c r="C13" s="1058" t="s">
        <v>607</v>
      </c>
      <c r="D13" s="1058" t="s">
        <v>659</v>
      </c>
      <c r="E13" s="1059">
        <v>4000000</v>
      </c>
      <c r="F13" s="1061">
        <v>43890</v>
      </c>
      <c r="G13" s="1060"/>
      <c r="H13" s="1297"/>
      <c r="I13" s="1061">
        <v>43944</v>
      </c>
      <c r="J13" s="1058" t="s">
        <v>630</v>
      </c>
    </row>
    <row r="14" spans="1:10" s="1051" customFormat="1" ht="15" x14ac:dyDescent="0.25">
      <c r="A14" s="1070">
        <f t="shared" ref="A14:A31" si="1">1+A13</f>
        <v>8</v>
      </c>
      <c r="B14" s="1058" t="s">
        <v>1148</v>
      </c>
      <c r="C14" s="1058" t="s">
        <v>607</v>
      </c>
      <c r="D14" s="1058" t="s">
        <v>659</v>
      </c>
      <c r="E14" s="1059">
        <v>3000000</v>
      </c>
      <c r="F14" s="1061">
        <v>43908</v>
      </c>
      <c r="G14" s="1060"/>
      <c r="H14" s="1298"/>
      <c r="I14" s="1061">
        <v>43944</v>
      </c>
      <c r="J14" s="1058" t="s">
        <v>630</v>
      </c>
    </row>
    <row r="15" spans="1:10" s="1051" customFormat="1" ht="15" x14ac:dyDescent="0.25">
      <c r="A15" s="1070">
        <f t="shared" si="1"/>
        <v>9</v>
      </c>
      <c r="B15" s="1058" t="s">
        <v>1149</v>
      </c>
      <c r="C15" s="1058" t="s">
        <v>607</v>
      </c>
      <c r="D15" s="1058" t="s">
        <v>659</v>
      </c>
      <c r="E15" s="1059">
        <v>3000000</v>
      </c>
      <c r="F15" s="1061">
        <v>43883</v>
      </c>
      <c r="G15" s="1060"/>
      <c r="H15" s="1184">
        <v>764000</v>
      </c>
      <c r="I15" s="1061">
        <v>43944</v>
      </c>
      <c r="J15" s="1058" t="s">
        <v>630</v>
      </c>
    </row>
    <row r="16" spans="1:10" s="1051" customFormat="1" ht="15" x14ac:dyDescent="0.25">
      <c r="A16" s="1070">
        <f t="shared" si="1"/>
        <v>10</v>
      </c>
      <c r="B16" s="1058" t="s">
        <v>1150</v>
      </c>
      <c r="C16" s="1058" t="s">
        <v>607</v>
      </c>
      <c r="D16" s="1058" t="s">
        <v>686</v>
      </c>
      <c r="E16" s="1059">
        <v>3000000</v>
      </c>
      <c r="F16" s="1061">
        <v>43897</v>
      </c>
      <c r="G16" s="1060"/>
      <c r="H16" s="1296">
        <v>1685000</v>
      </c>
      <c r="I16" s="1061">
        <v>43938</v>
      </c>
      <c r="J16" s="1058" t="s">
        <v>630</v>
      </c>
    </row>
    <row r="17" spans="1:11" s="1051" customFormat="1" ht="15" x14ac:dyDescent="0.25">
      <c r="A17" s="1070">
        <f t="shared" si="1"/>
        <v>11</v>
      </c>
      <c r="B17" s="1058" t="s">
        <v>1150</v>
      </c>
      <c r="C17" s="1058" t="s">
        <v>607</v>
      </c>
      <c r="D17" s="1058" t="s">
        <v>686</v>
      </c>
      <c r="E17" s="1059">
        <v>3000000</v>
      </c>
      <c r="F17" s="1061">
        <v>43903</v>
      </c>
      <c r="G17" s="1060"/>
      <c r="H17" s="1292"/>
      <c r="I17" s="1061">
        <v>43938</v>
      </c>
      <c r="J17" s="1058" t="s">
        <v>630</v>
      </c>
    </row>
    <row r="18" spans="1:11" s="1051" customFormat="1" ht="15" x14ac:dyDescent="0.25">
      <c r="A18" s="1070">
        <f t="shared" si="1"/>
        <v>12</v>
      </c>
      <c r="B18" s="1058" t="s">
        <v>1151</v>
      </c>
      <c r="C18" s="1058" t="s">
        <v>607</v>
      </c>
      <c r="D18" s="1058" t="s">
        <v>651</v>
      </c>
      <c r="E18" s="1059">
        <v>5000000</v>
      </c>
      <c r="F18" s="1061">
        <v>43908</v>
      </c>
      <c r="G18" s="1060"/>
      <c r="H18" s="1183">
        <v>3116000</v>
      </c>
      <c r="I18" s="1061">
        <v>43944</v>
      </c>
      <c r="J18" s="1058" t="s">
        <v>630</v>
      </c>
    </row>
    <row r="19" spans="1:11" s="1051" customFormat="1" ht="15" x14ac:dyDescent="0.25">
      <c r="A19" s="1070">
        <f t="shared" si="1"/>
        <v>13</v>
      </c>
      <c r="B19" s="1058" t="s">
        <v>1152</v>
      </c>
      <c r="C19" s="1058" t="s">
        <v>607</v>
      </c>
      <c r="D19" s="1058" t="s">
        <v>1140</v>
      </c>
      <c r="E19" s="1059">
        <v>3000000</v>
      </c>
      <c r="F19" s="1061">
        <v>43888</v>
      </c>
      <c r="G19" s="1060"/>
      <c r="H19" s="1293">
        <v>10895000</v>
      </c>
      <c r="I19" s="1061">
        <v>43893</v>
      </c>
      <c r="J19" s="1058" t="s">
        <v>630</v>
      </c>
    </row>
    <row r="20" spans="1:11" s="1051" customFormat="1" ht="15" x14ac:dyDescent="0.25">
      <c r="A20" s="1070">
        <f t="shared" si="1"/>
        <v>14</v>
      </c>
      <c r="B20" s="1058" t="s">
        <v>1152</v>
      </c>
      <c r="C20" s="1058" t="s">
        <v>607</v>
      </c>
      <c r="D20" s="1058" t="s">
        <v>1140</v>
      </c>
      <c r="E20" s="1059">
        <v>7000000</v>
      </c>
      <c r="F20" s="1061">
        <v>43888</v>
      </c>
      <c r="G20" s="1060"/>
      <c r="H20" s="1294"/>
      <c r="I20" s="1061">
        <v>43893</v>
      </c>
      <c r="J20" s="1058" t="s">
        <v>630</v>
      </c>
    </row>
    <row r="21" spans="1:11" s="1051" customFormat="1" ht="15" x14ac:dyDescent="0.25">
      <c r="A21" s="1070">
        <f t="shared" si="1"/>
        <v>15</v>
      </c>
      <c r="B21" s="1058" t="s">
        <v>1153</v>
      </c>
      <c r="C21" s="1058" t="s">
        <v>607</v>
      </c>
      <c r="D21" s="1058" t="s">
        <v>1140</v>
      </c>
      <c r="E21" s="1059">
        <v>5000000</v>
      </c>
      <c r="F21" s="1061">
        <v>43890</v>
      </c>
      <c r="G21" s="1060"/>
      <c r="H21" s="1295"/>
      <c r="I21" s="1061">
        <v>43893</v>
      </c>
      <c r="J21" s="1058" t="s">
        <v>630</v>
      </c>
    </row>
    <row r="22" spans="1:11" s="1051" customFormat="1" ht="15" x14ac:dyDescent="0.25">
      <c r="A22" s="1070">
        <f t="shared" si="1"/>
        <v>16</v>
      </c>
      <c r="B22" s="1058" t="s">
        <v>1143</v>
      </c>
      <c r="C22" s="1058" t="s">
        <v>1154</v>
      </c>
      <c r="D22" s="1058" t="s">
        <v>1140</v>
      </c>
      <c r="E22" s="1059">
        <v>1000000</v>
      </c>
      <c r="F22" s="1061">
        <v>43917</v>
      </c>
      <c r="G22" s="1060">
        <v>145000</v>
      </c>
      <c r="H22" s="1144"/>
      <c r="I22" s="1061">
        <v>43922</v>
      </c>
      <c r="J22" s="1058" t="s">
        <v>642</v>
      </c>
    </row>
    <row r="23" spans="1:11" s="1051" customFormat="1" ht="14.25" customHeight="1" x14ac:dyDescent="0.25">
      <c r="A23" s="1070">
        <f t="shared" si="1"/>
        <v>17</v>
      </c>
      <c r="B23" s="1058" t="s">
        <v>1143</v>
      </c>
      <c r="C23" s="1058" t="s">
        <v>1154</v>
      </c>
      <c r="D23" s="1089" t="s">
        <v>1140</v>
      </c>
      <c r="E23" s="1088">
        <v>2000000</v>
      </c>
      <c r="F23" s="1061">
        <v>43894</v>
      </c>
      <c r="G23" s="1064"/>
      <c r="H23" s="1291">
        <v>18749000</v>
      </c>
      <c r="I23" s="1061">
        <v>43909</v>
      </c>
      <c r="J23" s="1058" t="s">
        <v>630</v>
      </c>
    </row>
    <row r="24" spans="1:11" s="1051" customFormat="1" ht="14.25" customHeight="1" x14ac:dyDescent="0.25">
      <c r="A24" s="1070">
        <f t="shared" si="1"/>
        <v>18</v>
      </c>
      <c r="B24" s="1058" t="s">
        <v>1143</v>
      </c>
      <c r="C24" s="1058" t="s">
        <v>1154</v>
      </c>
      <c r="D24" s="1089" t="s">
        <v>1140</v>
      </c>
      <c r="E24" s="1088">
        <v>1000000</v>
      </c>
      <c r="F24" s="1061">
        <v>43896</v>
      </c>
      <c r="G24" s="1064"/>
      <c r="H24" s="1297"/>
      <c r="I24" s="1061">
        <v>43909</v>
      </c>
      <c r="J24" s="1058" t="s">
        <v>630</v>
      </c>
    </row>
    <row r="25" spans="1:11" s="1051" customFormat="1" ht="14.25" customHeight="1" x14ac:dyDescent="0.25">
      <c r="A25" s="1070">
        <f t="shared" si="1"/>
        <v>19</v>
      </c>
      <c r="B25" s="1058" t="s">
        <v>610</v>
      </c>
      <c r="C25" s="1058" t="s">
        <v>1155</v>
      </c>
      <c r="D25" s="1089" t="s">
        <v>1140</v>
      </c>
      <c r="E25" s="1088">
        <v>4000000</v>
      </c>
      <c r="F25" s="1061">
        <v>43896</v>
      </c>
      <c r="G25" s="1064"/>
      <c r="H25" s="1297"/>
      <c r="I25" s="1061">
        <v>43909</v>
      </c>
      <c r="J25" s="1058" t="s">
        <v>630</v>
      </c>
    </row>
    <row r="26" spans="1:11" s="1051" customFormat="1" ht="14.25" customHeight="1" x14ac:dyDescent="0.25">
      <c r="A26" s="1070">
        <f t="shared" si="1"/>
        <v>20</v>
      </c>
      <c r="B26" s="1058" t="s">
        <v>610</v>
      </c>
      <c r="C26" s="1058" t="s">
        <v>1156</v>
      </c>
      <c r="D26" s="1089" t="s">
        <v>1140</v>
      </c>
      <c r="E26" s="1088">
        <v>3000000</v>
      </c>
      <c r="F26" s="1061">
        <v>43902</v>
      </c>
      <c r="G26" s="1064"/>
      <c r="H26" s="1297"/>
      <c r="I26" s="1061">
        <v>43909</v>
      </c>
      <c r="J26" s="1058" t="s">
        <v>630</v>
      </c>
    </row>
    <row r="27" spans="1:11" s="1051" customFormat="1" ht="14.25" customHeight="1" x14ac:dyDescent="0.25">
      <c r="A27" s="1070">
        <f t="shared" si="1"/>
        <v>21</v>
      </c>
      <c r="B27" s="1058" t="s">
        <v>1152</v>
      </c>
      <c r="C27" s="1058" t="s">
        <v>1157</v>
      </c>
      <c r="D27" s="1089" t="s">
        <v>1140</v>
      </c>
      <c r="E27" s="1088">
        <v>10000000</v>
      </c>
      <c r="F27" s="1061">
        <v>43902</v>
      </c>
      <c r="G27" s="1064"/>
      <c r="H27" s="1297"/>
      <c r="I27" s="1061">
        <v>43909</v>
      </c>
      <c r="J27" s="1058" t="s">
        <v>630</v>
      </c>
    </row>
    <row r="28" spans="1:11" s="1051" customFormat="1" ht="14.25" customHeight="1" x14ac:dyDescent="0.25">
      <c r="A28" s="1070">
        <f t="shared" si="1"/>
        <v>22</v>
      </c>
      <c r="B28" s="1058" t="s">
        <v>624</v>
      </c>
      <c r="C28" s="1058" t="s">
        <v>1158</v>
      </c>
      <c r="D28" s="1089" t="s">
        <v>1140</v>
      </c>
      <c r="E28" s="1088">
        <v>3000000</v>
      </c>
      <c r="F28" s="1061">
        <v>43903</v>
      </c>
      <c r="G28" s="1064"/>
      <c r="H28" s="1297"/>
      <c r="I28" s="1061">
        <v>43909</v>
      </c>
      <c r="J28" s="1058" t="s">
        <v>630</v>
      </c>
    </row>
    <row r="29" spans="1:11" s="1051" customFormat="1" ht="14.25" customHeight="1" x14ac:dyDescent="0.25">
      <c r="A29" s="1070">
        <f t="shared" si="1"/>
        <v>23</v>
      </c>
      <c r="B29" s="1058" t="s">
        <v>1159</v>
      </c>
      <c r="C29" s="1058" t="s">
        <v>1158</v>
      </c>
      <c r="D29" s="1089" t="s">
        <v>1140</v>
      </c>
      <c r="E29" s="1088">
        <v>5000000</v>
      </c>
      <c r="F29" s="1061">
        <v>43903</v>
      </c>
      <c r="G29" s="1064"/>
      <c r="H29" s="1292"/>
      <c r="I29" s="1061">
        <v>43909</v>
      </c>
      <c r="J29" s="1058" t="s">
        <v>630</v>
      </c>
    </row>
    <row r="30" spans="1:11" s="1051" customFormat="1" ht="15" x14ac:dyDescent="0.25">
      <c r="A30" s="1070">
        <f t="shared" si="1"/>
        <v>24</v>
      </c>
      <c r="B30" s="1058" t="s">
        <v>1152</v>
      </c>
      <c r="C30" s="1058" t="s">
        <v>607</v>
      </c>
      <c r="D30" s="1159" t="s">
        <v>1160</v>
      </c>
      <c r="E30" s="1059">
        <v>5000000</v>
      </c>
      <c r="F30" s="1061">
        <v>43887</v>
      </c>
      <c r="G30" s="1303">
        <v>1852250</v>
      </c>
      <c r="H30" s="1144"/>
      <c r="I30" s="1061">
        <v>43950</v>
      </c>
      <c r="J30" s="1058" t="s">
        <v>1161</v>
      </c>
    </row>
    <row r="31" spans="1:11" s="1051" customFormat="1" ht="15" x14ac:dyDescent="0.25">
      <c r="A31" s="1070">
        <f t="shared" si="1"/>
        <v>25</v>
      </c>
      <c r="B31" s="1058" t="s">
        <v>1152</v>
      </c>
      <c r="C31" s="1058" t="s">
        <v>607</v>
      </c>
      <c r="D31" s="1159" t="s">
        <v>1160</v>
      </c>
      <c r="E31" s="1059">
        <v>5000000</v>
      </c>
      <c r="F31" s="1061">
        <v>43892</v>
      </c>
      <c r="G31" s="1304"/>
      <c r="H31" s="1144"/>
      <c r="I31" s="1061">
        <v>43950</v>
      </c>
      <c r="J31" s="1058" t="s">
        <v>1161</v>
      </c>
      <c r="K31" s="1160"/>
    </row>
    <row r="32" spans="1:11" s="1051" customFormat="1" ht="15" x14ac:dyDescent="0.25">
      <c r="A32" s="1070">
        <f t="shared" ref="A32:A35" si="2">1+A31</f>
        <v>26</v>
      </c>
      <c r="B32" s="1058" t="s">
        <v>1152</v>
      </c>
      <c r="C32" s="1058" t="s">
        <v>607</v>
      </c>
      <c r="D32" s="1159" t="s">
        <v>1160</v>
      </c>
      <c r="E32" s="1059">
        <v>5000000</v>
      </c>
      <c r="F32" s="1061">
        <v>43899</v>
      </c>
      <c r="G32" s="1304"/>
      <c r="H32" s="1144"/>
      <c r="I32" s="1061">
        <v>43950</v>
      </c>
      <c r="J32" s="1058" t="s">
        <v>1161</v>
      </c>
      <c r="K32" s="1160"/>
    </row>
    <row r="33" spans="1:11" s="1051" customFormat="1" ht="15" x14ac:dyDescent="0.25">
      <c r="A33" s="1070">
        <f t="shared" si="2"/>
        <v>27</v>
      </c>
      <c r="B33" s="1058" t="s">
        <v>1152</v>
      </c>
      <c r="C33" s="1058" t="s">
        <v>607</v>
      </c>
      <c r="D33" s="1159" t="s">
        <v>1160</v>
      </c>
      <c r="E33" s="1059">
        <v>5000000</v>
      </c>
      <c r="F33" s="1061">
        <v>43906</v>
      </c>
      <c r="G33" s="1305"/>
      <c r="H33" s="1144"/>
      <c r="I33" s="1061">
        <v>43950</v>
      </c>
      <c r="J33" s="1058" t="s">
        <v>1161</v>
      </c>
      <c r="K33" s="1160"/>
    </row>
    <row r="34" spans="1:11" s="1051" customFormat="1" ht="15" x14ac:dyDescent="0.25">
      <c r="A34" s="1070">
        <f t="shared" si="2"/>
        <v>28</v>
      </c>
      <c r="B34" s="1058" t="s">
        <v>1152</v>
      </c>
      <c r="C34" s="1058" t="s">
        <v>607</v>
      </c>
      <c r="D34" s="1159" t="s">
        <v>1160</v>
      </c>
      <c r="E34" s="1059">
        <v>1852250</v>
      </c>
      <c r="F34" s="1061">
        <v>43950</v>
      </c>
      <c r="G34" s="1185"/>
      <c r="H34" s="1144">
        <v>250750</v>
      </c>
      <c r="I34" s="1061">
        <v>43981</v>
      </c>
      <c r="J34" s="1058" t="s">
        <v>646</v>
      </c>
    </row>
    <row r="35" spans="1:11" s="1051" customFormat="1" ht="15" x14ac:dyDescent="0.25">
      <c r="A35" s="1070">
        <f t="shared" si="2"/>
        <v>29</v>
      </c>
      <c r="B35" s="1058" t="s">
        <v>1143</v>
      </c>
      <c r="C35" s="1058" t="s">
        <v>1162</v>
      </c>
      <c r="D35" s="1058" t="s">
        <v>1140</v>
      </c>
      <c r="E35" s="1059">
        <v>1000000</v>
      </c>
      <c r="F35" s="1061">
        <v>43922</v>
      </c>
      <c r="G35" s="1060"/>
      <c r="H35" s="1144">
        <v>800000</v>
      </c>
      <c r="I35" s="1061">
        <v>43935</v>
      </c>
      <c r="J35" s="1058" t="s">
        <v>646</v>
      </c>
    </row>
    <row r="36" spans="1:11" s="1051" customFormat="1" ht="15" x14ac:dyDescent="0.25">
      <c r="A36" s="1070">
        <f t="shared" ref="A36:A83" si="3">1+A35</f>
        <v>30</v>
      </c>
      <c r="B36" s="1084" t="s">
        <v>1143</v>
      </c>
      <c r="C36" s="1058" t="s">
        <v>1163</v>
      </c>
      <c r="D36" s="1058" t="s">
        <v>1140</v>
      </c>
      <c r="E36" s="1059">
        <v>1000000</v>
      </c>
      <c r="F36" s="1061">
        <v>43935</v>
      </c>
      <c r="G36" s="1060"/>
      <c r="H36" s="1144">
        <v>2345000</v>
      </c>
      <c r="I36" s="1061">
        <v>43943</v>
      </c>
      <c r="J36" s="1058" t="s">
        <v>646</v>
      </c>
    </row>
    <row r="37" spans="1:11" s="1051" customFormat="1" ht="15" x14ac:dyDescent="0.25">
      <c r="A37" s="1070">
        <f t="shared" si="3"/>
        <v>31</v>
      </c>
      <c r="B37" s="1084" t="s">
        <v>1164</v>
      </c>
      <c r="C37" s="1058" t="s">
        <v>1165</v>
      </c>
      <c r="D37" s="1058" t="s">
        <v>1140</v>
      </c>
      <c r="E37" s="1059">
        <v>5500000</v>
      </c>
      <c r="F37" s="1061">
        <v>43938</v>
      </c>
      <c r="G37" s="1060"/>
      <c r="H37" s="1144">
        <v>1375000</v>
      </c>
      <c r="I37" s="1061">
        <v>43943</v>
      </c>
      <c r="J37" s="1058" t="s">
        <v>646</v>
      </c>
    </row>
    <row r="38" spans="1:11" s="1051" customFormat="1" ht="15" x14ac:dyDescent="0.25">
      <c r="A38" s="1070">
        <f t="shared" si="3"/>
        <v>32</v>
      </c>
      <c r="B38" s="1084" t="s">
        <v>1143</v>
      </c>
      <c r="C38" s="1058" t="s">
        <v>1162</v>
      </c>
      <c r="D38" s="1058" t="s">
        <v>1140</v>
      </c>
      <c r="E38" s="1059">
        <v>500000</v>
      </c>
      <c r="F38" s="1061">
        <v>43943</v>
      </c>
      <c r="G38" s="1060"/>
      <c r="H38" s="1146">
        <v>165000</v>
      </c>
      <c r="I38" s="1061">
        <v>43949</v>
      </c>
      <c r="J38" s="1058" t="s">
        <v>646</v>
      </c>
    </row>
    <row r="39" spans="1:11" s="1051" customFormat="1" ht="15" x14ac:dyDescent="0.25">
      <c r="A39" s="1070">
        <f t="shared" si="3"/>
        <v>33</v>
      </c>
      <c r="B39" s="1084" t="s">
        <v>1164</v>
      </c>
      <c r="C39" s="1058" t="s">
        <v>607</v>
      </c>
      <c r="D39" s="1089" t="s">
        <v>684</v>
      </c>
      <c r="E39" s="1059">
        <v>3000000</v>
      </c>
      <c r="F39" s="1061">
        <v>43841</v>
      </c>
      <c r="G39" s="1293">
        <v>2276000</v>
      </c>
      <c r="H39" s="1157"/>
      <c r="I39" s="1061">
        <v>43950</v>
      </c>
      <c r="J39" s="1058" t="s">
        <v>1166</v>
      </c>
    </row>
    <row r="40" spans="1:11" s="1051" customFormat="1" ht="15" x14ac:dyDescent="0.25">
      <c r="A40" s="1070">
        <f t="shared" si="3"/>
        <v>34</v>
      </c>
      <c r="B40" s="1084" t="s">
        <v>1164</v>
      </c>
      <c r="C40" s="1058" t="s">
        <v>607</v>
      </c>
      <c r="D40" s="1089" t="s">
        <v>684</v>
      </c>
      <c r="E40" s="1059">
        <v>3000000</v>
      </c>
      <c r="F40" s="1061">
        <v>43846</v>
      </c>
      <c r="G40" s="1294"/>
      <c r="H40" s="1157"/>
      <c r="I40" s="1061">
        <v>43950</v>
      </c>
      <c r="J40" s="1058" t="s">
        <v>1166</v>
      </c>
    </row>
    <row r="41" spans="1:11" s="1051" customFormat="1" ht="15" x14ac:dyDescent="0.25">
      <c r="A41" s="1070">
        <f t="shared" si="3"/>
        <v>35</v>
      </c>
      <c r="B41" s="1084" t="s">
        <v>1164</v>
      </c>
      <c r="C41" s="1058" t="s">
        <v>607</v>
      </c>
      <c r="D41" s="1089" t="s">
        <v>684</v>
      </c>
      <c r="E41" s="1059">
        <v>4000000</v>
      </c>
      <c r="F41" s="1061">
        <v>43878</v>
      </c>
      <c r="G41" s="1295"/>
      <c r="H41" s="1157"/>
      <c r="I41" s="1061">
        <v>43950</v>
      </c>
      <c r="J41" s="1058" t="s">
        <v>1166</v>
      </c>
    </row>
    <row r="42" spans="1:11" s="1051" customFormat="1" ht="15" x14ac:dyDescent="0.25">
      <c r="A42" s="1070">
        <f t="shared" si="3"/>
        <v>36</v>
      </c>
      <c r="B42" s="1084" t="s">
        <v>1152</v>
      </c>
      <c r="C42" s="1058" t="s">
        <v>607</v>
      </c>
      <c r="D42" s="1058" t="s">
        <v>674</v>
      </c>
      <c r="E42" s="1059">
        <v>3000000</v>
      </c>
      <c r="F42" s="1061">
        <v>43894</v>
      </c>
      <c r="G42" s="1060"/>
      <c r="H42" s="1296">
        <v>5728500</v>
      </c>
      <c r="I42" s="1061">
        <v>43938</v>
      </c>
      <c r="J42" s="1058" t="s">
        <v>646</v>
      </c>
    </row>
    <row r="43" spans="1:11" s="1051" customFormat="1" ht="15" x14ac:dyDescent="0.25">
      <c r="A43" s="1070">
        <f t="shared" si="3"/>
        <v>37</v>
      </c>
      <c r="B43" s="1084" t="s">
        <v>19</v>
      </c>
      <c r="C43" s="1058" t="s">
        <v>607</v>
      </c>
      <c r="D43" s="1058" t="s">
        <v>674</v>
      </c>
      <c r="E43" s="1059">
        <v>3000000</v>
      </c>
      <c r="F43" s="1061">
        <v>43894</v>
      </c>
      <c r="G43" s="1060"/>
      <c r="H43" s="1292"/>
      <c r="I43" s="1061">
        <v>43938</v>
      </c>
      <c r="J43" s="1058" t="s">
        <v>646</v>
      </c>
    </row>
    <row r="44" spans="1:11" s="1051" customFormat="1" ht="15" x14ac:dyDescent="0.25">
      <c r="A44" s="1070">
        <f t="shared" si="3"/>
        <v>38</v>
      </c>
      <c r="B44" s="1084" t="s">
        <v>1152</v>
      </c>
      <c r="C44" s="1058" t="s">
        <v>607</v>
      </c>
      <c r="D44" s="1058" t="s">
        <v>674</v>
      </c>
      <c r="E44" s="1059">
        <v>3000000</v>
      </c>
      <c r="F44" s="1061">
        <v>43935</v>
      </c>
      <c r="G44" s="1306">
        <v>617000</v>
      </c>
      <c r="H44" s="1184"/>
      <c r="I44" s="1061">
        <v>43968</v>
      </c>
      <c r="J44" s="1058" t="s">
        <v>646</v>
      </c>
    </row>
    <row r="45" spans="1:11" s="1051" customFormat="1" ht="15" x14ac:dyDescent="0.25">
      <c r="A45" s="1070">
        <f t="shared" si="3"/>
        <v>39</v>
      </c>
      <c r="B45" s="1084" t="s">
        <v>1152</v>
      </c>
      <c r="C45" s="1058" t="s">
        <v>607</v>
      </c>
      <c r="D45" s="1058" t="s">
        <v>674</v>
      </c>
      <c r="E45" s="1059">
        <v>3000000</v>
      </c>
      <c r="F45" s="1061">
        <v>43955</v>
      </c>
      <c r="G45" s="1307"/>
      <c r="H45" s="1184"/>
      <c r="I45" s="1061">
        <v>43968</v>
      </c>
      <c r="J45" s="1058" t="s">
        <v>1167</v>
      </c>
    </row>
    <row r="46" spans="1:11" s="1051" customFormat="1" ht="15" x14ac:dyDescent="0.25">
      <c r="A46" s="1070">
        <f t="shared" si="3"/>
        <v>40</v>
      </c>
      <c r="B46" s="1084" t="s">
        <v>1152</v>
      </c>
      <c r="C46" s="1058" t="s">
        <v>607</v>
      </c>
      <c r="D46" s="1058" t="s">
        <v>674</v>
      </c>
      <c r="E46" s="1059">
        <v>617000</v>
      </c>
      <c r="F46" s="1061">
        <v>43968</v>
      </c>
      <c r="G46" s="1186"/>
      <c r="H46" s="1184">
        <v>559000</v>
      </c>
      <c r="I46" s="1061">
        <v>44039</v>
      </c>
      <c r="J46" s="1058" t="s">
        <v>646</v>
      </c>
    </row>
    <row r="47" spans="1:11" s="1051" customFormat="1" ht="15" x14ac:dyDescent="0.25">
      <c r="A47" s="1070">
        <f t="shared" si="3"/>
        <v>41</v>
      </c>
      <c r="B47" s="1058" t="s">
        <v>1143</v>
      </c>
      <c r="C47" s="1058" t="s">
        <v>1168</v>
      </c>
      <c r="D47" s="1058" t="s">
        <v>1140</v>
      </c>
      <c r="E47" s="1059">
        <v>4000000</v>
      </c>
      <c r="F47" s="1061">
        <v>43949</v>
      </c>
      <c r="G47" s="1060"/>
      <c r="H47" s="1291">
        <v>4204000</v>
      </c>
      <c r="I47" s="1061">
        <v>43967</v>
      </c>
      <c r="J47" s="1058" t="s">
        <v>646</v>
      </c>
    </row>
    <row r="48" spans="1:11" s="1051" customFormat="1" ht="15" x14ac:dyDescent="0.25">
      <c r="A48" s="1070">
        <f t="shared" si="3"/>
        <v>42</v>
      </c>
      <c r="B48" s="1058" t="s">
        <v>1143</v>
      </c>
      <c r="C48" s="1058" t="s">
        <v>1168</v>
      </c>
      <c r="D48" s="1058" t="s">
        <v>1140</v>
      </c>
      <c r="E48" s="1059">
        <v>5000000</v>
      </c>
      <c r="F48" s="1061">
        <v>43960</v>
      </c>
      <c r="G48" s="1060"/>
      <c r="H48" s="1292"/>
      <c r="I48" s="1061">
        <v>43967</v>
      </c>
      <c r="J48" s="1058" t="s">
        <v>646</v>
      </c>
    </row>
    <row r="49" spans="1:11" s="1051" customFormat="1" ht="15" x14ac:dyDescent="0.25">
      <c r="A49" s="1070">
        <f t="shared" si="3"/>
        <v>43</v>
      </c>
      <c r="B49" s="1058" t="s">
        <v>1169</v>
      </c>
      <c r="C49" s="1058" t="s">
        <v>661</v>
      </c>
      <c r="D49" s="1058" t="s">
        <v>686</v>
      </c>
      <c r="E49" s="1059">
        <v>2000000</v>
      </c>
      <c r="F49" s="1061">
        <v>43959</v>
      </c>
      <c r="G49" s="1060">
        <v>85000</v>
      </c>
      <c r="H49" s="1059"/>
      <c r="I49" s="1061">
        <v>43963</v>
      </c>
      <c r="J49" s="1058" t="s">
        <v>646</v>
      </c>
      <c r="K49" s="1051" t="s">
        <v>1170</v>
      </c>
    </row>
    <row r="50" spans="1:11" s="1051" customFormat="1" ht="15" x14ac:dyDescent="0.25">
      <c r="A50" s="1070">
        <f t="shared" si="3"/>
        <v>44</v>
      </c>
      <c r="B50" s="1058" t="s">
        <v>1171</v>
      </c>
      <c r="C50" s="1058" t="s">
        <v>661</v>
      </c>
      <c r="D50" s="1058" t="s">
        <v>457</v>
      </c>
      <c r="E50" s="1059">
        <v>2000000</v>
      </c>
      <c r="F50" s="1061">
        <v>43972</v>
      </c>
      <c r="G50" s="1060"/>
      <c r="H50" s="1291">
        <v>3597500</v>
      </c>
      <c r="I50" s="1061">
        <v>43998</v>
      </c>
      <c r="J50" s="1058" t="s">
        <v>646</v>
      </c>
    </row>
    <row r="51" spans="1:11" s="1051" customFormat="1" ht="15" x14ac:dyDescent="0.25">
      <c r="A51" s="1070">
        <f t="shared" si="3"/>
        <v>45</v>
      </c>
      <c r="B51" s="1058" t="s">
        <v>1171</v>
      </c>
      <c r="C51" s="1058" t="s">
        <v>1168</v>
      </c>
      <c r="D51" s="1058" t="s">
        <v>457</v>
      </c>
      <c r="E51" s="1059">
        <v>5000000</v>
      </c>
      <c r="F51" s="1061">
        <v>43977</v>
      </c>
      <c r="G51" s="1060"/>
      <c r="H51" s="1292"/>
      <c r="I51" s="1061">
        <v>43998</v>
      </c>
      <c r="J51" s="1058" t="s">
        <v>646</v>
      </c>
    </row>
    <row r="52" spans="1:11" s="1051" customFormat="1" ht="15" x14ac:dyDescent="0.25">
      <c r="A52" s="1070">
        <f t="shared" si="3"/>
        <v>46</v>
      </c>
      <c r="B52" s="1058" t="s">
        <v>985</v>
      </c>
      <c r="C52" s="1058" t="s">
        <v>1168</v>
      </c>
      <c r="D52" s="1058" t="s">
        <v>686</v>
      </c>
      <c r="E52" s="1055">
        <v>3000000</v>
      </c>
      <c r="F52" s="1056">
        <v>43963</v>
      </c>
      <c r="G52" s="1057"/>
      <c r="H52" s="1291">
        <v>89300</v>
      </c>
      <c r="I52" s="1056">
        <v>44002</v>
      </c>
      <c r="J52" s="1058" t="s">
        <v>646</v>
      </c>
    </row>
    <row r="53" spans="1:11" s="1051" customFormat="1" ht="15" x14ac:dyDescent="0.25">
      <c r="A53" s="1070">
        <f t="shared" si="3"/>
        <v>47</v>
      </c>
      <c r="B53" s="1058" t="s">
        <v>985</v>
      </c>
      <c r="C53" s="1058" t="s">
        <v>1168</v>
      </c>
      <c r="D53" s="1058" t="s">
        <v>686</v>
      </c>
      <c r="E53" s="1055">
        <v>2000000</v>
      </c>
      <c r="F53" s="1056">
        <v>43977</v>
      </c>
      <c r="G53" s="1057"/>
      <c r="H53" s="1292"/>
      <c r="I53" s="1056">
        <v>44002</v>
      </c>
      <c r="J53" s="1058" t="s">
        <v>646</v>
      </c>
    </row>
    <row r="54" spans="1:11" s="1051" customFormat="1" ht="15" x14ac:dyDescent="0.25">
      <c r="A54" s="1070">
        <f t="shared" si="3"/>
        <v>48</v>
      </c>
      <c r="B54" s="1084" t="s">
        <v>1164</v>
      </c>
      <c r="C54" s="1058" t="s">
        <v>607</v>
      </c>
      <c r="D54" s="1158" t="s">
        <v>684</v>
      </c>
      <c r="E54" s="1055">
        <v>2276000</v>
      </c>
      <c r="F54" s="1056">
        <v>43950</v>
      </c>
      <c r="G54" s="1057"/>
      <c r="H54" s="1183">
        <v>1848000</v>
      </c>
      <c r="I54" s="1056">
        <v>44013</v>
      </c>
      <c r="J54" s="1058" t="s">
        <v>646</v>
      </c>
    </row>
    <row r="55" spans="1:11" s="1051" customFormat="1" ht="15" x14ac:dyDescent="0.25">
      <c r="A55" s="1070">
        <f t="shared" si="3"/>
        <v>49</v>
      </c>
      <c r="B55" s="1058" t="s">
        <v>1172</v>
      </c>
      <c r="C55" s="1058" t="s">
        <v>1173</v>
      </c>
      <c r="D55" s="1054" t="s">
        <v>1174</v>
      </c>
      <c r="E55" s="1055">
        <v>3000000</v>
      </c>
      <c r="F55" s="1056">
        <v>44022</v>
      </c>
      <c r="G55" s="1057"/>
      <c r="H55" s="1058">
        <v>0</v>
      </c>
      <c r="I55" s="1056">
        <v>44022</v>
      </c>
      <c r="J55" s="1058" t="s">
        <v>1175</v>
      </c>
    </row>
    <row r="56" spans="1:11" s="1051" customFormat="1" ht="15" x14ac:dyDescent="0.25">
      <c r="A56" s="1070">
        <f t="shared" si="3"/>
        <v>50</v>
      </c>
      <c r="B56" s="1054" t="s">
        <v>1172</v>
      </c>
      <c r="C56" s="1058" t="s">
        <v>1069</v>
      </c>
      <c r="D56" s="1058" t="s">
        <v>457</v>
      </c>
      <c r="E56" s="1059">
        <v>2000000</v>
      </c>
      <c r="F56" s="1056">
        <v>44022</v>
      </c>
      <c r="G56" s="1060"/>
      <c r="H56" s="1058">
        <v>0</v>
      </c>
      <c r="I56" s="1056">
        <v>44022</v>
      </c>
      <c r="J56" s="1058" t="s">
        <v>1175</v>
      </c>
    </row>
    <row r="57" spans="1:11" s="1051" customFormat="1" ht="15" x14ac:dyDescent="0.25">
      <c r="A57" s="1070">
        <f t="shared" si="3"/>
        <v>51</v>
      </c>
      <c r="B57" s="1082" t="s">
        <v>1176</v>
      </c>
      <c r="C57" s="1083"/>
      <c r="D57" s="1084" t="s">
        <v>1177</v>
      </c>
      <c r="E57" s="1078">
        <v>5000000</v>
      </c>
      <c r="F57" s="1079">
        <v>43965</v>
      </c>
      <c r="G57" s="1071"/>
      <c r="H57" s="1293">
        <v>796000</v>
      </c>
      <c r="I57" s="1061">
        <v>44022</v>
      </c>
      <c r="J57" s="1058" t="s">
        <v>646</v>
      </c>
    </row>
    <row r="58" spans="1:11" s="1051" customFormat="1" ht="15" x14ac:dyDescent="0.25">
      <c r="A58" s="1070">
        <f t="shared" si="3"/>
        <v>52</v>
      </c>
      <c r="B58" s="1076" t="s">
        <v>1176</v>
      </c>
      <c r="C58" s="1076" t="s">
        <v>882</v>
      </c>
      <c r="D58" s="1084" t="s">
        <v>1177</v>
      </c>
      <c r="E58" s="1078">
        <v>5000000</v>
      </c>
      <c r="F58" s="1079">
        <v>43972</v>
      </c>
      <c r="G58" s="1071"/>
      <c r="H58" s="1294"/>
      <c r="I58" s="1061">
        <v>44022</v>
      </c>
      <c r="J58" s="1058" t="s">
        <v>646</v>
      </c>
    </row>
    <row r="59" spans="1:11" s="1051" customFormat="1" ht="15" x14ac:dyDescent="0.25">
      <c r="A59" s="1070">
        <f t="shared" si="3"/>
        <v>53</v>
      </c>
      <c r="B59" s="1076" t="s">
        <v>1176</v>
      </c>
      <c r="C59" s="1077"/>
      <c r="D59" s="1084" t="s">
        <v>1177</v>
      </c>
      <c r="E59" s="1078">
        <v>2000000</v>
      </c>
      <c r="F59" s="1079">
        <v>43983</v>
      </c>
      <c r="G59" s="1071"/>
      <c r="H59" s="1295"/>
      <c r="I59" s="1061">
        <v>44022</v>
      </c>
      <c r="J59" s="1058" t="s">
        <v>646</v>
      </c>
    </row>
    <row r="60" spans="1:11" s="1051" customFormat="1" ht="15" x14ac:dyDescent="0.25">
      <c r="A60" s="1070">
        <f t="shared" si="3"/>
        <v>54</v>
      </c>
      <c r="B60" s="1058" t="s">
        <v>1178</v>
      </c>
      <c r="C60" s="1058" t="s">
        <v>648</v>
      </c>
      <c r="D60" s="1058" t="s">
        <v>1179</v>
      </c>
      <c r="E60" s="1059">
        <v>2000000</v>
      </c>
      <c r="F60" s="1061">
        <v>44028</v>
      </c>
      <c r="G60" s="1060"/>
      <c r="H60" s="1058">
        <v>0</v>
      </c>
      <c r="I60" s="1061">
        <v>44028</v>
      </c>
      <c r="J60" s="1058" t="s">
        <v>1175</v>
      </c>
    </row>
    <row r="61" spans="1:11" s="1051" customFormat="1" ht="15" x14ac:dyDescent="0.25">
      <c r="A61" s="1070">
        <f t="shared" si="3"/>
        <v>55</v>
      </c>
      <c r="B61" s="1084" t="s">
        <v>544</v>
      </c>
      <c r="C61" s="1084" t="s">
        <v>1180</v>
      </c>
      <c r="D61" s="1058" t="s">
        <v>686</v>
      </c>
      <c r="E61" s="1085">
        <v>2000000</v>
      </c>
      <c r="F61" s="1086">
        <v>44056</v>
      </c>
      <c r="G61" s="1060">
        <v>260000</v>
      </c>
      <c r="H61" s="1059"/>
      <c r="I61" s="1061">
        <v>44061</v>
      </c>
      <c r="J61" s="1058" t="s">
        <v>630</v>
      </c>
    </row>
    <row r="62" spans="1:11" s="1051" customFormat="1" ht="15" x14ac:dyDescent="0.25">
      <c r="A62" s="1070">
        <f t="shared" si="3"/>
        <v>56</v>
      </c>
      <c r="B62" s="1084" t="s">
        <v>544</v>
      </c>
      <c r="C62" s="1084" t="s">
        <v>1181</v>
      </c>
      <c r="D62" s="1058" t="s">
        <v>686</v>
      </c>
      <c r="E62" s="1085">
        <v>2000000</v>
      </c>
      <c r="F62" s="1086">
        <v>44056</v>
      </c>
      <c r="G62" s="1060"/>
      <c r="H62" s="1058">
        <v>0</v>
      </c>
      <c r="I62" s="1086">
        <v>44056</v>
      </c>
      <c r="J62" s="1058" t="s">
        <v>1182</v>
      </c>
    </row>
    <row r="63" spans="1:11" s="1051" customFormat="1" ht="15" x14ac:dyDescent="0.25">
      <c r="A63" s="1070">
        <f t="shared" si="3"/>
        <v>57</v>
      </c>
      <c r="B63" s="1084" t="s">
        <v>1183</v>
      </c>
      <c r="C63" s="1084" t="s">
        <v>661</v>
      </c>
      <c r="D63" s="1058" t="s">
        <v>686</v>
      </c>
      <c r="E63" s="1085">
        <v>2000000</v>
      </c>
      <c r="F63" s="1086">
        <v>44063</v>
      </c>
      <c r="G63" s="1060"/>
      <c r="H63" s="1299">
        <v>1773000</v>
      </c>
      <c r="I63" s="1061">
        <v>44120</v>
      </c>
      <c r="J63" s="1058" t="s">
        <v>646</v>
      </c>
    </row>
    <row r="64" spans="1:11" s="1051" customFormat="1" ht="15" x14ac:dyDescent="0.25">
      <c r="A64" s="1070">
        <f t="shared" si="3"/>
        <v>58</v>
      </c>
      <c r="B64" s="1084" t="s">
        <v>1183</v>
      </c>
      <c r="C64" s="1084" t="s">
        <v>1184</v>
      </c>
      <c r="D64" s="1058" t="s">
        <v>686</v>
      </c>
      <c r="E64" s="1085">
        <v>5000000</v>
      </c>
      <c r="F64" s="1086">
        <v>44088</v>
      </c>
      <c r="G64" s="1060"/>
      <c r="H64" s="1300"/>
      <c r="I64" s="1061">
        <v>44120</v>
      </c>
      <c r="J64" s="1058" t="s">
        <v>646</v>
      </c>
    </row>
    <row r="65" spans="1:10" s="1051" customFormat="1" ht="15" x14ac:dyDescent="0.25">
      <c r="A65" s="1070">
        <f t="shared" si="3"/>
        <v>59</v>
      </c>
      <c r="B65" s="1084" t="s">
        <v>1185</v>
      </c>
      <c r="C65" s="1084" t="s">
        <v>1186</v>
      </c>
      <c r="D65" s="1084" t="s">
        <v>1187</v>
      </c>
      <c r="E65" s="1085">
        <v>1750000</v>
      </c>
      <c r="F65" s="1086">
        <v>44110</v>
      </c>
      <c r="G65" s="1060"/>
      <c r="H65" s="1058">
        <v>0</v>
      </c>
      <c r="I65" s="1086">
        <v>44110</v>
      </c>
      <c r="J65" s="1058" t="s">
        <v>1188</v>
      </c>
    </row>
    <row r="66" spans="1:10" s="1051" customFormat="1" ht="15" x14ac:dyDescent="0.25">
      <c r="A66" s="1070">
        <f t="shared" si="3"/>
        <v>60</v>
      </c>
      <c r="B66" s="1084" t="s">
        <v>1189</v>
      </c>
      <c r="C66" s="1084" t="s">
        <v>1190</v>
      </c>
      <c r="D66" s="1084" t="s">
        <v>668</v>
      </c>
      <c r="E66" s="1085">
        <v>5152000</v>
      </c>
      <c r="F66" s="1086">
        <v>44112</v>
      </c>
      <c r="G66" s="1060"/>
      <c r="H66" s="1059">
        <v>1500</v>
      </c>
      <c r="I66" s="1086">
        <v>44140</v>
      </c>
      <c r="J66" s="1058" t="s">
        <v>646</v>
      </c>
    </row>
    <row r="67" spans="1:10" s="1051" customFormat="1" ht="15" x14ac:dyDescent="0.25">
      <c r="A67" s="1070">
        <f t="shared" si="3"/>
        <v>61</v>
      </c>
      <c r="B67" s="1058" t="s">
        <v>1178</v>
      </c>
      <c r="C67" s="1058" t="s">
        <v>661</v>
      </c>
      <c r="D67" s="1058" t="s">
        <v>457</v>
      </c>
      <c r="E67" s="1059">
        <v>5000000</v>
      </c>
      <c r="F67" s="1061">
        <v>44033</v>
      </c>
      <c r="G67" s="1060"/>
      <c r="H67" s="1299">
        <v>2422500</v>
      </c>
      <c r="I67" s="1061">
        <v>44133</v>
      </c>
      <c r="J67" s="1058" t="s">
        <v>646</v>
      </c>
    </row>
    <row r="68" spans="1:10" s="1051" customFormat="1" ht="15" x14ac:dyDescent="0.25">
      <c r="A68" s="1070">
        <f t="shared" si="3"/>
        <v>62</v>
      </c>
      <c r="B68" s="1058" t="s">
        <v>1178</v>
      </c>
      <c r="C68" s="1058" t="s">
        <v>1168</v>
      </c>
      <c r="D68" s="1058" t="s">
        <v>457</v>
      </c>
      <c r="E68" s="1059">
        <v>5000000</v>
      </c>
      <c r="F68" s="1061">
        <v>44062</v>
      </c>
      <c r="G68" s="1060"/>
      <c r="H68" s="1300"/>
      <c r="I68" s="1061">
        <v>44133</v>
      </c>
      <c r="J68" s="1058" t="s">
        <v>646</v>
      </c>
    </row>
    <row r="69" spans="1:10" s="1051" customFormat="1" ht="15" x14ac:dyDescent="0.25">
      <c r="A69" s="1070">
        <f t="shared" si="3"/>
        <v>63</v>
      </c>
      <c r="B69" s="1076" t="s">
        <v>1191</v>
      </c>
      <c r="C69" s="1058" t="s">
        <v>1168</v>
      </c>
      <c r="D69" s="1098" t="s">
        <v>1177</v>
      </c>
      <c r="E69" s="1078">
        <v>1000000</v>
      </c>
      <c r="F69" s="1079">
        <v>44007</v>
      </c>
      <c r="G69" s="1060"/>
      <c r="H69" s="1059">
        <v>49000</v>
      </c>
      <c r="I69" s="1061">
        <v>44134</v>
      </c>
      <c r="J69" s="1058" t="s">
        <v>646</v>
      </c>
    </row>
    <row r="70" spans="1:10" s="1051" customFormat="1" ht="15" x14ac:dyDescent="0.25">
      <c r="A70" s="1070">
        <f t="shared" si="3"/>
        <v>64</v>
      </c>
      <c r="B70" s="1058" t="s">
        <v>647</v>
      </c>
      <c r="C70" s="1058" t="s">
        <v>661</v>
      </c>
      <c r="D70" s="1058" t="s">
        <v>645</v>
      </c>
      <c r="E70" s="1059">
        <v>3000000</v>
      </c>
      <c r="F70" s="1061">
        <v>44106</v>
      </c>
      <c r="G70" s="1060"/>
      <c r="H70" s="1059">
        <f>1171000+1796000</f>
        <v>2967000</v>
      </c>
      <c r="I70" s="1061">
        <v>44146</v>
      </c>
      <c r="J70" s="1136" t="s">
        <v>646</v>
      </c>
    </row>
    <row r="71" spans="1:10" s="1051" customFormat="1" ht="15" x14ac:dyDescent="0.25">
      <c r="A71" s="1070">
        <f t="shared" si="3"/>
        <v>65</v>
      </c>
      <c r="B71" s="1058" t="s">
        <v>631</v>
      </c>
      <c r="C71" s="1058" t="s">
        <v>1192</v>
      </c>
      <c r="D71" s="1058" t="s">
        <v>645</v>
      </c>
      <c r="E71" s="1059">
        <v>2500000</v>
      </c>
      <c r="F71" s="1061">
        <v>44085</v>
      </c>
      <c r="G71" s="1060"/>
      <c r="H71" s="1058">
        <v>0</v>
      </c>
      <c r="I71" s="1061">
        <v>44146</v>
      </c>
      <c r="J71" s="1136" t="s">
        <v>646</v>
      </c>
    </row>
    <row r="72" spans="1:10" s="1051" customFormat="1" ht="15" x14ac:dyDescent="0.25">
      <c r="A72" s="1070">
        <f t="shared" si="3"/>
        <v>66</v>
      </c>
      <c r="B72" s="1058" t="s">
        <v>660</v>
      </c>
      <c r="C72" s="1058" t="s">
        <v>661</v>
      </c>
      <c r="D72" s="1058" t="s">
        <v>662</v>
      </c>
      <c r="E72" s="1059">
        <v>3000000</v>
      </c>
      <c r="F72" s="1061">
        <v>44114</v>
      </c>
      <c r="G72" s="1060">
        <v>1073000</v>
      </c>
      <c r="H72" s="1058"/>
      <c r="I72" s="1061">
        <v>44148</v>
      </c>
      <c r="J72" s="1136" t="s">
        <v>642</v>
      </c>
    </row>
    <row r="73" spans="1:10" s="1051" customFormat="1" ht="15" x14ac:dyDescent="0.25">
      <c r="A73" s="1070">
        <f t="shared" si="3"/>
        <v>67</v>
      </c>
      <c r="B73" s="1058" t="s">
        <v>585</v>
      </c>
      <c r="C73" s="1058" t="s">
        <v>1193</v>
      </c>
      <c r="D73" s="1058" t="s">
        <v>649</v>
      </c>
      <c r="E73" s="1059">
        <v>500000</v>
      </c>
      <c r="F73" s="1061">
        <v>44028</v>
      </c>
      <c r="G73" s="1060">
        <v>69000</v>
      </c>
      <c r="H73" s="1061"/>
      <c r="I73" s="1061">
        <v>44151</v>
      </c>
      <c r="J73" s="1130" t="s">
        <v>642</v>
      </c>
    </row>
    <row r="74" spans="1:10" s="1051" customFormat="1" ht="15" x14ac:dyDescent="0.25">
      <c r="A74" s="1070">
        <f t="shared" si="3"/>
        <v>68</v>
      </c>
      <c r="B74" s="1062" t="s">
        <v>1194</v>
      </c>
      <c r="C74" s="1062" t="s">
        <v>1195</v>
      </c>
      <c r="D74" s="1062" t="s">
        <v>668</v>
      </c>
      <c r="E74" s="1063">
        <v>5000000</v>
      </c>
      <c r="F74" s="1103">
        <v>44149</v>
      </c>
      <c r="G74" s="1057">
        <v>62400</v>
      </c>
      <c r="H74" s="1056"/>
      <c r="I74" s="1056">
        <v>44170</v>
      </c>
      <c r="J74" s="1136" t="s">
        <v>646</v>
      </c>
    </row>
    <row r="75" spans="1:10" s="1051" customFormat="1" ht="15" x14ac:dyDescent="0.25">
      <c r="A75" s="1070">
        <f t="shared" si="3"/>
        <v>69</v>
      </c>
      <c r="B75" s="1058" t="s">
        <v>1196</v>
      </c>
      <c r="C75" s="1058" t="s">
        <v>661</v>
      </c>
      <c r="D75" s="1084" t="s">
        <v>338</v>
      </c>
      <c r="E75" s="1085">
        <v>5000000</v>
      </c>
      <c r="F75" s="1061">
        <v>44049</v>
      </c>
      <c r="G75" s="1301">
        <v>3169280</v>
      </c>
      <c r="H75" s="1056"/>
      <c r="I75" s="1056">
        <v>44133</v>
      </c>
      <c r="J75" s="1058" t="s">
        <v>1197</v>
      </c>
    </row>
    <row r="76" spans="1:10" s="1051" customFormat="1" ht="15" x14ac:dyDescent="0.25">
      <c r="A76" s="1070">
        <f t="shared" si="3"/>
        <v>70</v>
      </c>
      <c r="B76" s="1058" t="s">
        <v>1196</v>
      </c>
      <c r="C76" s="1058" t="s">
        <v>1198</v>
      </c>
      <c r="D76" s="1084" t="s">
        <v>338</v>
      </c>
      <c r="E76" s="1085">
        <v>5000000</v>
      </c>
      <c r="F76" s="1061">
        <v>44074</v>
      </c>
      <c r="G76" s="1302"/>
      <c r="H76" s="1056"/>
      <c r="I76" s="1056">
        <v>44133</v>
      </c>
      <c r="J76" s="1058" t="s">
        <v>1197</v>
      </c>
    </row>
    <row r="77" spans="1:10" s="1051" customFormat="1" ht="15" x14ac:dyDescent="0.25">
      <c r="A77" s="1070">
        <f t="shared" si="3"/>
        <v>71</v>
      </c>
      <c r="B77" s="1058" t="s">
        <v>1196</v>
      </c>
      <c r="C77" s="1058" t="s">
        <v>1198</v>
      </c>
      <c r="D77" s="1084" t="s">
        <v>338</v>
      </c>
      <c r="E77" s="1063">
        <v>3169280</v>
      </c>
      <c r="F77" s="1103">
        <v>44133</v>
      </c>
      <c r="G77" s="1057">
        <v>491280</v>
      </c>
      <c r="H77" s="1056"/>
      <c r="I77" s="1056">
        <v>44174</v>
      </c>
      <c r="J77" s="1136" t="s">
        <v>646</v>
      </c>
    </row>
    <row r="78" spans="1:10" s="1051" customFormat="1" ht="15" x14ac:dyDescent="0.25">
      <c r="A78" s="1070">
        <f t="shared" si="3"/>
        <v>72</v>
      </c>
      <c r="B78" s="1058" t="s">
        <v>1196</v>
      </c>
      <c r="C78" s="1058" t="s">
        <v>661</v>
      </c>
      <c r="D78" s="1084" t="s">
        <v>1177</v>
      </c>
      <c r="E78" s="1085">
        <v>5000000</v>
      </c>
      <c r="F78" s="1061">
        <v>44049</v>
      </c>
      <c r="G78" s="1301">
        <v>3897000</v>
      </c>
      <c r="H78" s="1056"/>
      <c r="I78" s="1056">
        <v>44133</v>
      </c>
      <c r="J78" s="1058" t="s">
        <v>1197</v>
      </c>
    </row>
    <row r="79" spans="1:10" s="1051" customFormat="1" ht="15" x14ac:dyDescent="0.25">
      <c r="A79" s="1070">
        <f t="shared" si="3"/>
        <v>73</v>
      </c>
      <c r="B79" s="1058" t="s">
        <v>1196</v>
      </c>
      <c r="C79" s="1058" t="s">
        <v>661</v>
      </c>
      <c r="D79" s="1084" t="s">
        <v>1177</v>
      </c>
      <c r="E79" s="1085">
        <v>5000000</v>
      </c>
      <c r="F79" s="1061">
        <v>44071</v>
      </c>
      <c r="G79" s="1302"/>
      <c r="H79" s="1056"/>
      <c r="I79" s="1056">
        <v>44133</v>
      </c>
      <c r="J79" s="1058" t="s">
        <v>1197</v>
      </c>
    </row>
    <row r="80" spans="1:10" s="1051" customFormat="1" ht="15" x14ac:dyDescent="0.25">
      <c r="A80" s="1070">
        <f t="shared" si="3"/>
        <v>74</v>
      </c>
      <c r="B80" s="1062" t="s">
        <v>1196</v>
      </c>
      <c r="C80" s="1062" t="s">
        <v>661</v>
      </c>
      <c r="D80" s="1062" t="s">
        <v>1177</v>
      </c>
      <c r="E80" s="1063">
        <v>3897000</v>
      </c>
      <c r="F80" s="1103">
        <v>44133</v>
      </c>
      <c r="G80" s="1057">
        <v>772000</v>
      </c>
      <c r="H80" s="1056"/>
      <c r="I80" s="1056">
        <v>44174</v>
      </c>
      <c r="J80" s="1136" t="s">
        <v>646</v>
      </c>
    </row>
    <row r="81" spans="1:10" s="1051" customFormat="1" ht="15" x14ac:dyDescent="0.25">
      <c r="A81" s="1070">
        <f t="shared" si="3"/>
        <v>75</v>
      </c>
      <c r="B81" s="1058"/>
      <c r="C81" s="1058"/>
      <c r="D81" s="1058"/>
      <c r="E81" s="1059"/>
      <c r="F81" s="1061"/>
      <c r="G81" s="1060"/>
      <c r="H81" s="1061"/>
      <c r="I81" s="1058"/>
      <c r="J81" s="1130"/>
    </row>
    <row r="82" spans="1:10" s="1051" customFormat="1" ht="15" x14ac:dyDescent="0.25">
      <c r="A82" s="1070">
        <f t="shared" si="3"/>
        <v>76</v>
      </c>
      <c r="B82" s="1058"/>
      <c r="C82" s="1058"/>
      <c r="D82" s="1058"/>
      <c r="E82" s="1059"/>
      <c r="F82" s="1061"/>
      <c r="G82" s="1060"/>
      <c r="H82" s="1061"/>
      <c r="I82" s="1058"/>
      <c r="J82" s="1130"/>
    </row>
    <row r="83" spans="1:10" s="1051" customFormat="1" ht="15" x14ac:dyDescent="0.25">
      <c r="A83" s="1070">
        <f t="shared" si="3"/>
        <v>77</v>
      </c>
      <c r="B83" s="1131"/>
      <c r="C83" s="1131"/>
      <c r="D83" s="1131"/>
      <c r="E83" s="1132"/>
      <c r="F83" s="1133"/>
      <c r="G83" s="1134"/>
      <c r="H83" s="1133"/>
      <c r="I83" s="1131"/>
      <c r="J83" s="1135"/>
    </row>
    <row r="84" spans="1:10" s="1051" customFormat="1" ht="15.75" x14ac:dyDescent="0.25">
      <c r="A84" s="1253" t="s">
        <v>688</v>
      </c>
      <c r="B84" s="1253"/>
      <c r="C84" s="1253"/>
      <c r="D84" s="1253"/>
      <c r="E84" s="1065">
        <f>SUM(E7:E83)</f>
        <v>251713530</v>
      </c>
      <c r="F84" s="1066"/>
      <c r="G84" s="1067">
        <f>SUM(G7:G83)</f>
        <v>14879210</v>
      </c>
      <c r="H84" s="1161">
        <f>SUM(H7:H83)</f>
        <v>75298050</v>
      </c>
      <c r="I84" s="1066"/>
      <c r="J84" s="1066"/>
    </row>
  </sheetData>
  <autoFilter ref="A3:K84"/>
  <mergeCells count="20">
    <mergeCell ref="G30:G33"/>
    <mergeCell ref="H19:H21"/>
    <mergeCell ref="G44:G45"/>
    <mergeCell ref="H23:H29"/>
    <mergeCell ref="A1:J1"/>
    <mergeCell ref="G39:G41"/>
    <mergeCell ref="G10:G11"/>
    <mergeCell ref="H4:H6"/>
    <mergeCell ref="A84:D84"/>
    <mergeCell ref="H63:H64"/>
    <mergeCell ref="H67:H68"/>
    <mergeCell ref="H50:H51"/>
    <mergeCell ref="H52:H53"/>
    <mergeCell ref="G75:G76"/>
    <mergeCell ref="G78:G79"/>
    <mergeCell ref="H47:H48"/>
    <mergeCell ref="H57:H59"/>
    <mergeCell ref="H16:H17"/>
    <mergeCell ref="H42:H43"/>
    <mergeCell ref="H12:H14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AB171"/>
  <sheetViews>
    <sheetView tabSelected="1" zoomScale="80" zoomScaleNormal="80" workbookViewId="0">
      <selection activeCell="M158" sqref="M158"/>
    </sheetView>
  </sheetViews>
  <sheetFormatPr defaultColWidth="9.28515625" defaultRowHeight="15" x14ac:dyDescent="0.25"/>
  <cols>
    <col min="1" max="1" width="2.85546875" style="686" customWidth="1"/>
    <col min="2" max="2" width="10.7109375" style="721" customWidth="1"/>
    <col min="3" max="3" width="21.42578125" style="721" customWidth="1"/>
    <col min="4" max="4" width="27.42578125" style="686" customWidth="1"/>
    <col min="5" max="5" width="16.5703125" style="686" customWidth="1"/>
    <col min="6" max="6" width="19.5703125" style="686" customWidth="1"/>
    <col min="7" max="7" width="15.5703125" style="725" customWidth="1"/>
    <col min="8" max="8" width="15.140625" style="687" customWidth="1"/>
    <col min="9" max="9" width="6.140625" style="687" customWidth="1"/>
    <col min="10" max="10" width="7.85546875" style="687" customWidth="1"/>
    <col min="11" max="11" width="14.42578125" style="727" customWidth="1"/>
    <col min="12" max="12" width="9.28515625" style="687" customWidth="1"/>
    <col min="13" max="13" width="16.5703125" style="686" customWidth="1"/>
    <col min="14" max="14" width="13.85546875" style="686" hidden="1" customWidth="1"/>
    <col min="15" max="15" width="13.85546875" style="686" customWidth="1"/>
    <col min="16" max="16" width="30.42578125" style="874" customWidth="1"/>
    <col min="17" max="17" width="15.85546875" style="686" hidden="1" customWidth="1"/>
    <col min="18" max="18" width="12.7109375" style="688" hidden="1" customWidth="1"/>
    <col min="19" max="19" width="14.7109375" style="687" customWidth="1"/>
    <col min="20" max="21" width="23.140625" style="687" customWidth="1"/>
    <col min="22" max="22" width="30.85546875" style="686" customWidth="1"/>
    <col min="23" max="23" width="14.7109375" style="686" hidden="1" customWidth="1"/>
    <col min="24" max="24" width="24.7109375" style="687" customWidth="1"/>
    <col min="25" max="25" width="16.7109375" style="687" bestFit="1" customWidth="1"/>
    <col min="26" max="27" width="15.85546875" style="687" bestFit="1" customWidth="1"/>
    <col min="28" max="28" width="20.140625" style="686" customWidth="1"/>
    <col min="29" max="16384" width="9.28515625" style="686"/>
  </cols>
  <sheetData>
    <row r="1" spans="1:28" ht="21" customHeight="1" x14ac:dyDescent="0.25">
      <c r="B1" s="1289" t="s">
        <v>689</v>
      </c>
      <c r="C1" s="1289"/>
      <c r="D1" s="1289"/>
      <c r="E1" s="1289"/>
      <c r="F1" s="1289"/>
      <c r="G1" s="1289"/>
      <c r="H1" s="1289"/>
      <c r="I1" s="1289"/>
      <c r="J1" s="1289"/>
      <c r="K1" s="1289"/>
      <c r="L1" s="1289"/>
      <c r="M1" s="1289"/>
      <c r="N1" s="1289"/>
      <c r="O1" s="1289"/>
      <c r="P1" s="1289"/>
      <c r="Q1" s="1289"/>
      <c r="R1" s="1289"/>
      <c r="S1" s="1290"/>
      <c r="T1" s="1290"/>
      <c r="U1" s="1290"/>
      <c r="V1" s="1289"/>
    </row>
    <row r="2" spans="1:28" ht="15" customHeight="1" x14ac:dyDescent="0.25">
      <c r="B2" s="1289"/>
      <c r="C2" s="1289"/>
      <c r="D2" s="1289"/>
      <c r="E2" s="1289"/>
      <c r="F2" s="1289"/>
      <c r="G2" s="1289"/>
      <c r="H2" s="1289"/>
      <c r="I2" s="1289"/>
      <c r="J2" s="1289"/>
      <c r="K2" s="1289"/>
      <c r="L2" s="1289"/>
      <c r="M2" s="1289"/>
      <c r="N2" s="1289"/>
      <c r="O2" s="1289"/>
      <c r="P2" s="1289"/>
      <c r="Q2" s="1289"/>
      <c r="R2" s="1289"/>
      <c r="S2" s="1290"/>
      <c r="T2" s="1290"/>
      <c r="U2" s="1290"/>
      <c r="V2" s="1289"/>
    </row>
    <row r="3" spans="1:28" ht="15" customHeight="1" x14ac:dyDescent="0.25">
      <c r="B3" s="1289"/>
      <c r="C3" s="1289"/>
      <c r="D3" s="1289"/>
      <c r="E3" s="1289"/>
      <c r="F3" s="1289"/>
      <c r="G3" s="1289"/>
      <c r="H3" s="1289"/>
      <c r="I3" s="1289"/>
      <c r="J3" s="1289"/>
      <c r="K3" s="1289"/>
      <c r="L3" s="1289"/>
      <c r="M3" s="1289"/>
      <c r="N3" s="1289"/>
      <c r="O3" s="1289"/>
      <c r="P3" s="1289"/>
      <c r="Q3" s="1289"/>
      <c r="R3" s="1289"/>
      <c r="S3" s="1290"/>
      <c r="T3" s="1290"/>
      <c r="U3" s="1290"/>
      <c r="V3" s="1289"/>
    </row>
    <row r="4" spans="1:28" ht="23.25" customHeight="1" x14ac:dyDescent="0.25">
      <c r="B4" s="1190"/>
      <c r="C4" s="1190"/>
      <c r="D4" s="746"/>
      <c r="E4" s="746"/>
      <c r="F4" s="746"/>
      <c r="G4" s="1074"/>
      <c r="H4" s="746"/>
      <c r="I4" s="743"/>
      <c r="J4" s="744"/>
      <c r="K4" s="745"/>
      <c r="L4" s="685"/>
      <c r="M4" s="1075"/>
      <c r="N4" s="1190"/>
      <c r="O4" s="1190"/>
      <c r="P4" s="868"/>
      <c r="S4" s="741"/>
      <c r="T4" s="741"/>
      <c r="U4" s="741"/>
    </row>
    <row r="5" spans="1:28" ht="54" customHeight="1" x14ac:dyDescent="0.25">
      <c r="B5" s="875" t="s">
        <v>4</v>
      </c>
      <c r="C5" s="875" t="s">
        <v>1199</v>
      </c>
      <c r="D5" s="875" t="s">
        <v>6</v>
      </c>
      <c r="E5" s="876" t="s">
        <v>7</v>
      </c>
      <c r="F5" s="876" t="s">
        <v>2161</v>
      </c>
      <c r="G5" s="877" t="s">
        <v>8</v>
      </c>
      <c r="H5" s="878" t="s">
        <v>933</v>
      </c>
      <c r="I5" s="877" t="s">
        <v>10</v>
      </c>
      <c r="J5" s="879" t="s">
        <v>11</v>
      </c>
      <c r="K5" s="877" t="s">
        <v>12</v>
      </c>
      <c r="L5" s="879" t="s">
        <v>13</v>
      </c>
      <c r="M5" s="880" t="s">
        <v>2162</v>
      </c>
      <c r="N5" s="881" t="s">
        <v>936</v>
      </c>
      <c r="O5" s="881" t="s">
        <v>2163</v>
      </c>
      <c r="P5" s="882" t="s">
        <v>937</v>
      </c>
      <c r="Q5" s="881" t="s">
        <v>17</v>
      </c>
      <c r="R5" s="883" t="s">
        <v>18</v>
      </c>
      <c r="S5" s="878" t="s">
        <v>938</v>
      </c>
      <c r="T5" s="882" t="s">
        <v>1200</v>
      </c>
      <c r="U5" s="882" t="s">
        <v>1201</v>
      </c>
      <c r="V5" s="875" t="s">
        <v>605</v>
      </c>
      <c r="W5" s="689" t="s">
        <v>939</v>
      </c>
      <c r="X5" s="729" t="s">
        <v>940</v>
      </c>
      <c r="Y5" s="729" t="s">
        <v>940</v>
      </c>
    </row>
    <row r="6" spans="1:28" s="687" customFormat="1" x14ac:dyDescent="0.25">
      <c r="A6" s="686"/>
      <c r="B6" s="1191" t="s">
        <v>959</v>
      </c>
      <c r="C6" s="1191">
        <v>1006</v>
      </c>
      <c r="D6" s="976" t="s">
        <v>99</v>
      </c>
      <c r="E6" s="976" t="s">
        <v>100</v>
      </c>
      <c r="F6" s="976"/>
      <c r="G6" s="973">
        <v>228460000</v>
      </c>
      <c r="H6" s="974">
        <v>222905000</v>
      </c>
      <c r="I6" s="974">
        <v>68538000</v>
      </c>
      <c r="J6" s="1115">
        <v>91384000</v>
      </c>
      <c r="K6" s="975">
        <v>51838000</v>
      </c>
      <c r="L6" s="974"/>
      <c r="M6" s="974">
        <f t="shared" ref="M6" si="0">SUM(I6:L6)</f>
        <v>211760000</v>
      </c>
      <c r="N6" s="991" t="e">
        <f>IF(H6="",G6-M6-#REF!,H6-M6-#REF!)</f>
        <v>#REF!</v>
      </c>
      <c r="O6" s="991"/>
      <c r="P6" s="1013">
        <f t="shared" ref="P6:P7" si="1">IF($H6="",($G6-$M6),($H6-$M6))</f>
        <v>11145000</v>
      </c>
      <c r="Q6" s="976"/>
      <c r="R6" s="977"/>
      <c r="S6" s="974" t="s">
        <v>962</v>
      </c>
      <c r="T6" s="1147"/>
      <c r="U6" s="974"/>
      <c r="V6" s="976"/>
      <c r="W6" s="693" t="s">
        <v>943</v>
      </c>
      <c r="X6" s="687" t="s">
        <v>955</v>
      </c>
      <c r="Y6" s="687">
        <v>4258000</v>
      </c>
      <c r="AB6" s="686"/>
    </row>
    <row r="7" spans="1:28" x14ac:dyDescent="0.25">
      <c r="B7" s="1191" t="s">
        <v>959</v>
      </c>
      <c r="C7" s="1191">
        <v>1006</v>
      </c>
      <c r="D7" s="976" t="s">
        <v>947</v>
      </c>
      <c r="E7" s="976"/>
      <c r="F7" s="976"/>
      <c r="G7" s="973">
        <v>19614000</v>
      </c>
      <c r="H7" s="974"/>
      <c r="I7" s="974">
        <f>Y7</f>
        <v>4258000</v>
      </c>
      <c r="J7" s="974"/>
      <c r="K7" s="975"/>
      <c r="L7" s="974"/>
      <c r="M7" s="974">
        <f t="shared" ref="M7" si="2">SUM(I7:L7)</f>
        <v>4258000</v>
      </c>
      <c r="N7" s="991" t="e">
        <f>IF(H7="",G7-M7-#REF!,H7-M7-#REF!)</f>
        <v>#REF!</v>
      </c>
      <c r="O7" s="991"/>
      <c r="P7" s="1013">
        <f t="shared" si="1"/>
        <v>15356000</v>
      </c>
      <c r="Q7" s="976"/>
      <c r="R7" s="977"/>
      <c r="S7" s="974"/>
      <c r="T7" s="1147"/>
      <c r="U7" s="974"/>
      <c r="V7" s="976"/>
      <c r="W7" s="693"/>
      <c r="X7" s="1000" t="s">
        <v>948</v>
      </c>
      <c r="Y7" s="1000">
        <f>SUM(Y6:Y6)</f>
        <v>4258000</v>
      </c>
    </row>
    <row r="8" spans="1:28" s="723" customFormat="1" ht="15.75" x14ac:dyDescent="0.25">
      <c r="B8" s="720" t="s">
        <v>949</v>
      </c>
      <c r="C8" s="720">
        <v>1006</v>
      </c>
      <c r="D8" s="699" t="s">
        <v>984</v>
      </c>
      <c r="E8" s="700"/>
      <c r="F8" s="700"/>
      <c r="G8" s="724"/>
      <c r="H8" s="702"/>
      <c r="I8" s="701"/>
      <c r="J8" s="702"/>
      <c r="K8" s="726"/>
      <c r="L8" s="702"/>
      <c r="M8" s="707">
        <f>SUM(M6:M7)</f>
        <v>216018000</v>
      </c>
      <c r="N8" s="707" t="e">
        <f>SUM(N6:N7)</f>
        <v>#REF!</v>
      </c>
      <c r="O8" s="707"/>
      <c r="P8" s="869">
        <f>SUM(P6:P7)</f>
        <v>26501000</v>
      </c>
      <c r="Q8" s="700"/>
      <c r="R8" s="704"/>
      <c r="S8" s="742"/>
      <c r="T8" s="1148"/>
      <c r="U8" s="742"/>
      <c r="V8" s="705"/>
      <c r="W8" s="706"/>
      <c r="X8" s="722"/>
      <c r="Y8" s="722"/>
      <c r="Z8" s="722"/>
      <c r="AA8" s="722"/>
    </row>
    <row r="9" spans="1:28" s="687" customFormat="1" x14ac:dyDescent="0.25">
      <c r="A9" s="686"/>
      <c r="B9" s="1191" t="s">
        <v>986</v>
      </c>
      <c r="C9" s="1191"/>
      <c r="D9" s="976" t="s">
        <v>99</v>
      </c>
      <c r="E9" s="976" t="s">
        <v>100</v>
      </c>
      <c r="F9" s="976"/>
      <c r="G9" s="973">
        <v>112180000</v>
      </c>
      <c r="H9" s="974">
        <v>124592000</v>
      </c>
      <c r="I9" s="974">
        <v>33645000</v>
      </c>
      <c r="J9" s="1115">
        <v>44872000</v>
      </c>
      <c r="K9" s="975">
        <v>39846000</v>
      </c>
      <c r="L9" s="974"/>
      <c r="M9" s="974">
        <f t="shared" ref="M9:M11" si="3">SUM(I9:L9)</f>
        <v>118363000</v>
      </c>
      <c r="N9" s="991" t="e">
        <f>IF(H9="",G9-M9-#REF!,H9-M9-#REF!)</f>
        <v>#REF!</v>
      </c>
      <c r="O9" s="991"/>
      <c r="P9" s="1013">
        <f t="shared" ref="P9:P16" si="4">IF($H9="",($G9-$M9),($H9-$M9))</f>
        <v>6229000</v>
      </c>
      <c r="Q9" s="976" t="s">
        <v>725</v>
      </c>
      <c r="R9" s="977"/>
      <c r="S9" s="974"/>
      <c r="T9" s="1147"/>
      <c r="U9" s="974"/>
      <c r="V9" s="976"/>
      <c r="W9" s="693" t="s">
        <v>943</v>
      </c>
      <c r="X9" s="687" t="s">
        <v>955</v>
      </c>
      <c r="Y9" s="687">
        <v>1700000</v>
      </c>
      <c r="AB9" s="686"/>
    </row>
    <row r="10" spans="1:28" s="687" customFormat="1" x14ac:dyDescent="0.25">
      <c r="A10" s="686"/>
      <c r="B10" s="1191" t="s">
        <v>986</v>
      </c>
      <c r="C10" s="1191"/>
      <c r="D10" s="976" t="s">
        <v>107</v>
      </c>
      <c r="E10" s="976" t="s">
        <v>156</v>
      </c>
      <c r="F10" s="976"/>
      <c r="G10" s="973">
        <v>21640000</v>
      </c>
      <c r="H10" s="974"/>
      <c r="I10" s="974">
        <v>6000000</v>
      </c>
      <c r="J10" s="1115">
        <v>12000000</v>
      </c>
      <c r="K10" s="975"/>
      <c r="L10" s="974"/>
      <c r="M10" s="974">
        <f t="shared" si="3"/>
        <v>18000000</v>
      </c>
      <c r="N10" s="991" t="e">
        <f>IF(H10="",G10-M10-#REF!,H10-M10-#REF!)</f>
        <v>#REF!</v>
      </c>
      <c r="O10" s="991"/>
      <c r="P10" s="1013">
        <f t="shared" si="4"/>
        <v>3640000</v>
      </c>
      <c r="Q10" s="976"/>
      <c r="R10" s="977"/>
      <c r="S10" s="974"/>
      <c r="T10" s="1147"/>
      <c r="U10" s="974"/>
      <c r="V10" s="976"/>
      <c r="W10" s="693"/>
      <c r="X10" s="687" t="s">
        <v>961</v>
      </c>
      <c r="Y10" s="687">
        <v>1280000</v>
      </c>
      <c r="AB10" s="686"/>
    </row>
    <row r="11" spans="1:28" x14ac:dyDescent="0.25">
      <c r="B11" s="1191" t="s">
        <v>986</v>
      </c>
      <c r="C11" s="1191"/>
      <c r="D11" s="976" t="s">
        <v>947</v>
      </c>
      <c r="E11" s="976"/>
      <c r="F11" s="976"/>
      <c r="G11" s="973">
        <v>10437000</v>
      </c>
      <c r="H11" s="974"/>
      <c r="I11" s="974">
        <f>Y11</f>
        <v>2980000</v>
      </c>
      <c r="J11" s="974"/>
      <c r="K11" s="975"/>
      <c r="L11" s="974"/>
      <c r="M11" s="974">
        <f t="shared" si="3"/>
        <v>2980000</v>
      </c>
      <c r="N11" s="991" t="e">
        <f>IF(H11="",G11-M11-#REF!,H11-M11-#REF!)</f>
        <v>#REF!</v>
      </c>
      <c r="O11" s="991"/>
      <c r="P11" s="1013">
        <f t="shared" si="4"/>
        <v>7457000</v>
      </c>
      <c r="Q11" s="976"/>
      <c r="R11" s="977"/>
      <c r="S11" s="974"/>
      <c r="T11" s="1147"/>
      <c r="U11" s="974"/>
      <c r="V11" s="976"/>
      <c r="W11" s="693"/>
      <c r="X11" s="687" t="s">
        <v>948</v>
      </c>
      <c r="Y11" s="687">
        <f>SUM(Y9:Y10)</f>
        <v>2980000</v>
      </c>
    </row>
    <row r="12" spans="1:28" s="723" customFormat="1" ht="15.75" x14ac:dyDescent="0.25">
      <c r="B12" s="720" t="s">
        <v>949</v>
      </c>
      <c r="C12" s="720"/>
      <c r="D12" s="699" t="s">
        <v>991</v>
      </c>
      <c r="E12" s="700"/>
      <c r="F12" s="700"/>
      <c r="G12" s="724"/>
      <c r="H12" s="702"/>
      <c r="I12" s="701"/>
      <c r="J12" s="702"/>
      <c r="K12" s="726"/>
      <c r="L12" s="702"/>
      <c r="M12" s="703">
        <f>SUM(M9:M11)</f>
        <v>139343000</v>
      </c>
      <c r="N12" s="703" t="e">
        <f>SUM(N9:N11)</f>
        <v>#REF!</v>
      </c>
      <c r="O12" s="703"/>
      <c r="P12" s="869">
        <f>SUM(P9:P11)</f>
        <v>17326000</v>
      </c>
      <c r="Q12" s="700"/>
      <c r="R12" s="704"/>
      <c r="S12" s="742"/>
      <c r="T12" s="1148"/>
      <c r="U12" s="742"/>
      <c r="V12" s="705"/>
      <c r="W12" s="706"/>
      <c r="X12" s="722"/>
      <c r="Y12" s="722"/>
      <c r="Z12" s="722"/>
      <c r="AA12" s="722"/>
    </row>
    <row r="13" spans="1:28" s="687" customFormat="1" x14ac:dyDescent="0.25">
      <c r="A13" s="686"/>
      <c r="B13" s="1191" t="s">
        <v>762</v>
      </c>
      <c r="C13" s="1191">
        <v>1014</v>
      </c>
      <c r="D13" s="976" t="s">
        <v>215</v>
      </c>
      <c r="E13" s="976" t="s">
        <v>216</v>
      </c>
      <c r="F13" s="976"/>
      <c r="G13" s="973">
        <v>110176769</v>
      </c>
      <c r="H13" s="974"/>
      <c r="I13" s="974">
        <v>40064280</v>
      </c>
      <c r="J13" s="974">
        <v>40064280</v>
      </c>
      <c r="K13" s="975"/>
      <c r="L13" s="974"/>
      <c r="M13" s="974">
        <f t="shared" ref="M13:M16" si="5">SUM(I13:L13)</f>
        <v>80128560</v>
      </c>
      <c r="N13" s="991" t="e">
        <f>IF(H13="",G13-M13-#REF!,H13-M13-#REF!)</f>
        <v>#REF!</v>
      </c>
      <c r="O13" s="991"/>
      <c r="P13" s="1013">
        <f t="shared" si="4"/>
        <v>30048209</v>
      </c>
      <c r="Q13" s="976"/>
      <c r="R13" s="977"/>
      <c r="S13" s="974"/>
      <c r="T13" s="1147"/>
      <c r="U13" s="974"/>
      <c r="V13" s="976"/>
      <c r="W13" s="693" t="s">
        <v>943</v>
      </c>
      <c r="X13" s="687" t="s">
        <v>1001</v>
      </c>
      <c r="Y13" s="687">
        <v>5950000</v>
      </c>
      <c r="AB13" s="686"/>
    </row>
    <row r="14" spans="1:28" s="687" customFormat="1" x14ac:dyDescent="0.25">
      <c r="A14" s="686"/>
      <c r="B14" s="1191" t="s">
        <v>762</v>
      </c>
      <c r="C14" s="1191">
        <v>1014</v>
      </c>
      <c r="D14" s="976" t="s">
        <v>99</v>
      </c>
      <c r="E14" s="976" t="s">
        <v>100</v>
      </c>
      <c r="F14" s="976"/>
      <c r="G14" s="973">
        <v>230040000</v>
      </c>
      <c r="H14" s="974">
        <v>230330000</v>
      </c>
      <c r="I14" s="974">
        <v>69012000</v>
      </c>
      <c r="J14" s="974">
        <v>149801500</v>
      </c>
      <c r="K14" s="975"/>
      <c r="L14" s="974"/>
      <c r="M14" s="974">
        <f t="shared" si="5"/>
        <v>218813500</v>
      </c>
      <c r="N14" s="991" t="e">
        <f>IF(H14="",G14-M14-#REF!,H14-M14-#REF!)</f>
        <v>#REF!</v>
      </c>
      <c r="O14" s="991"/>
      <c r="P14" s="1013">
        <f t="shared" si="4"/>
        <v>11516500</v>
      </c>
      <c r="Q14" s="976"/>
      <c r="R14" s="977"/>
      <c r="S14" s="974"/>
      <c r="T14" s="1147"/>
      <c r="U14" s="974"/>
      <c r="V14" s="976"/>
      <c r="W14" s="693" t="s">
        <v>943</v>
      </c>
      <c r="X14" s="687" t="s">
        <v>1003</v>
      </c>
      <c r="Y14" s="687">
        <v>300000</v>
      </c>
      <c r="AB14" s="686"/>
    </row>
    <row r="15" spans="1:28" s="687" customFormat="1" x14ac:dyDescent="0.25">
      <c r="A15" s="686"/>
      <c r="B15" s="1191" t="s">
        <v>762</v>
      </c>
      <c r="C15" s="1191">
        <v>1014</v>
      </c>
      <c r="D15" s="976" t="s">
        <v>1007</v>
      </c>
      <c r="E15" s="976" t="s">
        <v>229</v>
      </c>
      <c r="F15" s="976"/>
      <c r="G15" s="973">
        <v>33258500</v>
      </c>
      <c r="H15" s="974">
        <v>30195000</v>
      </c>
      <c r="I15" s="974">
        <v>16629000</v>
      </c>
      <c r="J15" s="974"/>
      <c r="K15" s="975"/>
      <c r="L15" s="974"/>
      <c r="M15" s="974">
        <f t="shared" si="5"/>
        <v>16629000</v>
      </c>
      <c r="N15" s="991" t="e">
        <f>IF(H15="",G15-M15-#REF!,H15-M15-#REF!)</f>
        <v>#REF!</v>
      </c>
      <c r="O15" s="991"/>
      <c r="P15" s="1013">
        <f t="shared" si="4"/>
        <v>13566000</v>
      </c>
      <c r="Q15" s="976"/>
      <c r="R15" s="977"/>
      <c r="S15" s="974"/>
      <c r="T15" s="1147"/>
      <c r="U15" s="974"/>
      <c r="V15" s="976"/>
      <c r="W15" s="693" t="s">
        <v>943</v>
      </c>
      <c r="X15" s="687" t="s">
        <v>1008</v>
      </c>
      <c r="Y15" s="687">
        <v>3280000</v>
      </c>
      <c r="AB15" s="686"/>
    </row>
    <row r="16" spans="1:28" x14ac:dyDescent="0.25">
      <c r="B16" s="1191" t="s">
        <v>762</v>
      </c>
      <c r="C16" s="1191">
        <v>1014</v>
      </c>
      <c r="D16" s="976" t="s">
        <v>947</v>
      </c>
      <c r="E16" s="976"/>
      <c r="F16" s="976"/>
      <c r="G16" s="973">
        <v>34202000</v>
      </c>
      <c r="H16" s="974"/>
      <c r="I16" s="974">
        <f>Y16</f>
        <v>9530000</v>
      </c>
      <c r="J16" s="974"/>
      <c r="K16" s="975"/>
      <c r="L16" s="974"/>
      <c r="M16" s="974">
        <f t="shared" si="5"/>
        <v>9530000</v>
      </c>
      <c r="N16" s="991" t="e">
        <f>IF(H16="",G16-M16-#REF!,H16-M16-#REF!)</f>
        <v>#REF!</v>
      </c>
      <c r="O16" s="991"/>
      <c r="P16" s="1013">
        <f t="shared" si="4"/>
        <v>24672000</v>
      </c>
      <c r="Q16" s="976"/>
      <c r="R16" s="977"/>
      <c r="S16" s="974"/>
      <c r="T16" s="1147"/>
      <c r="U16" s="974"/>
      <c r="V16" s="976"/>
      <c r="W16" s="693"/>
      <c r="X16" s="687" t="s">
        <v>948</v>
      </c>
      <c r="Y16" s="687">
        <f>SUM(Y13:Y15)</f>
        <v>9530000</v>
      </c>
    </row>
    <row r="17" spans="1:28" s="723" customFormat="1" ht="15.75" x14ac:dyDescent="0.25">
      <c r="B17" s="720" t="s">
        <v>949</v>
      </c>
      <c r="C17" s="720">
        <v>1014</v>
      </c>
      <c r="D17" s="699" t="s">
        <v>762</v>
      </c>
      <c r="E17" s="700"/>
      <c r="F17" s="700"/>
      <c r="G17" s="724"/>
      <c r="H17" s="702"/>
      <c r="I17" s="701"/>
      <c r="J17" s="702"/>
      <c r="K17" s="726"/>
      <c r="L17" s="702"/>
      <c r="M17" s="707">
        <f>SUM(M13:M16)</f>
        <v>325101060</v>
      </c>
      <c r="N17" s="707" t="e">
        <f>SUM(N13:N16)</f>
        <v>#REF!</v>
      </c>
      <c r="O17" s="707"/>
      <c r="P17" s="869">
        <f>SUM(P13:P16)</f>
        <v>79802709</v>
      </c>
      <c r="Q17" s="700"/>
      <c r="R17" s="704"/>
      <c r="S17" s="742"/>
      <c r="T17" s="1148"/>
      <c r="U17" s="742"/>
      <c r="V17" s="705"/>
      <c r="W17" s="706"/>
      <c r="X17" s="722"/>
      <c r="Y17" s="722"/>
      <c r="Z17" s="722"/>
      <c r="AA17" s="722"/>
    </row>
    <row r="18" spans="1:28" x14ac:dyDescent="0.25">
      <c r="B18" s="1191" t="s">
        <v>1017</v>
      </c>
      <c r="C18" s="1191">
        <v>1003</v>
      </c>
      <c r="D18" s="976" t="s">
        <v>691</v>
      </c>
      <c r="E18" s="976"/>
      <c r="F18" s="1024">
        <v>20717097.5</v>
      </c>
      <c r="G18" s="973">
        <v>41434195</v>
      </c>
      <c r="H18" s="974"/>
      <c r="I18" s="974"/>
      <c r="J18" s="974"/>
      <c r="K18" s="975"/>
      <c r="L18" s="974"/>
      <c r="M18" s="974">
        <f t="shared" ref="M18:M20" si="6">SUM(I18:L18)</f>
        <v>0</v>
      </c>
      <c r="N18" s="991" t="e">
        <f>IF(H18="",G18-M18-#REF!,H18-M18-#REF!)</f>
        <v>#REF!</v>
      </c>
      <c r="O18" s="991">
        <f>F18+M18</f>
        <v>20717097.5</v>
      </c>
      <c r="P18" s="1013">
        <f>IF($H18="",($G18-$O18),($H18-$O18))</f>
        <v>20717097.5</v>
      </c>
      <c r="Q18" s="976"/>
      <c r="R18" s="977"/>
      <c r="S18" s="974"/>
      <c r="T18" s="1147"/>
      <c r="U18" s="974"/>
      <c r="V18" s="976"/>
      <c r="W18" s="693"/>
      <c r="X18" s="687" t="s">
        <v>1016</v>
      </c>
      <c r="Y18" s="687">
        <v>2237500</v>
      </c>
    </row>
    <row r="19" spans="1:28" s="687" customFormat="1" x14ac:dyDescent="0.25">
      <c r="A19" s="686"/>
      <c r="B19" s="1191" t="s">
        <v>1017</v>
      </c>
      <c r="C19" s="1191">
        <v>1003</v>
      </c>
      <c r="D19" s="976" t="s">
        <v>99</v>
      </c>
      <c r="E19" s="976" t="s">
        <v>100</v>
      </c>
      <c r="F19" s="1024">
        <v>14964500</v>
      </c>
      <c r="G19" s="973"/>
      <c r="H19" s="974">
        <v>299315000</v>
      </c>
      <c r="I19" s="974"/>
      <c r="J19" s="974"/>
      <c r="K19" s="975"/>
      <c r="L19" s="974"/>
      <c r="M19" s="974">
        <f t="shared" si="6"/>
        <v>0</v>
      </c>
      <c r="N19" s="991" t="e">
        <f>IF(H19="",G19-M19-#REF!,H19-M19-#REF!)</f>
        <v>#REF!</v>
      </c>
      <c r="O19" s="991">
        <f t="shared" ref="O19:O21" si="7">F19+M19</f>
        <v>14964500</v>
      </c>
      <c r="P19" s="1013">
        <f t="shared" ref="P19:P21" si="8">IF($H19="",($G19-$O19),($H19-$O19))</f>
        <v>284350500</v>
      </c>
      <c r="Q19" s="976"/>
      <c r="R19" s="977"/>
      <c r="S19" s="974"/>
      <c r="T19" s="1147"/>
      <c r="U19" s="974"/>
      <c r="V19" s="976"/>
      <c r="W19" s="693" t="s">
        <v>943</v>
      </c>
      <c r="AB19" s="686"/>
    </row>
    <row r="20" spans="1:28" s="687" customFormat="1" x14ac:dyDescent="0.25">
      <c r="A20" s="686"/>
      <c r="B20" s="1191" t="s">
        <v>1017</v>
      </c>
      <c r="C20" s="1191">
        <v>1003</v>
      </c>
      <c r="D20" s="976" t="s">
        <v>132</v>
      </c>
      <c r="E20" s="976" t="s">
        <v>799</v>
      </c>
      <c r="F20" s="1024">
        <v>4739000</v>
      </c>
      <c r="G20" s="973">
        <v>6770000</v>
      </c>
      <c r="H20" s="974"/>
      <c r="I20" s="974"/>
      <c r="J20" s="974"/>
      <c r="K20" s="975"/>
      <c r="L20" s="974"/>
      <c r="M20" s="974">
        <f t="shared" si="6"/>
        <v>0</v>
      </c>
      <c r="N20" s="991" t="e">
        <f>IF(H20="",G20-M20-#REF!,H20-M20-#REF!)</f>
        <v>#REF!</v>
      </c>
      <c r="O20" s="991">
        <f t="shared" si="7"/>
        <v>4739000</v>
      </c>
      <c r="P20" s="1013">
        <f t="shared" si="8"/>
        <v>2031000</v>
      </c>
      <c r="Q20" s="976"/>
      <c r="R20" s="977"/>
      <c r="S20" s="974"/>
      <c r="T20" s="1147"/>
      <c r="U20" s="974"/>
      <c r="V20" s="976"/>
      <c r="W20" s="693" t="s">
        <v>943</v>
      </c>
      <c r="AB20" s="686"/>
    </row>
    <row r="21" spans="1:28" x14ac:dyDescent="0.25">
      <c r="B21" s="1191" t="s">
        <v>1017</v>
      </c>
      <c r="C21" s="1191">
        <v>1003</v>
      </c>
      <c r="D21" s="976" t="s">
        <v>947</v>
      </c>
      <c r="E21" s="976"/>
      <c r="F21" s="1024">
        <v>7057000</v>
      </c>
      <c r="G21" s="973">
        <v>9294500</v>
      </c>
      <c r="H21" s="974"/>
      <c r="I21" s="974"/>
      <c r="J21" s="974"/>
      <c r="K21" s="975"/>
      <c r="L21" s="974"/>
      <c r="M21" s="974">
        <f>SUM(I21:L21)</f>
        <v>0</v>
      </c>
      <c r="N21" s="991" t="e">
        <f>IF(H21="",G21-M21-#REF!,H21-M21-#REF!)</f>
        <v>#REF!</v>
      </c>
      <c r="O21" s="991">
        <f t="shared" si="7"/>
        <v>7057000</v>
      </c>
      <c r="P21" s="1013">
        <f t="shared" si="8"/>
        <v>2237500</v>
      </c>
      <c r="Q21" s="976"/>
      <c r="R21" s="977"/>
      <c r="S21" s="974"/>
      <c r="T21" s="1147"/>
      <c r="U21" s="974"/>
      <c r="V21" s="976"/>
      <c r="W21" s="693"/>
      <c r="X21" s="687" t="s">
        <v>948</v>
      </c>
      <c r="Y21" s="687">
        <f>SUM(Y18:Y20)</f>
        <v>2237500</v>
      </c>
    </row>
    <row r="22" spans="1:28" s="723" customFormat="1" ht="15.75" x14ac:dyDescent="0.25">
      <c r="B22" s="720" t="s">
        <v>949</v>
      </c>
      <c r="C22" s="720">
        <v>1003</v>
      </c>
      <c r="D22" s="699" t="s">
        <v>1025</v>
      </c>
      <c r="E22" s="700"/>
      <c r="F22" s="700"/>
      <c r="G22" s="724"/>
      <c r="H22" s="702"/>
      <c r="I22" s="701"/>
      <c r="J22" s="702"/>
      <c r="K22" s="726"/>
      <c r="L22" s="702"/>
      <c r="M22" s="707">
        <f>SUM(M18:M21)</f>
        <v>0</v>
      </c>
      <c r="N22" s="707" t="e">
        <f>SUM(N18:N21)</f>
        <v>#REF!</v>
      </c>
      <c r="O22" s="707"/>
      <c r="P22" s="869">
        <f>SUM(P18:P21)</f>
        <v>309336097.5</v>
      </c>
      <c r="Q22" s="700"/>
      <c r="R22" s="704"/>
      <c r="S22" s="742"/>
      <c r="T22" s="1148"/>
      <c r="U22" s="742"/>
      <c r="V22" s="705"/>
      <c r="W22" s="706"/>
      <c r="X22" s="722"/>
      <c r="Y22" s="722"/>
      <c r="Z22" s="722"/>
      <c r="AA22" s="722"/>
    </row>
    <row r="23" spans="1:28" x14ac:dyDescent="0.25">
      <c r="B23" s="1191" t="s">
        <v>1037</v>
      </c>
      <c r="C23" s="1191">
        <v>1002</v>
      </c>
      <c r="D23" s="976" t="s">
        <v>346</v>
      </c>
      <c r="E23" s="976" t="s">
        <v>857</v>
      </c>
      <c r="F23" s="1024">
        <v>40393915</v>
      </c>
      <c r="G23" s="973">
        <v>80787830</v>
      </c>
      <c r="H23" s="974"/>
      <c r="I23" s="974"/>
      <c r="J23" s="974"/>
      <c r="K23" s="975"/>
      <c r="L23" s="974"/>
      <c r="M23" s="974">
        <f t="shared" ref="M23:M26" si="9">SUM(I23:L23)</f>
        <v>0</v>
      </c>
      <c r="N23" s="991" t="e">
        <f>IF(H23="",G23-M23-#REF!,H23-M23-#REF!)</f>
        <v>#REF!</v>
      </c>
      <c r="O23" s="991"/>
      <c r="P23" s="1013"/>
      <c r="Q23" s="976"/>
      <c r="R23" s="977"/>
      <c r="S23" s="974"/>
      <c r="T23" s="1147"/>
      <c r="U23" s="974"/>
      <c r="V23" s="976"/>
      <c r="W23" s="693"/>
      <c r="X23" s="687" t="s">
        <v>1006</v>
      </c>
      <c r="Y23" s="687">
        <v>3692000</v>
      </c>
    </row>
    <row r="24" spans="1:28" x14ac:dyDescent="0.25">
      <c r="B24" s="1191" t="s">
        <v>1037</v>
      </c>
      <c r="C24" s="1191">
        <v>1002</v>
      </c>
      <c r="D24" s="976" t="s">
        <v>858</v>
      </c>
      <c r="E24" s="976" t="s">
        <v>859</v>
      </c>
      <c r="F24" s="1024">
        <v>40500000</v>
      </c>
      <c r="G24" s="1108">
        <v>135000000</v>
      </c>
      <c r="H24" s="974"/>
      <c r="I24" s="974"/>
      <c r="J24" s="974"/>
      <c r="K24" s="975"/>
      <c r="L24" s="974"/>
      <c r="M24" s="974">
        <f t="shared" si="9"/>
        <v>0</v>
      </c>
      <c r="N24" s="991" t="e">
        <f>IF(H24="",G24-M24-#REF!,H24-M24-#REF!)</f>
        <v>#REF!</v>
      </c>
      <c r="O24" s="991"/>
      <c r="P24" s="1013"/>
      <c r="Q24" s="976" t="s">
        <v>860</v>
      </c>
      <c r="R24" s="977">
        <v>43909</v>
      </c>
      <c r="S24" s="974"/>
      <c r="T24" s="1147"/>
      <c r="U24" s="974"/>
      <c r="V24" s="976"/>
      <c r="W24" s="693"/>
      <c r="X24" s="687" t="s">
        <v>1008</v>
      </c>
      <c r="Y24" s="687">
        <v>940000</v>
      </c>
    </row>
    <row r="25" spans="1:28" s="687" customFormat="1" x14ac:dyDescent="0.25">
      <c r="A25" s="686"/>
      <c r="B25" s="1191" t="s">
        <v>1037</v>
      </c>
      <c r="C25" s="1191">
        <v>1002</v>
      </c>
      <c r="D25" s="976" t="s">
        <v>92</v>
      </c>
      <c r="E25" s="976" t="s">
        <v>865</v>
      </c>
      <c r="F25" s="1024">
        <v>6667650</v>
      </c>
      <c r="G25" s="973">
        <v>13335300</v>
      </c>
      <c r="H25" s="974"/>
      <c r="I25" s="974"/>
      <c r="J25" s="974"/>
      <c r="K25" s="975"/>
      <c r="L25" s="974"/>
      <c r="M25" s="974">
        <f t="shared" si="9"/>
        <v>0</v>
      </c>
      <c r="N25" s="991" t="e">
        <f>IF(H25="",G25-M25-#REF!,H25-M25-#REF!)</f>
        <v>#REF!</v>
      </c>
      <c r="O25" s="991"/>
      <c r="P25" s="1013"/>
      <c r="Q25" s="976"/>
      <c r="R25" s="977"/>
      <c r="S25" s="974"/>
      <c r="T25" s="1147"/>
      <c r="U25" s="974"/>
      <c r="V25" s="976"/>
      <c r="W25" s="693" t="s">
        <v>865</v>
      </c>
      <c r="AB25" s="686"/>
    </row>
    <row r="26" spans="1:28" x14ac:dyDescent="0.25">
      <c r="B26" s="1191" t="s">
        <v>1037</v>
      </c>
      <c r="C26" s="1191">
        <v>1002</v>
      </c>
      <c r="D26" s="976" t="s">
        <v>1233</v>
      </c>
      <c r="E26" s="976" t="s">
        <v>1234</v>
      </c>
      <c r="F26" s="1024">
        <v>30000000</v>
      </c>
      <c r="G26" s="974">
        <v>40000000</v>
      </c>
      <c r="H26" s="974"/>
      <c r="I26" s="974"/>
      <c r="J26" s="974"/>
      <c r="K26" s="975"/>
      <c r="L26" s="974"/>
      <c r="M26" s="974">
        <f t="shared" si="9"/>
        <v>0</v>
      </c>
      <c r="N26" s="991" t="e">
        <f>IF(H26="",G26-M26-#REF!,H26-M26-#REF!)</f>
        <v>#REF!</v>
      </c>
      <c r="O26" s="991"/>
      <c r="P26" s="1013"/>
      <c r="Q26" s="976"/>
      <c r="R26" s="977"/>
      <c r="S26" s="974"/>
      <c r="T26" s="1147"/>
      <c r="U26" s="974"/>
      <c r="V26" s="976"/>
      <c r="W26" s="693"/>
    </row>
    <row r="27" spans="1:28" x14ac:dyDescent="0.25">
      <c r="B27" s="1191" t="s">
        <v>1037</v>
      </c>
      <c r="C27" s="1191">
        <v>1002</v>
      </c>
      <c r="D27" s="976" t="s">
        <v>947</v>
      </c>
      <c r="E27" s="976"/>
      <c r="F27" s="1024">
        <v>34300500</v>
      </c>
      <c r="G27" s="973">
        <v>38932500</v>
      </c>
      <c r="H27" s="974"/>
      <c r="I27" s="974"/>
      <c r="J27" s="974"/>
      <c r="K27" s="975"/>
      <c r="L27" s="974"/>
      <c r="M27" s="974">
        <f>SUM(I27:L27)</f>
        <v>0</v>
      </c>
      <c r="N27" s="991" t="e">
        <f>IF(H27="",G27-M27-#REF!,H27-M27-#REF!)</f>
        <v>#REF!</v>
      </c>
      <c r="O27" s="991"/>
      <c r="P27" s="1013"/>
      <c r="Q27" s="976"/>
      <c r="R27" s="977"/>
      <c r="S27" s="974"/>
      <c r="T27" s="1147"/>
      <c r="U27" s="974"/>
      <c r="V27" s="976"/>
      <c r="W27" s="693"/>
      <c r="X27" s="687" t="s">
        <v>948</v>
      </c>
      <c r="Y27" s="687">
        <f>SUM(Y23:Y25)</f>
        <v>4632000</v>
      </c>
    </row>
    <row r="28" spans="1:28" s="723" customFormat="1" ht="15.75" x14ac:dyDescent="0.25">
      <c r="B28" s="720" t="s">
        <v>949</v>
      </c>
      <c r="C28" s="720">
        <v>1002</v>
      </c>
      <c r="D28" s="699" t="s">
        <v>850</v>
      </c>
      <c r="E28" s="700"/>
      <c r="F28" s="700"/>
      <c r="G28" s="724"/>
      <c r="H28" s="702"/>
      <c r="I28" s="701"/>
      <c r="J28" s="702"/>
      <c r="K28" s="726"/>
      <c r="L28" s="702"/>
      <c r="M28" s="707">
        <f>SUM(M23:M27)</f>
        <v>0</v>
      </c>
      <c r="N28" s="707" t="e">
        <f>SUM(N23:N27)</f>
        <v>#REF!</v>
      </c>
      <c r="O28" s="707"/>
      <c r="P28" s="869">
        <f>SUM(P23:P27)</f>
        <v>0</v>
      </c>
      <c r="Q28" s="700"/>
      <c r="R28" s="704"/>
      <c r="S28" s="742"/>
      <c r="T28" s="1148"/>
      <c r="U28" s="742"/>
      <c r="V28" s="705"/>
      <c r="W28" s="706"/>
      <c r="X28" s="722"/>
      <c r="Y28" s="722"/>
      <c r="Z28" s="722"/>
      <c r="AA28" s="722"/>
    </row>
    <row r="29" spans="1:28" x14ac:dyDescent="0.25">
      <c r="B29" s="1191" t="s">
        <v>1045</v>
      </c>
      <c r="C29" s="1191"/>
      <c r="D29" s="976" t="s">
        <v>99</v>
      </c>
      <c r="E29" s="976" t="s">
        <v>100</v>
      </c>
      <c r="F29" s="976"/>
      <c r="G29" s="973">
        <v>106810660</v>
      </c>
      <c r="H29" s="974">
        <v>146375900</v>
      </c>
      <c r="I29" s="974">
        <v>32043198</v>
      </c>
      <c r="J29" s="974">
        <v>42724624</v>
      </c>
      <c r="K29" s="975">
        <v>64289643</v>
      </c>
      <c r="L29" s="974"/>
      <c r="M29" s="974">
        <f t="shared" ref="M29:M31" si="10">SUM(I29:L29)</f>
        <v>139057465</v>
      </c>
      <c r="N29" s="991" t="e">
        <f>IF(H29="",G29-M29-#REF!,H29-M29-#REF!)</f>
        <v>#REF!</v>
      </c>
      <c r="O29" s="991"/>
      <c r="P29" s="1013">
        <f t="shared" ref="P29:P34" si="11">IF($H29="",($G29-$M29),($H29-$M29))</f>
        <v>7318435</v>
      </c>
      <c r="Q29" s="976"/>
      <c r="R29" s="977"/>
      <c r="S29" s="974"/>
      <c r="T29" s="1147"/>
      <c r="U29" s="974"/>
      <c r="V29" s="976"/>
      <c r="W29" s="693" t="s">
        <v>943</v>
      </c>
      <c r="X29" s="687" t="s">
        <v>1004</v>
      </c>
      <c r="Y29" s="687">
        <v>4450000</v>
      </c>
      <c r="Z29" s="687" t="s">
        <v>898</v>
      </c>
    </row>
    <row r="30" spans="1:28" x14ac:dyDescent="0.25">
      <c r="B30" s="1191" t="s">
        <v>1045</v>
      </c>
      <c r="C30" s="1191"/>
      <c r="D30" s="976" t="s">
        <v>442</v>
      </c>
      <c r="E30" s="976" t="s">
        <v>443</v>
      </c>
      <c r="F30" s="976"/>
      <c r="G30" s="973">
        <v>3200000</v>
      </c>
      <c r="H30" s="974"/>
      <c r="I30" s="974">
        <v>1600000</v>
      </c>
      <c r="J30" s="974"/>
      <c r="K30" s="975"/>
      <c r="L30" s="974"/>
      <c r="M30" s="974">
        <f t="shared" si="10"/>
        <v>1600000</v>
      </c>
      <c r="N30" s="991" t="e">
        <f>IF(H30="",G30-M30-#REF!,H30-M30-#REF!)</f>
        <v>#REF!</v>
      </c>
      <c r="O30" s="991"/>
      <c r="P30" s="1013">
        <f t="shared" si="11"/>
        <v>1600000</v>
      </c>
      <c r="Q30" s="976"/>
      <c r="R30" s="977"/>
      <c r="S30" s="974"/>
      <c r="T30" s="1147"/>
      <c r="U30" s="974"/>
      <c r="V30" s="976"/>
      <c r="W30" s="693" t="s">
        <v>943</v>
      </c>
    </row>
    <row r="31" spans="1:28" x14ac:dyDescent="0.25">
      <c r="B31" s="1191" t="s">
        <v>1045</v>
      </c>
      <c r="C31" s="1191"/>
      <c r="D31" s="976" t="s">
        <v>947</v>
      </c>
      <c r="E31" s="976"/>
      <c r="F31" s="976"/>
      <c r="G31" s="973">
        <v>16310000</v>
      </c>
      <c r="H31" s="974"/>
      <c r="I31" s="974">
        <f>Y31</f>
        <v>4450000</v>
      </c>
      <c r="J31" s="974"/>
      <c r="K31" s="975"/>
      <c r="L31" s="974"/>
      <c r="M31" s="974">
        <f t="shared" si="10"/>
        <v>4450000</v>
      </c>
      <c r="N31" s="991" t="e">
        <f>IF(H31="",G31-M31-#REF!,H31-M31-#REF!)</f>
        <v>#REF!</v>
      </c>
      <c r="O31" s="991"/>
      <c r="P31" s="1013">
        <f t="shared" si="11"/>
        <v>11860000</v>
      </c>
      <c r="Q31" s="976"/>
      <c r="R31" s="977"/>
      <c r="S31" s="974"/>
      <c r="T31" s="1147"/>
      <c r="U31" s="974"/>
      <c r="V31" s="976"/>
      <c r="W31" s="693"/>
      <c r="X31" s="687" t="s">
        <v>948</v>
      </c>
      <c r="Y31" s="687">
        <f>SUM(Y29:Y30)</f>
        <v>4450000</v>
      </c>
    </row>
    <row r="32" spans="1:28" s="723" customFormat="1" ht="15.75" x14ac:dyDescent="0.25">
      <c r="B32" s="720" t="s">
        <v>949</v>
      </c>
      <c r="C32" s="720"/>
      <c r="D32" s="699" t="s">
        <v>1047</v>
      </c>
      <c r="E32" s="700"/>
      <c r="F32" s="700"/>
      <c r="G32" s="724"/>
      <c r="H32" s="702"/>
      <c r="I32" s="701"/>
      <c r="J32" s="702"/>
      <c r="K32" s="726"/>
      <c r="L32" s="702"/>
      <c r="M32" s="707">
        <f>SUM(M29:M31)</f>
        <v>145107465</v>
      </c>
      <c r="N32" s="707" t="e">
        <f>SUM(N29:N31)</f>
        <v>#REF!</v>
      </c>
      <c r="O32" s="707"/>
      <c r="P32" s="869">
        <f>SUM(P29:P31)</f>
        <v>20778435</v>
      </c>
      <c r="Q32" s="700"/>
      <c r="R32" s="704"/>
      <c r="S32" s="742"/>
      <c r="T32" s="1148"/>
      <c r="U32" s="742"/>
      <c r="V32" s="705"/>
      <c r="W32" s="706"/>
      <c r="X32" s="722"/>
      <c r="Y32" s="722"/>
      <c r="Z32" s="722"/>
      <c r="AA32" s="722"/>
    </row>
    <row r="33" spans="1:28" x14ac:dyDescent="0.25">
      <c r="A33" s="686">
        <v>15</v>
      </c>
      <c r="B33" s="1191" t="s">
        <v>1050</v>
      </c>
      <c r="C33" s="1191">
        <v>1020</v>
      </c>
      <c r="D33" s="976" t="s">
        <v>75</v>
      </c>
      <c r="E33" s="976" t="s">
        <v>397</v>
      </c>
      <c r="F33" s="976"/>
      <c r="G33" s="973">
        <v>338200000</v>
      </c>
      <c r="H33" s="974"/>
      <c r="I33" s="974">
        <v>101460000</v>
      </c>
      <c r="J33" s="974">
        <v>62033100</v>
      </c>
      <c r="K33" s="975"/>
      <c r="L33" s="974"/>
      <c r="M33" s="974">
        <f>SUM(I33:L33)</f>
        <v>163493100</v>
      </c>
      <c r="N33" s="991" t="e">
        <f>IF(H33="",G33-M33-#REF!,H33-M33-#REF!)</f>
        <v>#REF!</v>
      </c>
      <c r="O33" s="991"/>
      <c r="P33" s="1013">
        <f t="shared" si="11"/>
        <v>174706900</v>
      </c>
      <c r="Q33" s="976" t="s">
        <v>923</v>
      </c>
      <c r="R33" s="977">
        <v>43816</v>
      </c>
      <c r="S33" s="974"/>
      <c r="T33" s="1147"/>
      <c r="U33" s="974"/>
      <c r="V33" s="976"/>
      <c r="W33" s="690"/>
      <c r="X33" s="687" t="s">
        <v>1051</v>
      </c>
    </row>
    <row r="34" spans="1:28" x14ac:dyDescent="0.25">
      <c r="B34" s="1191" t="s">
        <v>1050</v>
      </c>
      <c r="C34" s="1191">
        <v>1020</v>
      </c>
      <c r="D34" s="976" t="s">
        <v>99</v>
      </c>
      <c r="E34" s="976" t="s">
        <v>100</v>
      </c>
      <c r="F34" s="976"/>
      <c r="G34" s="973">
        <v>227447000.00000003</v>
      </c>
      <c r="H34" s="974">
        <v>236456100</v>
      </c>
      <c r="I34" s="974">
        <v>62033100</v>
      </c>
      <c r="J34" s="974">
        <v>90981880</v>
      </c>
      <c r="K34" s="975">
        <v>70668320</v>
      </c>
      <c r="L34" s="974"/>
      <c r="M34" s="974">
        <f t="shared" ref="M34" si="12">SUM(I34:L34)</f>
        <v>223683300</v>
      </c>
      <c r="N34" s="991" t="e">
        <f>IF(H34="",G34-M34-#REF!,H34-M34-#REF!)</f>
        <v>#REF!</v>
      </c>
      <c r="O34" s="991"/>
      <c r="P34" s="1013">
        <f t="shared" si="11"/>
        <v>12772800</v>
      </c>
      <c r="Q34" s="976"/>
      <c r="R34" s="977"/>
      <c r="S34" s="974"/>
      <c r="T34" s="1147"/>
      <c r="U34" s="974"/>
      <c r="V34" s="976"/>
      <c r="W34" s="693" t="s">
        <v>943</v>
      </c>
      <c r="X34" s="687" t="s">
        <v>1018</v>
      </c>
      <c r="Y34" s="687">
        <v>6210000</v>
      </c>
      <c r="Z34" s="687" t="s">
        <v>1052</v>
      </c>
    </row>
    <row r="35" spans="1:28" s="723" customFormat="1" ht="15.75" x14ac:dyDescent="0.25">
      <c r="B35" s="720" t="s">
        <v>997</v>
      </c>
      <c r="C35" s="720">
        <v>1020</v>
      </c>
      <c r="D35" s="699" t="s">
        <v>922</v>
      </c>
      <c r="E35" s="700"/>
      <c r="F35" s="700"/>
      <c r="G35" s="724"/>
      <c r="H35" s="702"/>
      <c r="I35" s="701"/>
      <c r="J35" s="702"/>
      <c r="K35" s="726"/>
      <c r="L35" s="702"/>
      <c r="M35" s="707">
        <f>SUM(M33:M34)</f>
        <v>387176400</v>
      </c>
      <c r="N35" s="707" t="e">
        <f>SUM(N33:N34)</f>
        <v>#REF!</v>
      </c>
      <c r="O35" s="707"/>
      <c r="P35" s="869">
        <f>SUM(P33:P34)</f>
        <v>187479700</v>
      </c>
      <c r="Q35" s="700"/>
      <c r="R35" s="704"/>
      <c r="S35" s="742"/>
      <c r="T35" s="1148"/>
      <c r="U35" s="742"/>
      <c r="V35" s="705"/>
      <c r="W35" s="705"/>
      <c r="X35" s="722"/>
      <c r="Y35" s="722"/>
      <c r="Z35" s="722"/>
      <c r="AA35" s="722"/>
    </row>
    <row r="36" spans="1:28" x14ac:dyDescent="0.25">
      <c r="B36" s="1191" t="s">
        <v>1068</v>
      </c>
      <c r="C36" s="1191">
        <v>1029</v>
      </c>
      <c r="D36" s="976" t="s">
        <v>1085</v>
      </c>
      <c r="E36" s="976" t="s">
        <v>887</v>
      </c>
      <c r="F36" s="976"/>
      <c r="G36" s="1108">
        <v>40000000</v>
      </c>
      <c r="H36" s="974">
        <v>65700000</v>
      </c>
      <c r="I36" s="973">
        <v>20000000</v>
      </c>
      <c r="J36" s="974">
        <v>20000000</v>
      </c>
      <c r="K36" s="975">
        <v>15700000</v>
      </c>
      <c r="L36" s="974"/>
      <c r="M36" s="974">
        <f t="shared" ref="M36:M37" si="13">SUM(I36:L36)</f>
        <v>55700000</v>
      </c>
      <c r="N36" s="991" t="e">
        <f>IF(H36="",G36-M36-#REF!,H36-M36-#REF!)</f>
        <v>#REF!</v>
      </c>
      <c r="O36" s="991"/>
      <c r="P36" s="1013">
        <f t="shared" ref="P36:P53" si="14">IF($H36="",($G36-$M36),($H36-$M36))</f>
        <v>10000000</v>
      </c>
      <c r="Q36" s="976"/>
      <c r="R36" s="977"/>
      <c r="S36" s="974"/>
      <c r="T36" s="1147"/>
      <c r="U36" s="974"/>
      <c r="V36" s="976"/>
    </row>
    <row r="37" spans="1:28" x14ac:dyDescent="0.25">
      <c r="B37" s="1191" t="s">
        <v>1068</v>
      </c>
      <c r="C37" s="1191">
        <v>1029</v>
      </c>
      <c r="D37" s="976" t="s">
        <v>947</v>
      </c>
      <c r="E37" s="976"/>
      <c r="F37" s="976"/>
      <c r="G37" s="973">
        <v>8150000</v>
      </c>
      <c r="H37" s="974"/>
      <c r="I37" s="973">
        <f>Y37</f>
        <v>0</v>
      </c>
      <c r="J37" s="974"/>
      <c r="K37" s="975"/>
      <c r="L37" s="974"/>
      <c r="M37" s="974">
        <f t="shared" si="13"/>
        <v>0</v>
      </c>
      <c r="N37" s="991" t="e">
        <f>IF(H37="",G37-M37-#REF!,H37-M37-#REF!)</f>
        <v>#REF!</v>
      </c>
      <c r="O37" s="991"/>
      <c r="P37" s="1013">
        <f t="shared" si="14"/>
        <v>8150000</v>
      </c>
      <c r="Q37" s="976"/>
      <c r="R37" s="977"/>
      <c r="S37" s="974"/>
      <c r="T37" s="1147"/>
      <c r="U37" s="974"/>
      <c r="V37" s="976"/>
      <c r="X37" s="1000" t="s">
        <v>948</v>
      </c>
      <c r="Y37" s="1000">
        <f>SUM(Y36:Y36)</f>
        <v>0</v>
      </c>
    </row>
    <row r="38" spans="1:28" s="723" customFormat="1" ht="15.75" x14ac:dyDescent="0.25">
      <c r="B38" s="720" t="s">
        <v>997</v>
      </c>
      <c r="C38" s="720">
        <v>1029</v>
      </c>
      <c r="D38" s="699" t="s">
        <v>1068</v>
      </c>
      <c r="E38" s="700"/>
      <c r="F38" s="700"/>
      <c r="G38" s="724"/>
      <c r="H38" s="702"/>
      <c r="I38" s="711"/>
      <c r="J38" s="701"/>
      <c r="K38" s="726"/>
      <c r="L38" s="702"/>
      <c r="M38" s="707">
        <f>SUM(M36:M37)</f>
        <v>55700000</v>
      </c>
      <c r="N38" s="707" t="e">
        <f>SUM(N36:N37)</f>
        <v>#REF!</v>
      </c>
      <c r="O38" s="707"/>
      <c r="P38" s="869">
        <f>SUM(P36:P37)</f>
        <v>18150000</v>
      </c>
      <c r="Q38" s="700"/>
      <c r="R38" s="704"/>
      <c r="S38" s="742"/>
      <c r="T38" s="1148"/>
      <c r="U38" s="742"/>
      <c r="V38" s="705"/>
      <c r="W38" s="705"/>
      <c r="X38" s="722"/>
      <c r="Y38" s="722"/>
      <c r="Z38" s="722"/>
      <c r="AA38" s="722"/>
    </row>
    <row r="39" spans="1:28" s="687" customFormat="1" x14ac:dyDescent="0.25">
      <c r="A39" s="686"/>
      <c r="B39" s="1191" t="s">
        <v>1096</v>
      </c>
      <c r="C39" s="1191">
        <v>1017</v>
      </c>
      <c r="D39" s="976" t="s">
        <v>1399</v>
      </c>
      <c r="E39" s="976" t="s">
        <v>1400</v>
      </c>
      <c r="F39" s="976"/>
      <c r="G39" s="1014">
        <v>182235000</v>
      </c>
      <c r="H39" s="974"/>
      <c r="I39" s="1014">
        <v>54000000</v>
      </c>
      <c r="J39" s="974">
        <v>72000000</v>
      </c>
      <c r="K39" s="975"/>
      <c r="L39" s="974"/>
      <c r="M39" s="974">
        <f t="shared" ref="M39:M40" si="15">SUM(I39:L39)</f>
        <v>126000000</v>
      </c>
      <c r="N39" s="991"/>
      <c r="O39" s="991"/>
      <c r="P39" s="1013">
        <f t="shared" si="14"/>
        <v>56235000</v>
      </c>
      <c r="Q39" s="976"/>
      <c r="R39" s="977"/>
      <c r="S39" s="974"/>
      <c r="T39" s="1147"/>
      <c r="U39" s="974"/>
      <c r="V39" s="976"/>
      <c r="W39" s="686"/>
      <c r="AB39" s="686"/>
    </row>
    <row r="40" spans="1:28" s="687" customFormat="1" x14ac:dyDescent="0.25">
      <c r="A40" s="686"/>
      <c r="B40" s="1191" t="s">
        <v>1096</v>
      </c>
      <c r="C40" s="1191">
        <v>1017</v>
      </c>
      <c r="D40" s="976" t="s">
        <v>947</v>
      </c>
      <c r="E40" s="976"/>
      <c r="F40" s="976"/>
      <c r="G40" s="973">
        <v>14386000</v>
      </c>
      <c r="H40" s="974"/>
      <c r="I40" s="974" t="e">
        <f>Y40</f>
        <v>#REF!</v>
      </c>
      <c r="J40" s="974"/>
      <c r="K40" s="975"/>
      <c r="L40" s="974"/>
      <c r="M40" s="974" t="e">
        <f t="shared" si="15"/>
        <v>#REF!</v>
      </c>
      <c r="N40" s="991" t="e">
        <f>IF(H40="",G40-M40-#REF!,H40-M40-#REF!)</f>
        <v>#REF!</v>
      </c>
      <c r="O40" s="991"/>
      <c r="P40" s="1013" t="e">
        <f t="shared" si="14"/>
        <v>#REF!</v>
      </c>
      <c r="Q40" s="976"/>
      <c r="R40" s="977"/>
      <c r="S40" s="974"/>
      <c r="T40" s="1147"/>
      <c r="U40" s="974"/>
      <c r="V40" s="976"/>
      <c r="W40" s="686"/>
      <c r="X40" s="1007" t="s">
        <v>948</v>
      </c>
      <c r="Y40" s="1007" t="e">
        <f>SUM(#REF!)</f>
        <v>#REF!</v>
      </c>
      <c r="AB40" s="686"/>
    </row>
    <row r="41" spans="1:28" s="687" customFormat="1" ht="15.75" x14ac:dyDescent="0.25">
      <c r="A41" s="723"/>
      <c r="B41" s="720" t="s">
        <v>997</v>
      </c>
      <c r="C41" s="720">
        <v>1017</v>
      </c>
      <c r="D41" s="699" t="s">
        <v>1096</v>
      </c>
      <c r="E41" s="705"/>
      <c r="F41" s="705"/>
      <c r="G41" s="724"/>
      <c r="H41" s="702"/>
      <c r="I41" s="711"/>
      <c r="J41" s="701"/>
      <c r="K41" s="726"/>
      <c r="L41" s="702"/>
      <c r="M41" s="707" t="e">
        <f>SUM(M39:M40)</f>
        <v>#REF!</v>
      </c>
      <c r="N41" s="707" t="e">
        <f>SUM(N39:N40)</f>
        <v>#REF!</v>
      </c>
      <c r="O41" s="707"/>
      <c r="P41" s="869" t="e">
        <f>SUM(P39:P40)</f>
        <v>#REF!</v>
      </c>
      <c r="Q41" s="700"/>
      <c r="R41" s="704"/>
      <c r="S41" s="742"/>
      <c r="T41" s="1148"/>
      <c r="U41" s="742"/>
      <c r="V41" s="705"/>
      <c r="W41" s="686"/>
      <c r="AB41" s="686"/>
    </row>
    <row r="42" spans="1:28" s="687" customFormat="1" x14ac:dyDescent="0.25">
      <c r="A42" s="686"/>
      <c r="B42" s="1191" t="s">
        <v>1406</v>
      </c>
      <c r="C42" s="1191">
        <v>1051</v>
      </c>
      <c r="D42" s="976" t="s">
        <v>1416</v>
      </c>
      <c r="E42" s="976" t="s">
        <v>1110</v>
      </c>
      <c r="F42" s="976"/>
      <c r="G42" s="973">
        <v>192325540</v>
      </c>
      <c r="H42" s="974"/>
      <c r="I42" s="974">
        <v>57697662</v>
      </c>
      <c r="J42" s="974">
        <v>76930216</v>
      </c>
      <c r="K42" s="975"/>
      <c r="L42" s="974"/>
      <c r="M42" s="974">
        <f t="shared" ref="M42:M53" si="16">SUM(I42:L42)</f>
        <v>134627878</v>
      </c>
      <c r="N42" s="991"/>
      <c r="O42" s="991"/>
      <c r="P42" s="1013">
        <f t="shared" si="14"/>
        <v>57697662</v>
      </c>
      <c r="Q42" s="976"/>
      <c r="R42" s="977"/>
      <c r="S42" s="974"/>
      <c r="T42" s="1147"/>
      <c r="U42" s="974" t="s">
        <v>1417</v>
      </c>
      <c r="V42" s="976" t="s">
        <v>1323</v>
      </c>
      <c r="W42" s="686"/>
      <c r="X42" s="687" t="s">
        <v>1418</v>
      </c>
      <c r="Y42" s="687">
        <v>1120000</v>
      </c>
      <c r="AB42" s="686"/>
    </row>
    <row r="43" spans="1:28" s="687" customFormat="1" x14ac:dyDescent="0.25">
      <c r="A43" s="686"/>
      <c r="B43" s="1191" t="s">
        <v>1406</v>
      </c>
      <c r="C43" s="1191">
        <v>1051</v>
      </c>
      <c r="D43" s="976" t="s">
        <v>1419</v>
      </c>
      <c r="E43" s="976" t="s">
        <v>1420</v>
      </c>
      <c r="F43" s="976"/>
      <c r="G43" s="973">
        <v>147466000</v>
      </c>
      <c r="H43" s="974">
        <v>124267000</v>
      </c>
      <c r="I43" s="974">
        <v>58986400</v>
      </c>
      <c r="J43" s="974">
        <v>65280600</v>
      </c>
      <c r="K43" s="975"/>
      <c r="L43" s="974"/>
      <c r="M43" s="974">
        <f t="shared" si="16"/>
        <v>124267000</v>
      </c>
      <c r="N43" s="991"/>
      <c r="O43" s="991"/>
      <c r="P43" s="1013">
        <f t="shared" si="14"/>
        <v>0</v>
      </c>
      <c r="Q43" s="976"/>
      <c r="R43" s="977"/>
      <c r="S43" s="974"/>
      <c r="T43" s="1147"/>
      <c r="U43" s="974"/>
      <c r="V43" s="976"/>
      <c r="W43" s="686"/>
      <c r="X43" s="687" t="s">
        <v>1421</v>
      </c>
      <c r="Y43" s="687">
        <v>2142000</v>
      </c>
      <c r="AB43" s="686"/>
    </row>
    <row r="44" spans="1:28" x14ac:dyDescent="0.25">
      <c r="B44" s="1191" t="s">
        <v>1406</v>
      </c>
      <c r="C44" s="1191">
        <v>1051</v>
      </c>
      <c r="D44" s="976" t="s">
        <v>1422</v>
      </c>
      <c r="E44" s="976" t="s">
        <v>1423</v>
      </c>
      <c r="F44" s="976"/>
      <c r="G44" s="973">
        <v>137988095</v>
      </c>
      <c r="H44" s="974"/>
      <c r="I44" s="974">
        <v>41396428</v>
      </c>
      <c r="J44" s="974">
        <v>55195238</v>
      </c>
      <c r="K44" s="975"/>
      <c r="L44" s="974"/>
      <c r="M44" s="974">
        <f t="shared" si="16"/>
        <v>96591666</v>
      </c>
      <c r="N44" s="991"/>
      <c r="O44" s="991"/>
      <c r="P44" s="1013">
        <f t="shared" si="14"/>
        <v>41396429</v>
      </c>
      <c r="Q44" s="976"/>
      <c r="R44" s="977"/>
      <c r="S44" s="974"/>
      <c r="T44" s="1147"/>
      <c r="U44" s="974"/>
      <c r="V44" s="976"/>
    </row>
    <row r="45" spans="1:28" x14ac:dyDescent="0.25">
      <c r="B45" s="1191" t="s">
        <v>1406</v>
      </c>
      <c r="C45" s="1191">
        <v>1051</v>
      </c>
      <c r="D45" s="976" t="s">
        <v>1424</v>
      </c>
      <c r="E45" s="976" t="s">
        <v>1425</v>
      </c>
      <c r="F45" s="976"/>
      <c r="G45" s="973">
        <v>95502000</v>
      </c>
      <c r="H45" s="974"/>
      <c r="I45" s="974">
        <v>47751000</v>
      </c>
      <c r="J45" s="974"/>
      <c r="K45" s="975"/>
      <c r="L45" s="974"/>
      <c r="M45" s="974">
        <f t="shared" si="16"/>
        <v>47751000</v>
      </c>
      <c r="N45" s="991"/>
      <c r="O45" s="991"/>
      <c r="P45" s="1013">
        <f t="shared" si="14"/>
        <v>47751000</v>
      </c>
      <c r="Q45" s="976"/>
      <c r="R45" s="977"/>
      <c r="S45" s="974"/>
      <c r="T45" s="1147"/>
      <c r="U45" s="974"/>
      <c r="V45" s="976" t="s">
        <v>1323</v>
      </c>
    </row>
    <row r="46" spans="1:28" x14ac:dyDescent="0.25">
      <c r="B46" s="1191" t="s">
        <v>1406</v>
      </c>
      <c r="C46" s="1191">
        <v>1051</v>
      </c>
      <c r="D46" s="976" t="s">
        <v>1429</v>
      </c>
      <c r="E46" s="976" t="s">
        <v>1430</v>
      </c>
      <c r="F46" s="976"/>
      <c r="G46" s="973">
        <v>213750000</v>
      </c>
      <c r="H46" s="974"/>
      <c r="I46" s="974">
        <v>64125000</v>
      </c>
      <c r="J46" s="974">
        <v>85500000</v>
      </c>
      <c r="K46" s="975"/>
      <c r="L46" s="974"/>
      <c r="M46" s="974">
        <f t="shared" si="16"/>
        <v>149625000</v>
      </c>
      <c r="N46" s="991"/>
      <c r="O46" s="991"/>
      <c r="P46" s="1013">
        <f t="shared" si="14"/>
        <v>64125000</v>
      </c>
      <c r="Q46" s="976"/>
      <c r="R46" s="977"/>
      <c r="S46" s="974"/>
      <c r="T46" s="1147"/>
      <c r="U46" s="974"/>
      <c r="V46" s="976"/>
    </row>
    <row r="47" spans="1:28" x14ac:dyDescent="0.25">
      <c r="B47" s="1191" t="s">
        <v>1406</v>
      </c>
      <c r="C47" s="1191">
        <v>1051</v>
      </c>
      <c r="D47" s="976" t="s">
        <v>1431</v>
      </c>
      <c r="E47" s="976" t="s">
        <v>1432</v>
      </c>
      <c r="F47" s="976"/>
      <c r="G47" s="973">
        <v>8580000</v>
      </c>
      <c r="H47" s="974"/>
      <c r="I47" s="974">
        <v>4290000</v>
      </c>
      <c r="J47" s="974"/>
      <c r="K47" s="975"/>
      <c r="L47" s="974"/>
      <c r="M47" s="974">
        <f t="shared" si="16"/>
        <v>4290000</v>
      </c>
      <c r="N47" s="991"/>
      <c r="O47" s="991"/>
      <c r="P47" s="1013">
        <f t="shared" si="14"/>
        <v>4290000</v>
      </c>
      <c r="Q47" s="976"/>
      <c r="R47" s="977"/>
      <c r="S47" s="974"/>
      <c r="T47" s="1147"/>
      <c r="U47" s="974"/>
      <c r="V47" s="976" t="s">
        <v>1323</v>
      </c>
    </row>
    <row r="48" spans="1:28" x14ac:dyDescent="0.25">
      <c r="B48" s="1191" t="s">
        <v>1406</v>
      </c>
      <c r="C48" s="1191">
        <v>1051</v>
      </c>
      <c r="D48" s="976" t="s">
        <v>1433</v>
      </c>
      <c r="E48" s="976" t="s">
        <v>887</v>
      </c>
      <c r="F48" s="976"/>
      <c r="G48" s="973">
        <v>24675000</v>
      </c>
      <c r="H48" s="974"/>
      <c r="I48" s="974">
        <v>7402500</v>
      </c>
      <c r="J48" s="974">
        <v>9870000</v>
      </c>
      <c r="K48" s="975"/>
      <c r="L48" s="974"/>
      <c r="M48" s="974">
        <f t="shared" si="16"/>
        <v>17272500</v>
      </c>
      <c r="N48" s="991"/>
      <c r="O48" s="991"/>
      <c r="P48" s="1013">
        <f t="shared" si="14"/>
        <v>7402500</v>
      </c>
      <c r="Q48" s="976"/>
      <c r="R48" s="977"/>
      <c r="S48" s="974"/>
      <c r="T48" s="1147"/>
      <c r="U48" s="974"/>
      <c r="V48" s="976"/>
    </row>
    <row r="49" spans="1:28" x14ac:dyDescent="0.25">
      <c r="B49" s="1191" t="s">
        <v>1406</v>
      </c>
      <c r="C49" s="1191">
        <v>1051</v>
      </c>
      <c r="D49" s="976" t="s">
        <v>1438</v>
      </c>
      <c r="E49" s="976" t="s">
        <v>1400</v>
      </c>
      <c r="F49" s="976"/>
      <c r="G49" s="973">
        <v>166230000</v>
      </c>
      <c r="H49" s="974"/>
      <c r="I49" s="974">
        <v>50000000</v>
      </c>
      <c r="J49" s="974">
        <v>65000000</v>
      </c>
      <c r="K49" s="975"/>
      <c r="L49" s="974"/>
      <c r="M49" s="974">
        <f t="shared" si="16"/>
        <v>115000000</v>
      </c>
      <c r="N49" s="991"/>
      <c r="O49" s="991"/>
      <c r="P49" s="1013">
        <f t="shared" si="14"/>
        <v>51230000</v>
      </c>
      <c r="Q49" s="976"/>
      <c r="R49" s="977"/>
      <c r="S49" s="974"/>
      <c r="T49" s="1147"/>
      <c r="U49" s="974"/>
      <c r="V49" s="976"/>
    </row>
    <row r="50" spans="1:28" x14ac:dyDescent="0.25">
      <c r="B50" s="1191" t="s">
        <v>1406</v>
      </c>
      <c r="C50" s="1191">
        <v>1051</v>
      </c>
      <c r="D50" s="976" t="s">
        <v>1268</v>
      </c>
      <c r="E50" s="976" t="s">
        <v>1118</v>
      </c>
      <c r="F50" s="976"/>
      <c r="G50" s="973">
        <v>167531000</v>
      </c>
      <c r="H50" s="974"/>
      <c r="I50" s="974">
        <v>50259300</v>
      </c>
      <c r="J50" s="974">
        <v>67012400</v>
      </c>
      <c r="K50" s="975"/>
      <c r="L50" s="974"/>
      <c r="M50" s="974">
        <f t="shared" si="16"/>
        <v>117271700</v>
      </c>
      <c r="N50" s="991"/>
      <c r="O50" s="991"/>
      <c r="P50" s="1013">
        <f t="shared" si="14"/>
        <v>50259300</v>
      </c>
      <c r="Q50" s="976"/>
      <c r="R50" s="977"/>
      <c r="S50" s="974"/>
      <c r="T50" s="1147"/>
      <c r="U50" s="974"/>
      <c r="V50" s="976"/>
    </row>
    <row r="51" spans="1:28" x14ac:dyDescent="0.25">
      <c r="B51" s="1191" t="s">
        <v>1406</v>
      </c>
      <c r="C51" s="1191">
        <v>1051</v>
      </c>
      <c r="D51" s="976" t="s">
        <v>1444</v>
      </c>
      <c r="E51" s="976" t="s">
        <v>1445</v>
      </c>
      <c r="F51" s="976"/>
      <c r="G51" s="973">
        <v>82500000</v>
      </c>
      <c r="H51" s="974"/>
      <c r="I51" s="974">
        <v>33000000</v>
      </c>
      <c r="J51" s="974"/>
      <c r="K51" s="975"/>
      <c r="L51" s="974"/>
      <c r="M51" s="974">
        <f t="shared" si="16"/>
        <v>33000000</v>
      </c>
      <c r="N51" s="991"/>
      <c r="O51" s="991"/>
      <c r="P51" s="1013">
        <f t="shared" si="14"/>
        <v>49500000</v>
      </c>
      <c r="Q51" s="976"/>
      <c r="R51" s="977"/>
      <c r="S51" s="974"/>
      <c r="T51" s="1147"/>
      <c r="U51" s="974"/>
      <c r="V51" s="976" t="s">
        <v>1323</v>
      </c>
    </row>
    <row r="52" spans="1:28" x14ac:dyDescent="0.25">
      <c r="B52" s="1191" t="s">
        <v>1406</v>
      </c>
      <c r="C52" s="1191">
        <v>1051</v>
      </c>
      <c r="D52" s="976" t="s">
        <v>1447</v>
      </c>
      <c r="E52" s="976" t="s">
        <v>1266</v>
      </c>
      <c r="F52" s="976"/>
      <c r="G52" s="973">
        <v>26180000</v>
      </c>
      <c r="H52" s="974"/>
      <c r="I52" s="974">
        <v>7854000</v>
      </c>
      <c r="J52" s="974">
        <v>10472000</v>
      </c>
      <c r="K52" s="975"/>
      <c r="L52" s="974"/>
      <c r="M52" s="974">
        <f t="shared" si="16"/>
        <v>18326000</v>
      </c>
      <c r="N52" s="991"/>
      <c r="O52" s="991"/>
      <c r="P52" s="1013">
        <f t="shared" si="14"/>
        <v>7854000</v>
      </c>
      <c r="Q52" s="976"/>
      <c r="R52" s="977"/>
      <c r="S52" s="974"/>
      <c r="T52" s="1147"/>
      <c r="U52" s="974"/>
      <c r="V52" s="976"/>
    </row>
    <row r="53" spans="1:28" s="687" customFormat="1" x14ac:dyDescent="0.25">
      <c r="A53" s="686"/>
      <c r="B53" s="1191" t="s">
        <v>1406</v>
      </c>
      <c r="C53" s="1191">
        <v>1051</v>
      </c>
      <c r="D53" s="976" t="s">
        <v>1447</v>
      </c>
      <c r="E53" s="976" t="s">
        <v>1266</v>
      </c>
      <c r="F53" s="976"/>
      <c r="G53" s="973">
        <v>80920000</v>
      </c>
      <c r="H53" s="974"/>
      <c r="I53" s="974">
        <v>24276000</v>
      </c>
      <c r="J53" s="974">
        <v>32368000</v>
      </c>
      <c r="K53" s="975"/>
      <c r="L53" s="974"/>
      <c r="M53" s="974">
        <f t="shared" si="16"/>
        <v>56644000</v>
      </c>
      <c r="N53" s="991"/>
      <c r="O53" s="991"/>
      <c r="P53" s="1013">
        <f t="shared" si="14"/>
        <v>24276000</v>
      </c>
      <c r="Q53" s="976"/>
      <c r="R53" s="977"/>
      <c r="S53" s="974"/>
      <c r="T53" s="1147"/>
      <c r="U53" s="974"/>
      <c r="V53" s="976"/>
      <c r="W53" s="686"/>
      <c r="AB53" s="686"/>
    </row>
    <row r="54" spans="1:28" s="687" customFormat="1" ht="15.75" x14ac:dyDescent="0.25">
      <c r="A54" s="723"/>
      <c r="B54" s="720" t="s">
        <v>997</v>
      </c>
      <c r="C54" s="720">
        <v>1051</v>
      </c>
      <c r="D54" s="699" t="s">
        <v>1126</v>
      </c>
      <c r="E54" s="700"/>
      <c r="F54" s="700"/>
      <c r="G54" s="724"/>
      <c r="H54" s="702"/>
      <c r="I54" s="711"/>
      <c r="J54" s="701"/>
      <c r="K54" s="726"/>
      <c r="L54" s="702"/>
      <c r="M54" s="707">
        <f>SUM(M42:M53)</f>
        <v>914666744</v>
      </c>
      <c r="N54" s="707" t="e">
        <f>SUM(#REF!)</f>
        <v>#REF!</v>
      </c>
      <c r="O54" s="707"/>
      <c r="P54" s="869">
        <f>SUM(P42:P53)</f>
        <v>405781891</v>
      </c>
      <c r="Q54" s="700"/>
      <c r="R54" s="704"/>
      <c r="S54" s="742"/>
      <c r="T54" s="1148"/>
      <c r="U54" s="742"/>
      <c r="V54" s="705"/>
      <c r="W54" s="686"/>
      <c r="AB54" s="686"/>
    </row>
    <row r="55" spans="1:28" ht="15.75" x14ac:dyDescent="0.25">
      <c r="A55" s="693"/>
      <c r="B55" s="1191" t="s">
        <v>643</v>
      </c>
      <c r="C55" s="1191">
        <v>1017</v>
      </c>
      <c r="D55" s="985" t="s">
        <v>1483</v>
      </c>
      <c r="E55" s="985" t="s">
        <v>1484</v>
      </c>
      <c r="F55" s="985"/>
      <c r="G55" s="986">
        <v>32747440</v>
      </c>
      <c r="H55" s="987"/>
      <c r="I55" s="987">
        <v>16373720</v>
      </c>
      <c r="J55" s="987"/>
      <c r="K55" s="988"/>
      <c r="L55" s="987"/>
      <c r="M55" s="1008">
        <f t="shared" ref="M55:M57" si="17">SUM(I55:L55)</f>
        <v>16373720</v>
      </c>
      <c r="N55" s="989"/>
      <c r="O55" s="989"/>
      <c r="P55" s="1013">
        <f t="shared" ref="P55:P57" si="18">IF($H55="",($G55-$M55),($H55-$M55))</f>
        <v>16373720</v>
      </c>
      <c r="Q55" s="1010"/>
      <c r="R55" s="990"/>
      <c r="S55" s="987"/>
      <c r="T55" s="1152"/>
      <c r="U55" s="987" t="s">
        <v>1417</v>
      </c>
      <c r="V55" s="985" t="s">
        <v>1323</v>
      </c>
    </row>
    <row r="56" spans="1:28" ht="15.75" x14ac:dyDescent="0.25">
      <c r="A56" s="693"/>
      <c r="B56" s="1191" t="s">
        <v>643</v>
      </c>
      <c r="C56" s="1191">
        <v>1017</v>
      </c>
      <c r="D56" s="985" t="s">
        <v>1485</v>
      </c>
      <c r="E56" s="985" t="s">
        <v>1486</v>
      </c>
      <c r="F56" s="985"/>
      <c r="G56" s="986">
        <v>40260000</v>
      </c>
      <c r="H56" s="987"/>
      <c r="I56" s="987">
        <v>28182000</v>
      </c>
      <c r="J56" s="987"/>
      <c r="K56" s="988"/>
      <c r="L56" s="987"/>
      <c r="M56" s="1008">
        <f t="shared" si="17"/>
        <v>28182000</v>
      </c>
      <c r="N56" s="989"/>
      <c r="O56" s="989"/>
      <c r="P56" s="1013">
        <f t="shared" si="18"/>
        <v>12078000</v>
      </c>
      <c r="Q56" s="1010"/>
      <c r="R56" s="990"/>
      <c r="S56" s="987"/>
      <c r="T56" s="1152"/>
      <c r="U56" s="987" t="s">
        <v>1417</v>
      </c>
      <c r="V56" s="985" t="s">
        <v>1487</v>
      </c>
    </row>
    <row r="57" spans="1:28" s="687" customFormat="1" x14ac:dyDescent="0.25">
      <c r="A57" s="693"/>
      <c r="B57" s="1191" t="s">
        <v>643</v>
      </c>
      <c r="C57" s="1191">
        <v>1017</v>
      </c>
      <c r="D57" s="976" t="s">
        <v>947</v>
      </c>
      <c r="E57" s="976"/>
      <c r="F57" s="976"/>
      <c r="G57" s="973" t="e">
        <f>Y57</f>
        <v>#REF!</v>
      </c>
      <c r="H57" s="974"/>
      <c r="I57" s="974">
        <v>439000</v>
      </c>
      <c r="J57" s="974">
        <v>590000</v>
      </c>
      <c r="K57" s="975">
        <v>840000</v>
      </c>
      <c r="L57" s="974"/>
      <c r="M57" s="1008">
        <f t="shared" si="17"/>
        <v>1869000</v>
      </c>
      <c r="N57" s="991" t="e">
        <f>IF(H57="",G57-M57-#REF!,H57-M57-#REF!)</f>
        <v>#REF!</v>
      </c>
      <c r="O57" s="991"/>
      <c r="P57" s="1013" t="e">
        <f t="shared" si="18"/>
        <v>#REF!</v>
      </c>
      <c r="Q57" s="1011"/>
      <c r="R57" s="977"/>
      <c r="S57" s="974"/>
      <c r="T57" s="1147"/>
      <c r="U57" s="974"/>
      <c r="V57" s="976"/>
      <c r="W57" s="686"/>
      <c r="X57" s="1000" t="s">
        <v>948</v>
      </c>
      <c r="Y57" s="1000" t="e">
        <f>SUM(#REF!)</f>
        <v>#REF!</v>
      </c>
      <c r="AB57" s="686"/>
    </row>
    <row r="58" spans="1:28" s="687" customFormat="1" ht="15.75" x14ac:dyDescent="0.25">
      <c r="A58" s="723"/>
      <c r="B58" s="999" t="s">
        <v>997</v>
      </c>
      <c r="C58" s="999">
        <v>1017</v>
      </c>
      <c r="D58" s="999" t="s">
        <v>643</v>
      </c>
      <c r="E58" s="992"/>
      <c r="F58" s="992"/>
      <c r="G58" s="993"/>
      <c r="H58" s="994"/>
      <c r="I58" s="994"/>
      <c r="J58" s="994"/>
      <c r="K58" s="995"/>
      <c r="L58" s="994"/>
      <c r="M58" s="1009">
        <f>SUM(M55:M57)</f>
        <v>46424720</v>
      </c>
      <c r="N58" s="996" t="e">
        <f>SUM(N55:N57)</f>
        <v>#REF!</v>
      </c>
      <c r="O58" s="996"/>
      <c r="P58" s="997" t="e">
        <f>SUM(P55:P57)</f>
        <v>#REF!</v>
      </c>
      <c r="Q58" s="1012"/>
      <c r="R58" s="998"/>
      <c r="S58" s="994"/>
      <c r="T58" s="1153"/>
      <c r="U58" s="994"/>
      <c r="V58" s="992"/>
      <c r="W58" s="686"/>
      <c r="AB58" s="686"/>
    </row>
    <row r="59" spans="1:28" s="687" customFormat="1" x14ac:dyDescent="0.25">
      <c r="A59" s="686">
        <v>26</v>
      </c>
      <c r="B59" s="1191" t="s">
        <v>1491</v>
      </c>
      <c r="C59" s="1191">
        <v>1017</v>
      </c>
      <c r="D59" s="976" t="s">
        <v>1117</v>
      </c>
      <c r="E59" s="979" t="s">
        <v>1118</v>
      </c>
      <c r="F59" s="979"/>
      <c r="G59" s="980">
        <v>500939941</v>
      </c>
      <c r="H59" s="1310">
        <v>576341000</v>
      </c>
      <c r="I59" s="981">
        <v>136272582</v>
      </c>
      <c r="J59" s="981">
        <v>181696776</v>
      </c>
      <c r="K59" s="982"/>
      <c r="L59" s="981"/>
      <c r="M59" s="1008">
        <f>SUM(I59:L59)</f>
        <v>317969358</v>
      </c>
      <c r="N59" s="976"/>
      <c r="O59" s="690"/>
      <c r="P59" s="1312">
        <f>H59-M59-M60</f>
        <v>149409642</v>
      </c>
      <c r="Q59" s="1006"/>
      <c r="R59" s="984"/>
      <c r="S59" s="981"/>
      <c r="T59" s="1154"/>
      <c r="U59" s="981"/>
      <c r="V59" s="1314">
        <f>H59*5%</f>
        <v>28817050</v>
      </c>
      <c r="W59" s="686"/>
      <c r="X59" s="687" t="s">
        <v>1243</v>
      </c>
      <c r="Y59" s="687">
        <v>240000</v>
      </c>
      <c r="AB59" s="686"/>
    </row>
    <row r="60" spans="1:28" s="687" customFormat="1" x14ac:dyDescent="0.25">
      <c r="A60" s="686"/>
      <c r="B60" s="1191" t="s">
        <v>1491</v>
      </c>
      <c r="C60" s="1191">
        <v>1017</v>
      </c>
      <c r="D60" s="976" t="s">
        <v>1492</v>
      </c>
      <c r="E60" s="972" t="s">
        <v>1118</v>
      </c>
      <c r="F60" s="972"/>
      <c r="G60" s="973">
        <v>108962000</v>
      </c>
      <c r="H60" s="1311"/>
      <c r="I60" s="974"/>
      <c r="J60" s="974">
        <v>108962000</v>
      </c>
      <c r="K60" s="975"/>
      <c r="L60" s="974"/>
      <c r="M60" s="1008">
        <f t="shared" ref="M60" si="19">SUM(I60:L60)</f>
        <v>108962000</v>
      </c>
      <c r="N60" s="976"/>
      <c r="O60" s="983"/>
      <c r="P60" s="1313"/>
      <c r="Q60" s="1011"/>
      <c r="R60" s="977"/>
      <c r="S60" s="974"/>
      <c r="T60" s="1147"/>
      <c r="U60" s="974"/>
      <c r="V60" s="1315"/>
      <c r="W60" s="686"/>
      <c r="X60" s="687" t="s">
        <v>1244</v>
      </c>
      <c r="Y60" s="687">
        <v>840000</v>
      </c>
      <c r="AB60" s="686"/>
    </row>
    <row r="61" spans="1:28" s="687" customFormat="1" x14ac:dyDescent="0.25">
      <c r="A61" s="686"/>
      <c r="B61" s="1191" t="s">
        <v>1491</v>
      </c>
      <c r="C61" s="1191">
        <v>1017</v>
      </c>
      <c r="D61" s="976" t="s">
        <v>1512</v>
      </c>
      <c r="E61" s="985" t="s">
        <v>521</v>
      </c>
      <c r="F61" s="1324"/>
      <c r="G61" s="980">
        <v>26905000</v>
      </c>
      <c r="H61" s="1002"/>
      <c r="I61" s="1003">
        <v>9000000</v>
      </c>
      <c r="J61" s="981">
        <v>13400000</v>
      </c>
      <c r="K61" s="982"/>
      <c r="L61" s="1002"/>
      <c r="M61" s="1008">
        <f t="shared" ref="M61:M62" si="20">SUM(I61:L61)</f>
        <v>22400000</v>
      </c>
      <c r="N61" s="976"/>
      <c r="O61" s="976"/>
      <c r="P61" s="1013">
        <f t="shared" ref="P61:P62" si="21">IF($H61="",($G61-$M61),($H61-$M61))</f>
        <v>4505000</v>
      </c>
      <c r="Q61" s="1004"/>
      <c r="R61" s="984"/>
      <c r="S61" s="1005"/>
      <c r="T61" s="1155"/>
      <c r="U61" s="1005"/>
      <c r="V61" s="1006"/>
      <c r="W61" s="686"/>
      <c r="X61" s="686"/>
      <c r="Y61" s="686"/>
      <c r="AB61" s="686"/>
    </row>
    <row r="62" spans="1:28" s="687" customFormat="1" x14ac:dyDescent="0.25">
      <c r="A62" s="686"/>
      <c r="B62" s="1191" t="s">
        <v>1491</v>
      </c>
      <c r="C62" s="1191">
        <v>1017</v>
      </c>
      <c r="D62" s="976" t="s">
        <v>1513</v>
      </c>
      <c r="E62" s="1047" t="s">
        <v>1514</v>
      </c>
      <c r="F62" s="1047"/>
      <c r="G62" s="980">
        <v>400000000</v>
      </c>
      <c r="H62" s="1002"/>
      <c r="I62" s="1003">
        <v>160000000</v>
      </c>
      <c r="J62" s="981"/>
      <c r="K62" s="982"/>
      <c r="L62" s="1002"/>
      <c r="M62" s="1008">
        <f t="shared" si="20"/>
        <v>160000000</v>
      </c>
      <c r="N62" s="976"/>
      <c r="O62" s="976"/>
      <c r="P62" s="1013">
        <f t="shared" si="21"/>
        <v>240000000</v>
      </c>
      <c r="Q62" s="1004"/>
      <c r="R62" s="984"/>
      <c r="S62" s="1005"/>
      <c r="T62" s="1155"/>
      <c r="U62" s="1005"/>
      <c r="V62" s="1006"/>
      <c r="W62" s="686"/>
      <c r="X62" s="686"/>
      <c r="Y62" s="686"/>
      <c r="AB62" s="686"/>
    </row>
    <row r="63" spans="1:28" s="687" customFormat="1" ht="15.75" x14ac:dyDescent="0.25">
      <c r="A63" s="723"/>
      <c r="B63" s="999" t="s">
        <v>997</v>
      </c>
      <c r="C63" s="748">
        <v>1017</v>
      </c>
      <c r="D63" s="748" t="s">
        <v>1542</v>
      </c>
      <c r="E63" s="700"/>
      <c r="F63" s="700"/>
      <c r="G63" s="724"/>
      <c r="H63" s="702"/>
      <c r="I63" s="711"/>
      <c r="J63" s="701"/>
      <c r="K63" s="726"/>
      <c r="L63" s="702"/>
      <c r="M63" s="735">
        <f>SUM(M59:M62)</f>
        <v>609331358</v>
      </c>
      <c r="N63" s="996" t="e">
        <f>SUM(N57:N60)</f>
        <v>#REF!</v>
      </c>
      <c r="O63" s="996"/>
      <c r="P63" s="997">
        <f>SUM(P59:P62)</f>
        <v>393914642</v>
      </c>
      <c r="Q63" s="700"/>
      <c r="R63" s="704"/>
      <c r="S63" s="742"/>
      <c r="T63" s="1148"/>
      <c r="U63" s="742"/>
      <c r="V63" s="705"/>
      <c r="W63" s="686"/>
      <c r="AB63" s="686"/>
    </row>
    <row r="64" spans="1:28" s="687" customFormat="1" ht="15.75" x14ac:dyDescent="0.25">
      <c r="A64" s="723"/>
      <c r="B64" s="720" t="s">
        <v>997</v>
      </c>
      <c r="C64" s="720">
        <v>1024</v>
      </c>
      <c r="D64" s="699" t="s">
        <v>1550</v>
      </c>
      <c r="E64" s="992"/>
      <c r="F64" s="992"/>
      <c r="G64" s="993"/>
      <c r="H64" s="994"/>
      <c r="I64" s="994"/>
      <c r="J64" s="994"/>
      <c r="K64" s="995"/>
      <c r="L64" s="994"/>
      <c r="M64" s="735" t="e">
        <f>SUM(#REF!)</f>
        <v>#REF!</v>
      </c>
      <c r="N64" s="992"/>
      <c r="O64" s="992"/>
      <c r="P64" s="1017" t="e">
        <f>SUM(#REF!)</f>
        <v>#REF!</v>
      </c>
      <c r="Q64" s="992"/>
      <c r="R64" s="998"/>
      <c r="S64" s="994"/>
      <c r="T64" s="1153"/>
      <c r="U64" s="994"/>
      <c r="V64" s="992"/>
      <c r="W64" s="686"/>
      <c r="AB64" s="686"/>
    </row>
    <row r="65" spans="1:28" s="687" customFormat="1" x14ac:dyDescent="0.25">
      <c r="A65" s="686"/>
      <c r="B65" s="1112" t="s">
        <v>1551</v>
      </c>
      <c r="C65" s="1015">
        <v>1049</v>
      </c>
      <c r="D65" s="985" t="s">
        <v>1556</v>
      </c>
      <c r="E65" s="985" t="s">
        <v>1557</v>
      </c>
      <c r="F65" s="985"/>
      <c r="G65" s="986">
        <v>88096360</v>
      </c>
      <c r="H65" s="987"/>
      <c r="I65" s="987">
        <v>61667452</v>
      </c>
      <c r="J65" s="987"/>
      <c r="K65" s="988"/>
      <c r="L65" s="987"/>
      <c r="M65" s="974">
        <f t="shared" ref="M65:M67" si="22">SUM(I65:L65)</f>
        <v>61667452</v>
      </c>
      <c r="N65" s="985"/>
      <c r="O65" s="985"/>
      <c r="P65" s="1013">
        <f t="shared" ref="P65:P67" si="23">IF($H65="",($G65-$M65),($H65-$M65))</f>
        <v>26428908</v>
      </c>
      <c r="Q65" s="985"/>
      <c r="R65" s="990"/>
      <c r="S65" s="987"/>
      <c r="T65" s="1152"/>
      <c r="U65" s="987"/>
      <c r="V65" s="985" t="s">
        <v>1323</v>
      </c>
      <c r="W65" s="686"/>
      <c r="X65" s="687" t="s">
        <v>1498</v>
      </c>
      <c r="Y65" s="687">
        <v>5538000</v>
      </c>
      <c r="AB65" s="686"/>
    </row>
    <row r="66" spans="1:28" s="687" customFormat="1" x14ac:dyDescent="0.25">
      <c r="A66" s="686"/>
      <c r="B66" s="1112" t="s">
        <v>1551</v>
      </c>
      <c r="C66" s="1015">
        <v>1049</v>
      </c>
      <c r="D66" s="985" t="s">
        <v>1563</v>
      </c>
      <c r="E66" s="985" t="s">
        <v>1118</v>
      </c>
      <c r="F66" s="985"/>
      <c r="G66" s="986">
        <v>71730000</v>
      </c>
      <c r="H66" s="987">
        <v>90200000</v>
      </c>
      <c r="I66" s="987">
        <v>35865000</v>
      </c>
      <c r="J66" s="987">
        <v>49825000</v>
      </c>
      <c r="K66" s="988"/>
      <c r="L66" s="987"/>
      <c r="M66" s="974">
        <f t="shared" si="22"/>
        <v>85690000</v>
      </c>
      <c r="N66" s="985"/>
      <c r="O66" s="985"/>
      <c r="P66" s="1013">
        <f t="shared" si="23"/>
        <v>4510000</v>
      </c>
      <c r="Q66" s="985"/>
      <c r="R66" s="990"/>
      <c r="S66" s="987"/>
      <c r="T66" s="1152"/>
      <c r="U66" s="987"/>
      <c r="V66" s="1104">
        <v>4510000</v>
      </c>
      <c r="W66" s="686"/>
      <c r="AB66" s="686"/>
    </row>
    <row r="67" spans="1:28" s="687" customFormat="1" x14ac:dyDescent="0.25">
      <c r="A67" s="686"/>
      <c r="B67" s="1112" t="s">
        <v>1551</v>
      </c>
      <c r="C67" s="1015">
        <v>1049</v>
      </c>
      <c r="D67" s="976" t="s">
        <v>947</v>
      </c>
      <c r="E67" s="985"/>
      <c r="F67" s="985"/>
      <c r="G67" s="986">
        <f>Y67</f>
        <v>5538000</v>
      </c>
      <c r="H67" s="987"/>
      <c r="I67" s="987">
        <v>3548500</v>
      </c>
      <c r="J67" s="987">
        <v>1580000</v>
      </c>
      <c r="K67" s="988">
        <v>5538000</v>
      </c>
      <c r="L67" s="987">
        <f>2553000+1180000</f>
        <v>3733000</v>
      </c>
      <c r="M67" s="974">
        <f t="shared" si="22"/>
        <v>14399500</v>
      </c>
      <c r="N67" s="985"/>
      <c r="O67" s="985"/>
      <c r="P67" s="1013">
        <f t="shared" si="23"/>
        <v>-8861500</v>
      </c>
      <c r="Q67" s="985"/>
      <c r="R67" s="990"/>
      <c r="S67" s="987"/>
      <c r="T67" s="1152"/>
      <c r="U67" s="987"/>
      <c r="V67" s="985"/>
      <c r="W67" s="686"/>
      <c r="X67" s="1000" t="s">
        <v>948</v>
      </c>
      <c r="Y67" s="1000">
        <f>SUM(Y65:Y66)</f>
        <v>5538000</v>
      </c>
      <c r="AB67" s="686"/>
    </row>
    <row r="68" spans="1:28" s="687" customFormat="1" ht="15.75" x14ac:dyDescent="0.25">
      <c r="A68" s="723"/>
      <c r="B68" s="720" t="s">
        <v>997</v>
      </c>
      <c r="C68" s="720">
        <v>1049</v>
      </c>
      <c r="D68" s="699" t="s">
        <v>1551</v>
      </c>
      <c r="E68" s="706"/>
      <c r="F68" s="706"/>
      <c r="G68" s="724"/>
      <c r="H68" s="701"/>
      <c r="I68" s="701"/>
      <c r="J68" s="701"/>
      <c r="K68" s="726"/>
      <c r="L68" s="701"/>
      <c r="M68" s="735">
        <f>SUM(M65:M67)</f>
        <v>161756952</v>
      </c>
      <c r="N68" s="706"/>
      <c r="O68" s="706"/>
      <c r="P68" s="1042">
        <f>SUM(P65:P67)</f>
        <v>22077408</v>
      </c>
      <c r="Q68" s="706"/>
      <c r="R68" s="704"/>
      <c r="S68" s="701"/>
      <c r="T68" s="1156"/>
      <c r="U68" s="701"/>
      <c r="V68" s="706"/>
      <c r="W68" s="686"/>
      <c r="AB68" s="686"/>
    </row>
    <row r="69" spans="1:28" x14ac:dyDescent="0.25">
      <c r="B69" s="1113" t="s">
        <v>1597</v>
      </c>
      <c r="C69" s="1015">
        <v>1024</v>
      </c>
      <c r="D69" s="983" t="s">
        <v>1456</v>
      </c>
      <c r="E69" s="976" t="s">
        <v>1118</v>
      </c>
      <c r="F69" s="976"/>
      <c r="G69" s="973">
        <v>704027500</v>
      </c>
      <c r="H69" s="974"/>
      <c r="I69" s="974">
        <v>211208250</v>
      </c>
      <c r="J69" s="974"/>
      <c r="K69" s="975"/>
      <c r="L69" s="974"/>
      <c r="M69" s="1003">
        <f t="shared" ref="M69:M78" si="24">SUM(I69:L69)</f>
        <v>211208250</v>
      </c>
      <c r="N69" s="976"/>
      <c r="O69" s="976"/>
      <c r="P69" s="1013">
        <f t="shared" ref="P69:P78" si="25">IF($H69="",($G69-$M69),($H69-$M69))</f>
        <v>492819250</v>
      </c>
      <c r="Q69" s="976"/>
      <c r="R69" s="977"/>
      <c r="S69" s="974"/>
      <c r="T69" s="1147"/>
      <c r="U69" s="974"/>
      <c r="V69" s="976"/>
      <c r="X69" s="1000"/>
      <c r="Y69" s="1000"/>
      <c r="Z69" s="686"/>
      <c r="AA69" s="686"/>
    </row>
    <row r="70" spans="1:28" x14ac:dyDescent="0.25">
      <c r="B70" s="1113" t="s">
        <v>1597</v>
      </c>
      <c r="C70" s="1015">
        <v>1024</v>
      </c>
      <c r="D70" s="983" t="s">
        <v>1416</v>
      </c>
      <c r="E70" s="976" t="s">
        <v>1110</v>
      </c>
      <c r="F70" s="976"/>
      <c r="G70" s="973">
        <v>158133360</v>
      </c>
      <c r="H70" s="974"/>
      <c r="I70" s="974">
        <v>47440008</v>
      </c>
      <c r="J70" s="974"/>
      <c r="K70" s="975"/>
      <c r="L70" s="974"/>
      <c r="M70" s="1003">
        <f t="shared" si="24"/>
        <v>47440008</v>
      </c>
      <c r="N70" s="976"/>
      <c r="O70" s="976"/>
      <c r="P70" s="1013">
        <f t="shared" si="25"/>
        <v>110693352</v>
      </c>
      <c r="Q70" s="976"/>
      <c r="R70" s="977"/>
      <c r="S70" s="974"/>
      <c r="T70" s="1147"/>
      <c r="U70" s="974"/>
      <c r="V70" s="985" t="s">
        <v>1323</v>
      </c>
      <c r="X70" s="1000"/>
      <c r="Y70" s="1000"/>
      <c r="Z70" s="686"/>
      <c r="AA70" s="686"/>
    </row>
    <row r="71" spans="1:28" x14ac:dyDescent="0.25">
      <c r="B71" s="1113" t="s">
        <v>1597</v>
      </c>
      <c r="C71" s="1015">
        <v>1024</v>
      </c>
      <c r="D71" s="983" t="s">
        <v>1433</v>
      </c>
      <c r="E71" s="976" t="s">
        <v>887</v>
      </c>
      <c r="F71" s="976"/>
      <c r="G71" s="973">
        <v>65675000</v>
      </c>
      <c r="H71" s="974"/>
      <c r="I71" s="974">
        <v>19702500</v>
      </c>
      <c r="J71" s="974">
        <v>19183000</v>
      </c>
      <c r="K71" s="975"/>
      <c r="L71" s="974"/>
      <c r="M71" s="1003">
        <f t="shared" si="24"/>
        <v>38885500</v>
      </c>
      <c r="N71" s="976"/>
      <c r="O71" s="976"/>
      <c r="P71" s="1013">
        <f t="shared" si="25"/>
        <v>26789500</v>
      </c>
      <c r="Q71" s="976"/>
      <c r="R71" s="977"/>
      <c r="S71" s="974"/>
      <c r="T71" s="1147"/>
      <c r="U71" s="974"/>
      <c r="V71" s="976"/>
      <c r="X71" s="1000"/>
      <c r="Y71" s="1000"/>
      <c r="Z71" s="686"/>
      <c r="AA71" s="686"/>
    </row>
    <row r="72" spans="1:28" x14ac:dyDescent="0.25">
      <c r="B72" s="1113" t="s">
        <v>1597</v>
      </c>
      <c r="C72" s="1015">
        <v>1024</v>
      </c>
      <c r="D72" s="983" t="s">
        <v>1604</v>
      </c>
      <c r="E72" s="976" t="s">
        <v>1605</v>
      </c>
      <c r="F72" s="976"/>
      <c r="G72" s="973">
        <v>197920000</v>
      </c>
      <c r="H72" s="974"/>
      <c r="I72" s="974">
        <v>59376000</v>
      </c>
      <c r="J72" s="974"/>
      <c r="K72" s="975"/>
      <c r="L72" s="974"/>
      <c r="M72" s="1003">
        <f t="shared" si="24"/>
        <v>59376000</v>
      </c>
      <c r="N72" s="976"/>
      <c r="O72" s="976"/>
      <c r="P72" s="1013">
        <f t="shared" si="25"/>
        <v>138544000</v>
      </c>
      <c r="Q72" s="976"/>
      <c r="R72" s="977"/>
      <c r="S72" s="974"/>
      <c r="T72" s="1147"/>
      <c r="U72" s="974"/>
      <c r="V72" s="976"/>
      <c r="X72" s="1000"/>
      <c r="Y72" s="1000"/>
      <c r="Z72" s="686"/>
      <c r="AA72" s="686"/>
    </row>
    <row r="73" spans="1:28" x14ac:dyDescent="0.25">
      <c r="B73" s="1113" t="s">
        <v>1597</v>
      </c>
      <c r="C73" s="1015">
        <v>1024</v>
      </c>
      <c r="D73" s="983" t="s">
        <v>1345</v>
      </c>
      <c r="E73" s="976" t="s">
        <v>1607</v>
      </c>
      <c r="F73" s="976"/>
      <c r="G73" s="973">
        <v>188118000</v>
      </c>
      <c r="H73" s="974"/>
      <c r="I73" s="974">
        <v>50000000</v>
      </c>
      <c r="J73" s="974"/>
      <c r="K73" s="975"/>
      <c r="L73" s="974"/>
      <c r="M73" s="1003">
        <f t="shared" si="24"/>
        <v>50000000</v>
      </c>
      <c r="N73" s="976"/>
      <c r="O73" s="976"/>
      <c r="P73" s="1013">
        <f t="shared" si="25"/>
        <v>138118000</v>
      </c>
      <c r="Q73" s="976"/>
      <c r="R73" s="977"/>
      <c r="S73" s="974"/>
      <c r="T73" s="1147"/>
      <c r="U73" s="974"/>
      <c r="V73" s="976"/>
      <c r="X73" s="1000"/>
      <c r="Y73" s="1000"/>
      <c r="Z73" s="686"/>
      <c r="AA73" s="686"/>
    </row>
    <row r="74" spans="1:28" x14ac:dyDescent="0.25">
      <c r="B74" s="1113" t="s">
        <v>1597</v>
      </c>
      <c r="C74" s="1015">
        <v>1024</v>
      </c>
      <c r="D74" s="985" t="s">
        <v>1608</v>
      </c>
      <c r="E74" s="985" t="s">
        <v>1609</v>
      </c>
      <c r="F74" s="985"/>
      <c r="G74" s="973">
        <v>236900000</v>
      </c>
      <c r="H74" s="974"/>
      <c r="I74" s="974">
        <v>118450000</v>
      </c>
      <c r="J74" s="974"/>
      <c r="K74" s="975"/>
      <c r="L74" s="974"/>
      <c r="M74" s="1003">
        <f t="shared" si="24"/>
        <v>118450000</v>
      </c>
      <c r="N74" s="976"/>
      <c r="O74" s="976"/>
      <c r="P74" s="1013">
        <f t="shared" si="25"/>
        <v>118450000</v>
      </c>
      <c r="Q74" s="976"/>
      <c r="R74" s="977"/>
      <c r="S74" s="974"/>
      <c r="T74" s="1147"/>
      <c r="U74" s="974"/>
      <c r="V74" s="976" t="s">
        <v>1323</v>
      </c>
      <c r="X74" s="1000"/>
      <c r="Y74" s="1000"/>
      <c r="Z74" s="686"/>
      <c r="AA74" s="686"/>
    </row>
    <row r="75" spans="1:28" x14ac:dyDescent="0.25">
      <c r="B75" s="1113" t="s">
        <v>1597</v>
      </c>
      <c r="C75" s="1015">
        <v>1024</v>
      </c>
      <c r="D75" s="985" t="s">
        <v>1610</v>
      </c>
      <c r="E75" s="985" t="s">
        <v>1611</v>
      </c>
      <c r="F75" s="985"/>
      <c r="G75" s="973">
        <v>41227120</v>
      </c>
      <c r="H75" s="974"/>
      <c r="I75" s="974">
        <v>28858984</v>
      </c>
      <c r="J75" s="974"/>
      <c r="K75" s="975"/>
      <c r="L75" s="974"/>
      <c r="M75" s="1003">
        <f t="shared" si="24"/>
        <v>28858984</v>
      </c>
      <c r="N75" s="976"/>
      <c r="O75" s="976"/>
      <c r="P75" s="1013">
        <f t="shared" si="25"/>
        <v>12368136</v>
      </c>
      <c r="Q75" s="976"/>
      <c r="R75" s="977"/>
      <c r="S75" s="974"/>
      <c r="T75" s="1147"/>
      <c r="U75" s="974"/>
      <c r="V75" s="976" t="s">
        <v>1323</v>
      </c>
      <c r="X75" s="1000"/>
      <c r="Y75" s="1000"/>
      <c r="Z75" s="686"/>
      <c r="AA75" s="686"/>
    </row>
    <row r="76" spans="1:28" x14ac:dyDescent="0.25">
      <c r="B76" s="1113" t="s">
        <v>1597</v>
      </c>
      <c r="C76" s="1015">
        <v>1024</v>
      </c>
      <c r="D76" s="985" t="s">
        <v>1612</v>
      </c>
      <c r="E76" s="985" t="s">
        <v>1432</v>
      </c>
      <c r="F76" s="985"/>
      <c r="G76" s="973">
        <v>270133622</v>
      </c>
      <c r="H76" s="974"/>
      <c r="I76" s="974">
        <v>108053448</v>
      </c>
      <c r="J76" s="974"/>
      <c r="K76" s="975"/>
      <c r="L76" s="974"/>
      <c r="M76" s="1003">
        <f t="shared" si="24"/>
        <v>108053448</v>
      </c>
      <c r="N76" s="976"/>
      <c r="O76" s="976"/>
      <c r="P76" s="1013">
        <f t="shared" si="25"/>
        <v>162080174</v>
      </c>
      <c r="Q76" s="976"/>
      <c r="R76" s="977"/>
      <c r="S76" s="974"/>
      <c r="T76" s="1147"/>
      <c r="U76" s="974" t="s">
        <v>1417</v>
      </c>
      <c r="V76" s="976" t="s">
        <v>1323</v>
      </c>
      <c r="X76" s="1000"/>
      <c r="Y76" s="1000"/>
      <c r="Z76" s="686"/>
      <c r="AA76" s="686"/>
    </row>
    <row r="77" spans="1:28" x14ac:dyDescent="0.25">
      <c r="B77" s="1113" t="s">
        <v>1597</v>
      </c>
      <c r="C77" s="1015">
        <v>1024</v>
      </c>
      <c r="D77" s="985" t="s">
        <v>1447</v>
      </c>
      <c r="E77" s="985" t="s">
        <v>1266</v>
      </c>
      <c r="F77" s="985"/>
      <c r="G77" s="973">
        <v>92820000</v>
      </c>
      <c r="H77" s="974"/>
      <c r="I77" s="974">
        <v>46410000</v>
      </c>
      <c r="J77" s="974"/>
      <c r="K77" s="975"/>
      <c r="L77" s="974"/>
      <c r="M77" s="1003">
        <f t="shared" si="24"/>
        <v>46410000</v>
      </c>
      <c r="N77" s="976"/>
      <c r="O77" s="976"/>
      <c r="P77" s="1013">
        <f t="shared" si="25"/>
        <v>46410000</v>
      </c>
      <c r="Q77" s="976"/>
      <c r="R77" s="977"/>
      <c r="S77" s="974"/>
      <c r="T77" s="1147"/>
      <c r="U77" s="974"/>
      <c r="V77" s="976"/>
      <c r="X77" s="1000"/>
      <c r="Y77" s="1000"/>
      <c r="Z77" s="686"/>
      <c r="AA77" s="686"/>
    </row>
    <row r="78" spans="1:28" x14ac:dyDescent="0.25">
      <c r="B78" s="1113" t="s">
        <v>1597</v>
      </c>
      <c r="C78" s="1015">
        <v>1024</v>
      </c>
      <c r="D78" s="976" t="s">
        <v>947</v>
      </c>
      <c r="E78" s="976"/>
      <c r="F78" s="976"/>
      <c r="G78" s="973">
        <f>Y78</f>
        <v>0</v>
      </c>
      <c r="H78" s="974"/>
      <c r="I78" s="974">
        <v>840000</v>
      </c>
      <c r="J78" s="974">
        <v>1120000</v>
      </c>
      <c r="K78" s="975">
        <v>440000</v>
      </c>
      <c r="L78" s="974">
        <v>280000</v>
      </c>
      <c r="M78" s="1003">
        <f t="shared" si="24"/>
        <v>2680000</v>
      </c>
      <c r="N78" s="976"/>
      <c r="O78" s="976"/>
      <c r="P78" s="1013">
        <f t="shared" si="25"/>
        <v>-2680000</v>
      </c>
      <c r="Q78" s="976"/>
      <c r="R78" s="977"/>
      <c r="S78" s="974"/>
      <c r="T78" s="1147"/>
      <c r="U78" s="974"/>
      <c r="V78" s="976"/>
      <c r="X78" s="1000" t="s">
        <v>948</v>
      </c>
      <c r="Y78" s="1000">
        <f>SUM(Y69:Y73)</f>
        <v>0</v>
      </c>
      <c r="Z78" s="686"/>
      <c r="AA78" s="686"/>
    </row>
    <row r="79" spans="1:28" ht="15.75" x14ac:dyDescent="0.25">
      <c r="A79" s="723"/>
      <c r="B79" s="720" t="s">
        <v>997</v>
      </c>
      <c r="C79" s="720">
        <v>1024</v>
      </c>
      <c r="D79" s="699" t="s">
        <v>1597</v>
      </c>
      <c r="E79" s="992"/>
      <c r="F79" s="992"/>
      <c r="G79" s="993"/>
      <c r="H79" s="994"/>
      <c r="I79" s="994"/>
      <c r="J79" s="994"/>
      <c r="K79" s="995"/>
      <c r="L79" s="994"/>
      <c r="M79" s="735">
        <f>SUM(M69:M78)</f>
        <v>711362190</v>
      </c>
      <c r="N79" s="992"/>
      <c r="O79" s="992"/>
      <c r="P79" s="1042">
        <f>SUM(P69:P78)</f>
        <v>1243592412</v>
      </c>
      <c r="Q79" s="992"/>
      <c r="R79" s="998"/>
      <c r="S79" s="994"/>
      <c r="T79" s="1153"/>
      <c r="U79" s="994"/>
      <c r="V79" s="992"/>
      <c r="Z79" s="686"/>
      <c r="AA79" s="686"/>
    </row>
    <row r="80" spans="1:28" x14ac:dyDescent="0.25">
      <c r="B80" s="1191" t="s">
        <v>1615</v>
      </c>
      <c r="C80" s="1015">
        <v>1055</v>
      </c>
      <c r="D80" s="983" t="s">
        <v>1621</v>
      </c>
      <c r="E80" s="976" t="s">
        <v>1622</v>
      </c>
      <c r="F80" s="976"/>
      <c r="G80" s="973">
        <v>316730326</v>
      </c>
      <c r="H80" s="974">
        <v>300893810</v>
      </c>
      <c r="I80" s="974">
        <v>165491596</v>
      </c>
      <c r="J80" s="974"/>
      <c r="K80" s="975"/>
      <c r="L80" s="974"/>
      <c r="M80" s="974">
        <f t="shared" ref="M80:M90" si="26">SUM(I80:L80)</f>
        <v>165491596</v>
      </c>
      <c r="N80" s="976"/>
      <c r="O80" s="976"/>
      <c r="P80" s="1013">
        <f t="shared" ref="P80:P90" si="27">IF($H80="",($G80-$M80),($H80-$M80))</f>
        <v>135402214</v>
      </c>
      <c r="Q80" s="976"/>
      <c r="R80" s="977"/>
      <c r="S80" s="974"/>
      <c r="T80" s="1147"/>
      <c r="U80" s="974" t="s">
        <v>1417</v>
      </c>
      <c r="V80" s="976"/>
      <c r="X80" s="1000"/>
      <c r="Y80" s="1000"/>
      <c r="Z80" s="686"/>
      <c r="AA80" s="686"/>
    </row>
    <row r="81" spans="1:27" x14ac:dyDescent="0.25">
      <c r="B81" s="1191" t="s">
        <v>1615</v>
      </c>
      <c r="C81" s="1015">
        <v>1055</v>
      </c>
      <c r="D81" s="983" t="s">
        <v>1623</v>
      </c>
      <c r="E81" s="976" t="s">
        <v>1624</v>
      </c>
      <c r="F81" s="976"/>
      <c r="G81" s="973">
        <v>182070790</v>
      </c>
      <c r="H81" s="974"/>
      <c r="I81" s="974">
        <v>54621237</v>
      </c>
      <c r="J81" s="974">
        <v>72828316</v>
      </c>
      <c r="K81" s="975"/>
      <c r="L81" s="974"/>
      <c r="M81" s="974">
        <f t="shared" si="26"/>
        <v>127449553</v>
      </c>
      <c r="N81" s="976"/>
      <c r="O81" s="976"/>
      <c r="P81" s="1013">
        <f t="shared" si="27"/>
        <v>54621237</v>
      </c>
      <c r="Q81" s="976"/>
      <c r="R81" s="977"/>
      <c r="S81" s="974"/>
      <c r="T81" s="1147"/>
      <c r="U81" s="974" t="s">
        <v>1417</v>
      </c>
      <c r="V81" s="976" t="s">
        <v>1323</v>
      </c>
      <c r="X81" s="1000"/>
      <c r="Y81" s="1000"/>
      <c r="Z81" s="686"/>
      <c r="AA81" s="686"/>
    </row>
    <row r="82" spans="1:27" x14ac:dyDescent="0.25">
      <c r="B82" s="1191" t="s">
        <v>1615</v>
      </c>
      <c r="C82" s="1015">
        <v>1055</v>
      </c>
      <c r="D82" s="983" t="s">
        <v>1416</v>
      </c>
      <c r="E82" s="976" t="s">
        <v>1629</v>
      </c>
      <c r="F82" s="976"/>
      <c r="G82" s="973">
        <v>66770000</v>
      </c>
      <c r="H82" s="974">
        <v>66104500</v>
      </c>
      <c r="I82" s="974">
        <v>33385000</v>
      </c>
      <c r="J82" s="974"/>
      <c r="K82" s="975"/>
      <c r="L82" s="974"/>
      <c r="M82" s="974">
        <f t="shared" si="26"/>
        <v>33385000</v>
      </c>
      <c r="N82" s="976"/>
      <c r="O82" s="976"/>
      <c r="P82" s="1013">
        <f t="shared" si="27"/>
        <v>32719500</v>
      </c>
      <c r="Q82" s="976"/>
      <c r="R82" s="977"/>
      <c r="S82" s="974"/>
      <c r="T82" s="1147" t="s">
        <v>1630</v>
      </c>
      <c r="U82" s="974" t="s">
        <v>1417</v>
      </c>
      <c r="V82" s="976" t="s">
        <v>1631</v>
      </c>
      <c r="X82" s="1000"/>
      <c r="Y82" s="1000"/>
      <c r="Z82" s="686"/>
      <c r="AA82" s="686"/>
    </row>
    <row r="83" spans="1:27" x14ac:dyDescent="0.25">
      <c r="B83" s="1191" t="s">
        <v>1615</v>
      </c>
      <c r="C83" s="1015">
        <v>1055</v>
      </c>
      <c r="D83" s="983" t="s">
        <v>1632</v>
      </c>
      <c r="E83" s="976" t="s">
        <v>1629</v>
      </c>
      <c r="F83" s="976"/>
      <c r="G83" s="973">
        <v>68200000</v>
      </c>
      <c r="H83" s="974">
        <v>68200000</v>
      </c>
      <c r="I83" s="974">
        <v>34100000</v>
      </c>
      <c r="J83" s="974"/>
      <c r="K83" s="975"/>
      <c r="L83" s="974"/>
      <c r="M83" s="974">
        <f t="shared" si="26"/>
        <v>34100000</v>
      </c>
      <c r="N83" s="976"/>
      <c r="O83" s="976"/>
      <c r="P83" s="1013">
        <f t="shared" si="27"/>
        <v>34100000</v>
      </c>
      <c r="Q83" s="976"/>
      <c r="R83" s="977"/>
      <c r="S83" s="974"/>
      <c r="T83" s="1147" t="s">
        <v>1630</v>
      </c>
      <c r="U83" s="974" t="s">
        <v>1633</v>
      </c>
      <c r="V83" s="976" t="s">
        <v>1631</v>
      </c>
      <c r="X83" s="1000"/>
      <c r="Y83" s="1000"/>
      <c r="Z83" s="686"/>
      <c r="AA83" s="686"/>
    </row>
    <row r="84" spans="1:27" x14ac:dyDescent="0.25">
      <c r="B84" s="1191" t="s">
        <v>1615</v>
      </c>
      <c r="C84" s="1015">
        <v>1055</v>
      </c>
      <c r="D84" s="983" t="s">
        <v>1634</v>
      </c>
      <c r="E84" s="976" t="s">
        <v>1635</v>
      </c>
      <c r="F84" s="976"/>
      <c r="G84" s="973">
        <v>347275566</v>
      </c>
      <c r="H84" s="974"/>
      <c r="I84" s="974">
        <v>104182670</v>
      </c>
      <c r="J84" s="974"/>
      <c r="K84" s="975"/>
      <c r="L84" s="974"/>
      <c r="M84" s="974">
        <f t="shared" si="26"/>
        <v>104182670</v>
      </c>
      <c r="N84" s="976"/>
      <c r="O84" s="976"/>
      <c r="P84" s="1013">
        <f t="shared" si="27"/>
        <v>243092896</v>
      </c>
      <c r="Q84" s="976"/>
      <c r="R84" s="977"/>
      <c r="S84" s="974"/>
      <c r="T84" s="1147"/>
      <c r="U84" s="974" t="s">
        <v>1417</v>
      </c>
      <c r="V84" s="976" t="s">
        <v>1323</v>
      </c>
      <c r="X84" s="1000"/>
      <c r="Y84" s="1000"/>
      <c r="Z84" s="686"/>
      <c r="AA84" s="686"/>
    </row>
    <row r="85" spans="1:27" x14ac:dyDescent="0.25">
      <c r="B85" s="1191" t="s">
        <v>1615</v>
      </c>
      <c r="C85" s="1015">
        <v>1055</v>
      </c>
      <c r="D85" s="983" t="s">
        <v>1637</v>
      </c>
      <c r="E85" s="976" t="s">
        <v>1432</v>
      </c>
      <c r="F85" s="976"/>
      <c r="G85" s="973">
        <v>199702089</v>
      </c>
      <c r="H85" s="974">
        <v>179371889</v>
      </c>
      <c r="I85" s="974">
        <v>79880836</v>
      </c>
      <c r="J85" s="974">
        <v>79880836</v>
      </c>
      <c r="K85" s="975"/>
      <c r="L85" s="974"/>
      <c r="M85" s="974">
        <f t="shared" si="26"/>
        <v>159761672</v>
      </c>
      <c r="N85" s="976"/>
      <c r="O85" s="976"/>
      <c r="P85" s="1013">
        <f t="shared" si="27"/>
        <v>19610217</v>
      </c>
      <c r="Q85" s="976"/>
      <c r="R85" s="977"/>
      <c r="S85" s="974"/>
      <c r="T85" s="1147"/>
      <c r="U85" s="974" t="s">
        <v>1417</v>
      </c>
      <c r="V85" s="976" t="s">
        <v>1323</v>
      </c>
      <c r="X85" s="1000"/>
      <c r="Y85" s="1000"/>
      <c r="Z85" s="686"/>
      <c r="AA85" s="686"/>
    </row>
    <row r="86" spans="1:27" x14ac:dyDescent="0.25">
      <c r="B86" s="1191" t="s">
        <v>1615</v>
      </c>
      <c r="C86" s="1015">
        <v>1055</v>
      </c>
      <c r="D86" s="983" t="s">
        <v>1638</v>
      </c>
      <c r="E86" s="976" t="s">
        <v>1639</v>
      </c>
      <c r="F86" s="976"/>
      <c r="G86" s="973">
        <v>39281000</v>
      </c>
      <c r="H86" s="974"/>
      <c r="I86" s="974">
        <v>10713000</v>
      </c>
      <c r="J86" s="974"/>
      <c r="K86" s="975"/>
      <c r="L86" s="974"/>
      <c r="M86" s="974">
        <f t="shared" si="26"/>
        <v>10713000</v>
      </c>
      <c r="N86" s="976"/>
      <c r="O86" s="976"/>
      <c r="P86" s="1013">
        <f t="shared" si="27"/>
        <v>28568000</v>
      </c>
      <c r="Q86" s="976"/>
      <c r="R86" s="977"/>
      <c r="S86" s="974"/>
      <c r="T86" s="1147"/>
      <c r="U86" s="974"/>
      <c r="V86" s="976" t="s">
        <v>1323</v>
      </c>
      <c r="X86" s="1000"/>
      <c r="Y86" s="1000"/>
      <c r="Z86" s="686"/>
      <c r="AA86" s="686"/>
    </row>
    <row r="87" spans="1:27" x14ac:dyDescent="0.25">
      <c r="B87" s="1191" t="s">
        <v>1615</v>
      </c>
      <c r="C87" s="1015">
        <v>1055</v>
      </c>
      <c r="D87" s="983" t="s">
        <v>1640</v>
      </c>
      <c r="E87" s="976" t="s">
        <v>1611</v>
      </c>
      <c r="F87" s="976"/>
      <c r="G87" s="973">
        <v>76612800</v>
      </c>
      <c r="H87" s="974"/>
      <c r="I87" s="974">
        <v>22983840</v>
      </c>
      <c r="J87" s="974">
        <v>30645120</v>
      </c>
      <c r="K87" s="975"/>
      <c r="L87" s="974"/>
      <c r="M87" s="974">
        <f t="shared" si="26"/>
        <v>53628960</v>
      </c>
      <c r="N87" s="976"/>
      <c r="O87" s="976"/>
      <c r="P87" s="1013">
        <f t="shared" si="27"/>
        <v>22983840</v>
      </c>
      <c r="Q87" s="976"/>
      <c r="R87" s="977"/>
      <c r="S87" s="974"/>
      <c r="T87" s="1147"/>
      <c r="U87" s="974" t="s">
        <v>1633</v>
      </c>
      <c r="V87" s="976" t="s">
        <v>1323</v>
      </c>
      <c r="X87" s="1000"/>
      <c r="Y87" s="1000"/>
      <c r="Z87" s="686"/>
      <c r="AA87" s="686"/>
    </row>
    <row r="88" spans="1:27" x14ac:dyDescent="0.25">
      <c r="B88" s="1191" t="s">
        <v>1615</v>
      </c>
      <c r="C88" s="1015">
        <v>1055</v>
      </c>
      <c r="D88" s="983" t="s">
        <v>1360</v>
      </c>
      <c r="E88" s="976" t="s">
        <v>1609</v>
      </c>
      <c r="F88" s="976"/>
      <c r="G88" s="973">
        <v>56210000</v>
      </c>
      <c r="H88" s="974"/>
      <c r="I88" s="974">
        <v>28105000</v>
      </c>
      <c r="J88" s="974"/>
      <c r="K88" s="975"/>
      <c r="L88" s="974"/>
      <c r="M88" s="974">
        <f t="shared" si="26"/>
        <v>28105000</v>
      </c>
      <c r="N88" s="976"/>
      <c r="O88" s="976"/>
      <c r="P88" s="1013">
        <f t="shared" si="27"/>
        <v>28105000</v>
      </c>
      <c r="Q88" s="976"/>
      <c r="R88" s="977"/>
      <c r="S88" s="974"/>
      <c r="T88" s="1147"/>
      <c r="U88" s="974"/>
      <c r="V88" s="976"/>
      <c r="X88" s="1000"/>
      <c r="Y88" s="1000"/>
      <c r="Z88" s="686"/>
      <c r="AA88" s="686"/>
    </row>
    <row r="89" spans="1:27" x14ac:dyDescent="0.25">
      <c r="B89" s="1191" t="s">
        <v>1615</v>
      </c>
      <c r="C89" s="1015">
        <v>1055</v>
      </c>
      <c r="D89" s="983" t="s">
        <v>1641</v>
      </c>
      <c r="E89" s="976" t="s">
        <v>1264</v>
      </c>
      <c r="F89" s="976"/>
      <c r="G89" s="973">
        <v>45510000</v>
      </c>
      <c r="H89" s="974"/>
      <c r="I89" s="974">
        <v>13653000</v>
      </c>
      <c r="J89" s="974"/>
      <c r="K89" s="975"/>
      <c r="L89" s="974"/>
      <c r="M89" s="974">
        <f t="shared" si="26"/>
        <v>13653000</v>
      </c>
      <c r="N89" s="976"/>
      <c r="O89" s="976"/>
      <c r="P89" s="1013">
        <f t="shared" si="27"/>
        <v>31857000</v>
      </c>
      <c r="Q89" s="976"/>
      <c r="R89" s="977"/>
      <c r="S89" s="974"/>
      <c r="T89" s="1147"/>
      <c r="U89" s="974"/>
      <c r="V89" s="976"/>
      <c r="X89" s="1000"/>
      <c r="Y89" s="1000"/>
      <c r="Z89" s="686"/>
      <c r="AA89" s="686"/>
    </row>
    <row r="90" spans="1:27" x14ac:dyDescent="0.25">
      <c r="B90" s="1191" t="s">
        <v>1615</v>
      </c>
      <c r="C90" s="1015">
        <v>1055</v>
      </c>
      <c r="D90" s="983" t="s">
        <v>1268</v>
      </c>
      <c r="E90" s="976" t="s">
        <v>1118</v>
      </c>
      <c r="F90" s="976"/>
      <c r="G90" s="973">
        <v>81059000</v>
      </c>
      <c r="H90" s="974"/>
      <c r="I90" s="974">
        <v>40529500</v>
      </c>
      <c r="J90" s="974"/>
      <c r="K90" s="975"/>
      <c r="L90" s="974"/>
      <c r="M90" s="974">
        <f t="shared" si="26"/>
        <v>40529500</v>
      </c>
      <c r="N90" s="976"/>
      <c r="O90" s="976"/>
      <c r="P90" s="1013">
        <f t="shared" si="27"/>
        <v>40529500</v>
      </c>
      <c r="Q90" s="976"/>
      <c r="R90" s="977"/>
      <c r="S90" s="974"/>
      <c r="T90" s="1147"/>
      <c r="U90" s="974"/>
      <c r="V90" s="976"/>
      <c r="X90" s="1000"/>
      <c r="Y90" s="1000"/>
      <c r="Z90" s="686"/>
      <c r="AA90" s="686"/>
    </row>
    <row r="91" spans="1:27" ht="15.75" x14ac:dyDescent="0.25">
      <c r="A91" s="723"/>
      <c r="B91" s="720" t="s">
        <v>997</v>
      </c>
      <c r="C91" s="720">
        <v>1055</v>
      </c>
      <c r="D91" s="699" t="s">
        <v>1680</v>
      </c>
      <c r="E91" s="992"/>
      <c r="F91" s="992"/>
      <c r="G91" s="993"/>
      <c r="H91" s="994"/>
      <c r="I91" s="994"/>
      <c r="J91" s="994"/>
      <c r="K91" s="995"/>
      <c r="L91" s="994"/>
      <c r="M91" s="735">
        <f>SUM(M80:M90)</f>
        <v>770999951</v>
      </c>
      <c r="N91" s="992"/>
      <c r="O91" s="992"/>
      <c r="P91" s="1042">
        <f>SUM(P80:P90)</f>
        <v>671589404</v>
      </c>
      <c r="Q91" s="992"/>
      <c r="R91" s="998"/>
      <c r="S91" s="994"/>
      <c r="T91" s="1153"/>
      <c r="U91" s="994"/>
      <c r="V91" s="992"/>
      <c r="Z91" s="686"/>
      <c r="AA91" s="686"/>
    </row>
    <row r="92" spans="1:27" x14ac:dyDescent="0.25">
      <c r="A92" s="686">
        <v>34</v>
      </c>
      <c r="B92" s="1191" t="s">
        <v>1681</v>
      </c>
      <c r="C92" s="1015">
        <v>1057</v>
      </c>
      <c r="D92" s="976" t="s">
        <v>1682</v>
      </c>
      <c r="E92" s="985" t="s">
        <v>1683</v>
      </c>
      <c r="F92" s="985"/>
      <c r="G92" s="973">
        <v>66440000</v>
      </c>
      <c r="H92" s="974"/>
      <c r="I92" s="974">
        <v>30200000</v>
      </c>
      <c r="J92" s="974"/>
      <c r="K92" s="975"/>
      <c r="L92" s="974"/>
      <c r="M92" s="974">
        <f>SUM(I92:L92)</f>
        <v>30200000</v>
      </c>
      <c r="N92" s="976"/>
      <c r="O92" s="976"/>
      <c r="P92" s="1013">
        <f t="shared" ref="P92" si="28">IF($H92="",($G92-$M92),($H92-$M92))</f>
        <v>36240000</v>
      </c>
      <c r="Q92" s="976"/>
      <c r="R92" s="977"/>
      <c r="S92" s="974"/>
      <c r="T92" s="1147"/>
      <c r="U92" s="974"/>
      <c r="V92" s="976"/>
      <c r="X92" s="687" t="s">
        <v>1684</v>
      </c>
      <c r="Z92" s="686"/>
      <c r="AA92" s="686"/>
    </row>
    <row r="93" spans="1:27" ht="15.75" x14ac:dyDescent="0.25">
      <c r="A93" s="723"/>
      <c r="B93" s="720" t="s">
        <v>997</v>
      </c>
      <c r="C93" s="720">
        <v>1057</v>
      </c>
      <c r="D93" s="699" t="s">
        <v>1687</v>
      </c>
      <c r="E93" s="992"/>
      <c r="F93" s="992"/>
      <c r="G93" s="993"/>
      <c r="H93" s="994"/>
      <c r="I93" s="994"/>
      <c r="J93" s="994"/>
      <c r="K93" s="995"/>
      <c r="L93" s="994"/>
      <c r="M93" s="735">
        <f>SUM(M92:M92)</f>
        <v>30200000</v>
      </c>
      <c r="N93" s="992"/>
      <c r="O93" s="992"/>
      <c r="P93" s="1042">
        <f>SUM(P92:P92)</f>
        <v>36240000</v>
      </c>
      <c r="Q93" s="992"/>
      <c r="R93" s="998"/>
      <c r="S93" s="994"/>
      <c r="T93" s="1153"/>
      <c r="U93" s="994"/>
      <c r="V93" s="992"/>
      <c r="Z93" s="686"/>
      <c r="AA93" s="686"/>
    </row>
    <row r="94" spans="1:27" ht="15.75" x14ac:dyDescent="0.25">
      <c r="A94" s="723"/>
      <c r="B94" s="720" t="s">
        <v>997</v>
      </c>
      <c r="C94" s="720">
        <v>1049</v>
      </c>
      <c r="D94" s="699" t="s">
        <v>1706</v>
      </c>
      <c r="E94" s="992"/>
      <c r="F94" s="992"/>
      <c r="G94" s="993"/>
      <c r="H94" s="994"/>
      <c r="I94" s="994"/>
      <c r="J94" s="994"/>
      <c r="K94" s="995"/>
      <c r="L94" s="994"/>
      <c r="M94" s="735" t="e">
        <f>SUM(#REF!)</f>
        <v>#REF!</v>
      </c>
      <c r="N94" s="992"/>
      <c r="O94" s="992"/>
      <c r="P94" s="1042" t="e">
        <f>SUM(#REF!)</f>
        <v>#REF!</v>
      </c>
      <c r="Q94" s="992"/>
      <c r="R94" s="998"/>
      <c r="S94" s="994"/>
      <c r="T94" s="1153"/>
      <c r="U94" s="994"/>
      <c r="V94" s="992"/>
      <c r="Z94" s="686"/>
      <c r="AA94" s="686"/>
    </row>
    <row r="95" spans="1:27" x14ac:dyDescent="0.25">
      <c r="A95" s="686">
        <v>37</v>
      </c>
      <c r="B95" s="1145" t="s">
        <v>1707</v>
      </c>
      <c r="C95" s="1191"/>
      <c r="D95" s="976" t="s">
        <v>1708</v>
      </c>
      <c r="E95" s="985" t="s">
        <v>1709</v>
      </c>
      <c r="F95" s="985"/>
      <c r="G95" s="973">
        <v>8000000</v>
      </c>
      <c r="H95" s="974"/>
      <c r="I95" s="974">
        <v>4000000</v>
      </c>
      <c r="J95" s="974"/>
      <c r="K95" s="975"/>
      <c r="L95" s="974"/>
      <c r="M95" s="974">
        <f>SUM(I95:L95)</f>
        <v>4000000</v>
      </c>
      <c r="N95" s="976"/>
      <c r="O95" s="976"/>
      <c r="P95" s="1013">
        <f t="shared" ref="P95:P117" si="29">IF($H95="",($G95-$M95),($H95-$M95))</f>
        <v>4000000</v>
      </c>
      <c r="Q95" s="976"/>
      <c r="R95" s="977"/>
      <c r="S95" s="974"/>
      <c r="T95" s="1147"/>
      <c r="U95" s="974"/>
      <c r="V95" s="976"/>
      <c r="X95" s="687" t="s">
        <v>1710</v>
      </c>
      <c r="Y95" s="687">
        <v>1500000</v>
      </c>
      <c r="Z95" s="686"/>
      <c r="AA95" s="686"/>
    </row>
    <row r="96" spans="1:27" ht="15.75" x14ac:dyDescent="0.25">
      <c r="A96" s="723"/>
      <c r="B96" s="720" t="s">
        <v>997</v>
      </c>
      <c r="C96" s="720"/>
      <c r="D96" s="699" t="s">
        <v>1714</v>
      </c>
      <c r="E96" s="992"/>
      <c r="F96" s="992"/>
      <c r="G96" s="993"/>
      <c r="H96" s="994"/>
      <c r="I96" s="994"/>
      <c r="J96" s="994"/>
      <c r="K96" s="995"/>
      <c r="L96" s="994"/>
      <c r="M96" s="735">
        <f>SUM(M95:M95)</f>
        <v>4000000</v>
      </c>
      <c r="N96" s="992"/>
      <c r="O96" s="992"/>
      <c r="P96" s="1042">
        <f>SUM(P95:P95)</f>
        <v>4000000</v>
      </c>
      <c r="Q96" s="992"/>
      <c r="R96" s="998"/>
      <c r="S96" s="994"/>
      <c r="T96" s="1153"/>
      <c r="U96" s="994"/>
      <c r="V96" s="992"/>
      <c r="Z96" s="686"/>
      <c r="AA96" s="686"/>
    </row>
    <row r="97" spans="1:27" x14ac:dyDescent="0.25">
      <c r="B97" s="1191" t="s">
        <v>1715</v>
      </c>
      <c r="C97" s="1015">
        <v>1063</v>
      </c>
      <c r="D97" s="976" t="s">
        <v>1345</v>
      </c>
      <c r="E97" s="976" t="s">
        <v>1423</v>
      </c>
      <c r="F97" s="976"/>
      <c r="G97" s="973">
        <v>68196290</v>
      </c>
      <c r="H97" s="974"/>
      <c r="I97" s="974">
        <v>20458887</v>
      </c>
      <c r="J97" s="974">
        <v>27278516</v>
      </c>
      <c r="K97" s="975"/>
      <c r="L97" s="974"/>
      <c r="M97" s="974">
        <f t="shared" ref="M97:M103" si="30">SUM(I97:L97)</f>
        <v>47737403</v>
      </c>
      <c r="N97" s="976"/>
      <c r="O97" s="976"/>
      <c r="P97" s="1013">
        <f t="shared" si="29"/>
        <v>20458887</v>
      </c>
      <c r="Q97" s="976"/>
      <c r="R97" s="977"/>
      <c r="S97" s="974"/>
      <c r="T97" s="1147"/>
      <c r="U97" s="974"/>
      <c r="V97" s="976"/>
      <c r="X97" s="687" t="s">
        <v>1710</v>
      </c>
      <c r="Y97" s="687">
        <v>3354000</v>
      </c>
      <c r="Z97" s="686"/>
      <c r="AA97" s="686"/>
    </row>
    <row r="98" spans="1:27" x14ac:dyDescent="0.25">
      <c r="B98" s="1191" t="s">
        <v>1715</v>
      </c>
      <c r="C98" s="1015">
        <v>1063</v>
      </c>
      <c r="D98" s="976" t="s">
        <v>1416</v>
      </c>
      <c r="E98" s="976" t="s">
        <v>1110</v>
      </c>
      <c r="F98" s="976"/>
      <c r="G98" s="973">
        <v>109734240</v>
      </c>
      <c r="H98" s="974"/>
      <c r="I98" s="974">
        <v>32920272</v>
      </c>
      <c r="J98" s="974">
        <v>43893696</v>
      </c>
      <c r="K98" s="975"/>
      <c r="L98" s="974"/>
      <c r="M98" s="974">
        <f t="shared" si="30"/>
        <v>76813968</v>
      </c>
      <c r="N98" s="976"/>
      <c r="O98" s="976"/>
      <c r="P98" s="1013">
        <f t="shared" si="29"/>
        <v>32920272</v>
      </c>
      <c r="Q98" s="976"/>
      <c r="R98" s="977"/>
      <c r="S98" s="974"/>
      <c r="T98" s="1147"/>
      <c r="U98" s="974"/>
      <c r="V98" s="976" t="s">
        <v>1323</v>
      </c>
      <c r="Z98" s="686"/>
      <c r="AA98" s="686"/>
    </row>
    <row r="99" spans="1:27" x14ac:dyDescent="0.25">
      <c r="B99" s="1191" t="s">
        <v>1715</v>
      </c>
      <c r="C99" s="1015">
        <v>1063</v>
      </c>
      <c r="D99" s="976" t="s">
        <v>1721</v>
      </c>
      <c r="E99" s="976" t="s">
        <v>1425</v>
      </c>
      <c r="F99" s="976"/>
      <c r="G99" s="973">
        <v>42097000</v>
      </c>
      <c r="H99" s="974"/>
      <c r="I99" s="974">
        <v>21048500</v>
      </c>
      <c r="J99" s="974"/>
      <c r="K99" s="975"/>
      <c r="L99" s="974"/>
      <c r="M99" s="974">
        <f t="shared" si="30"/>
        <v>21048500</v>
      </c>
      <c r="N99" s="976"/>
      <c r="O99" s="976"/>
      <c r="P99" s="1013">
        <f t="shared" si="29"/>
        <v>21048500</v>
      </c>
      <c r="Q99" s="976"/>
      <c r="R99" s="977"/>
      <c r="S99" s="974"/>
      <c r="T99" s="1147"/>
      <c r="U99" s="974"/>
      <c r="V99" s="976" t="s">
        <v>1323</v>
      </c>
      <c r="Z99" s="686"/>
      <c r="AA99" s="686"/>
    </row>
    <row r="100" spans="1:27" x14ac:dyDescent="0.25">
      <c r="B100" s="1191" t="s">
        <v>1715</v>
      </c>
      <c r="C100" s="1015">
        <v>1063</v>
      </c>
      <c r="D100" s="976" t="s">
        <v>1268</v>
      </c>
      <c r="E100" s="976" t="s">
        <v>1118</v>
      </c>
      <c r="F100" s="976"/>
      <c r="G100" s="973">
        <v>286440000</v>
      </c>
      <c r="H100" s="974">
        <v>351610000</v>
      </c>
      <c r="I100" s="974">
        <v>85932000</v>
      </c>
      <c r="J100" s="974">
        <v>114576000</v>
      </c>
      <c r="K100" s="975"/>
      <c r="L100" s="974"/>
      <c r="M100" s="974">
        <f t="shared" si="30"/>
        <v>200508000</v>
      </c>
      <c r="N100" s="976"/>
      <c r="O100" s="976"/>
      <c r="P100" s="1013">
        <f t="shared" si="29"/>
        <v>151102000</v>
      </c>
      <c r="Q100" s="976"/>
      <c r="R100" s="977"/>
      <c r="S100" s="974"/>
      <c r="T100" s="1147"/>
      <c r="U100" s="974"/>
      <c r="V100" s="976"/>
      <c r="Z100" s="686"/>
      <c r="AA100" s="686"/>
    </row>
    <row r="101" spans="1:27" x14ac:dyDescent="0.25">
      <c r="B101" s="1191" t="s">
        <v>1715</v>
      </c>
      <c r="C101" s="1015">
        <v>1063</v>
      </c>
      <c r="D101" s="976" t="s">
        <v>657</v>
      </c>
      <c r="E101" s="976" t="s">
        <v>1736</v>
      </c>
      <c r="F101" s="976"/>
      <c r="G101" s="973">
        <v>50000000</v>
      </c>
      <c r="H101" s="974"/>
      <c r="I101" s="974">
        <v>25000000</v>
      </c>
      <c r="J101" s="974"/>
      <c r="K101" s="975"/>
      <c r="L101" s="974"/>
      <c r="M101" s="974">
        <f t="shared" si="30"/>
        <v>25000000</v>
      </c>
      <c r="N101" s="976"/>
      <c r="O101" s="976"/>
      <c r="P101" s="1013">
        <f t="shared" si="29"/>
        <v>25000000</v>
      </c>
      <c r="Q101" s="976"/>
      <c r="R101" s="977"/>
      <c r="S101" s="974"/>
      <c r="T101" s="1147"/>
      <c r="U101" s="974"/>
      <c r="V101" s="976"/>
      <c r="Z101" s="686"/>
      <c r="AA101" s="686"/>
    </row>
    <row r="102" spans="1:27" x14ac:dyDescent="0.25">
      <c r="B102" s="1191" t="s">
        <v>1715</v>
      </c>
      <c r="C102" s="1015">
        <v>1063</v>
      </c>
      <c r="D102" s="976" t="s">
        <v>1538</v>
      </c>
      <c r="E102" s="976" t="s">
        <v>1739</v>
      </c>
      <c r="F102" s="976"/>
      <c r="G102" s="973">
        <v>11600000</v>
      </c>
      <c r="H102" s="974"/>
      <c r="I102" s="974">
        <v>5800000</v>
      </c>
      <c r="J102" s="974"/>
      <c r="K102" s="975"/>
      <c r="L102" s="974"/>
      <c r="M102" s="974">
        <f t="shared" si="30"/>
        <v>5800000</v>
      </c>
      <c r="N102" s="976"/>
      <c r="O102" s="976"/>
      <c r="P102" s="1013">
        <f t="shared" si="29"/>
        <v>5800000</v>
      </c>
      <c r="Q102" s="976"/>
      <c r="R102" s="977"/>
      <c r="S102" s="974"/>
      <c r="T102" s="1147"/>
      <c r="U102" s="974"/>
      <c r="V102" s="976"/>
      <c r="Z102" s="686"/>
      <c r="AA102" s="686"/>
    </row>
    <row r="103" spans="1:27" x14ac:dyDescent="0.25">
      <c r="B103" s="1191" t="s">
        <v>1715</v>
      </c>
      <c r="C103" s="1015">
        <v>1063</v>
      </c>
      <c r="D103" s="976" t="s">
        <v>947</v>
      </c>
      <c r="E103" s="976"/>
      <c r="F103" s="976"/>
      <c r="G103" s="973">
        <f>Y103</f>
        <v>3354000</v>
      </c>
      <c r="H103" s="974"/>
      <c r="I103" s="974">
        <v>600000</v>
      </c>
      <c r="J103" s="974">
        <v>1800000</v>
      </c>
      <c r="K103" s="975">
        <v>2100000</v>
      </c>
      <c r="L103" s="974">
        <f>2538000+2370000+3354000+1812000</f>
        <v>10074000</v>
      </c>
      <c r="M103" s="974">
        <f t="shared" si="30"/>
        <v>14574000</v>
      </c>
      <c r="N103" s="976"/>
      <c r="O103" s="976"/>
      <c r="P103" s="1013">
        <f t="shared" si="29"/>
        <v>-11220000</v>
      </c>
      <c r="Q103" s="976"/>
      <c r="R103" s="977"/>
      <c r="S103" s="974"/>
      <c r="T103" s="1147"/>
      <c r="U103" s="974"/>
      <c r="V103" s="976"/>
      <c r="X103" s="1000" t="s">
        <v>948</v>
      </c>
      <c r="Y103" s="1000">
        <f>SUM(Y97:Y98)</f>
        <v>3354000</v>
      </c>
      <c r="Z103" s="686"/>
      <c r="AA103" s="686"/>
    </row>
    <row r="104" spans="1:27" ht="15.75" x14ac:dyDescent="0.25">
      <c r="A104" s="723"/>
      <c r="B104" s="720" t="s">
        <v>997</v>
      </c>
      <c r="C104" s="720">
        <v>1063</v>
      </c>
      <c r="D104" s="699" t="s">
        <v>1715</v>
      </c>
      <c r="E104" s="992"/>
      <c r="F104" s="992"/>
      <c r="G104" s="993"/>
      <c r="H104" s="994"/>
      <c r="I104" s="994"/>
      <c r="J104" s="994"/>
      <c r="K104" s="995"/>
      <c r="L104" s="994"/>
      <c r="M104" s="735">
        <f>SUM(M97:M103)</f>
        <v>391481871</v>
      </c>
      <c r="N104" s="992"/>
      <c r="O104" s="992"/>
      <c r="P104" s="1042">
        <f>SUM(P97:P103)</f>
        <v>245109659</v>
      </c>
      <c r="Q104" s="992"/>
      <c r="R104" s="998"/>
      <c r="S104" s="994"/>
      <c r="T104" s="1153"/>
      <c r="U104" s="994"/>
      <c r="V104" s="992"/>
      <c r="Z104" s="686"/>
      <c r="AA104" s="686"/>
    </row>
    <row r="105" spans="1:27" x14ac:dyDescent="0.25">
      <c r="B105" s="1191" t="s">
        <v>654</v>
      </c>
      <c r="C105" s="1015">
        <v>1064</v>
      </c>
      <c r="D105" s="976" t="s">
        <v>1433</v>
      </c>
      <c r="E105" s="976" t="s">
        <v>887</v>
      </c>
      <c r="F105" s="976"/>
      <c r="G105" s="973">
        <v>26108000</v>
      </c>
      <c r="H105" s="974"/>
      <c r="I105" s="974">
        <v>7832400</v>
      </c>
      <c r="J105" s="974">
        <v>10443200</v>
      </c>
      <c r="K105" s="975"/>
      <c r="L105" s="974"/>
      <c r="M105" s="974">
        <f t="shared" ref="M105:M111" si="31">SUM(I105:L105)</f>
        <v>18275600</v>
      </c>
      <c r="N105" s="976"/>
      <c r="O105" s="976"/>
      <c r="P105" s="1013">
        <f t="shared" si="29"/>
        <v>7832400</v>
      </c>
      <c r="Q105" s="976"/>
      <c r="R105" s="977"/>
      <c r="S105" s="974"/>
      <c r="T105" s="1147"/>
      <c r="U105" s="974"/>
      <c r="V105" s="976"/>
      <c r="X105" s="687" t="s">
        <v>1470</v>
      </c>
      <c r="Y105" s="687">
        <v>1899000</v>
      </c>
      <c r="Z105" s="686"/>
      <c r="AA105" s="686"/>
    </row>
    <row r="106" spans="1:27" x14ac:dyDescent="0.25">
      <c r="B106" s="1191" t="s">
        <v>654</v>
      </c>
      <c r="C106" s="1015">
        <v>1064</v>
      </c>
      <c r="D106" s="976" t="s">
        <v>1765</v>
      </c>
      <c r="E106" s="976" t="s">
        <v>1766</v>
      </c>
      <c r="F106" s="976"/>
      <c r="G106" s="973">
        <v>18473048</v>
      </c>
      <c r="H106" s="974"/>
      <c r="I106" s="974">
        <v>7389219</v>
      </c>
      <c r="J106" s="974">
        <v>7389219</v>
      </c>
      <c r="K106" s="975"/>
      <c r="L106" s="974"/>
      <c r="M106" s="974">
        <f t="shared" si="31"/>
        <v>14778438</v>
      </c>
      <c r="N106" s="976"/>
      <c r="O106" s="976"/>
      <c r="P106" s="1013">
        <f t="shared" si="29"/>
        <v>3694610</v>
      </c>
      <c r="Q106" s="976"/>
      <c r="R106" s="977"/>
      <c r="S106" s="974"/>
      <c r="T106" s="1147"/>
      <c r="U106" s="974"/>
      <c r="V106" s="976" t="s">
        <v>1323</v>
      </c>
      <c r="Z106" s="686"/>
      <c r="AA106" s="686"/>
    </row>
    <row r="107" spans="1:27" x14ac:dyDescent="0.25">
      <c r="B107" s="1191" t="s">
        <v>654</v>
      </c>
      <c r="C107" s="1015">
        <v>1064</v>
      </c>
      <c r="D107" s="976" t="s">
        <v>1774</v>
      </c>
      <c r="E107" s="976" t="s">
        <v>1775</v>
      </c>
      <c r="F107" s="976"/>
      <c r="G107" s="973">
        <v>5390000</v>
      </c>
      <c r="H107" s="974"/>
      <c r="I107" s="974">
        <v>2156000</v>
      </c>
      <c r="J107" s="974">
        <v>2156000</v>
      </c>
      <c r="K107" s="975"/>
      <c r="L107" s="974"/>
      <c r="M107" s="974">
        <f t="shared" si="31"/>
        <v>4312000</v>
      </c>
      <c r="N107" s="976"/>
      <c r="O107" s="976"/>
      <c r="P107" s="1013">
        <f t="shared" si="29"/>
        <v>1078000</v>
      </c>
      <c r="Q107" s="976"/>
      <c r="R107" s="977"/>
      <c r="S107" s="974"/>
      <c r="T107" s="1147"/>
      <c r="U107" s="974"/>
      <c r="V107" s="976"/>
      <c r="Z107" s="686"/>
      <c r="AA107" s="686"/>
    </row>
    <row r="108" spans="1:27" x14ac:dyDescent="0.25">
      <c r="B108" s="1191" t="s">
        <v>654</v>
      </c>
      <c r="C108" s="1015">
        <v>1064</v>
      </c>
      <c r="D108" s="976" t="s">
        <v>1778</v>
      </c>
      <c r="E108" s="976" t="s">
        <v>662</v>
      </c>
      <c r="F108" s="976"/>
      <c r="G108" s="973">
        <v>24288000</v>
      </c>
      <c r="H108" s="974"/>
      <c r="I108" s="974">
        <v>7286400</v>
      </c>
      <c r="J108" s="974"/>
      <c r="K108" s="975"/>
      <c r="L108" s="974"/>
      <c r="M108" s="974">
        <f t="shared" si="31"/>
        <v>7286400</v>
      </c>
      <c r="N108" s="976"/>
      <c r="O108" s="976"/>
      <c r="P108" s="1013">
        <f t="shared" si="29"/>
        <v>17001600</v>
      </c>
      <c r="Q108" s="976"/>
      <c r="R108" s="977"/>
      <c r="S108" s="974"/>
      <c r="T108" s="1147"/>
      <c r="U108" s="974"/>
      <c r="V108" s="976"/>
      <c r="Z108" s="686"/>
      <c r="AA108" s="686"/>
    </row>
    <row r="109" spans="1:27" x14ac:dyDescent="0.25">
      <c r="B109" s="1191" t="s">
        <v>654</v>
      </c>
      <c r="C109" s="1015">
        <v>1064</v>
      </c>
      <c r="D109" s="976" t="s">
        <v>1779</v>
      </c>
      <c r="E109" s="976" t="s">
        <v>1435</v>
      </c>
      <c r="F109" s="976"/>
      <c r="G109" s="973">
        <v>14250000</v>
      </c>
      <c r="H109" s="974"/>
      <c r="I109" s="974">
        <v>8550000</v>
      </c>
      <c r="J109" s="974"/>
      <c r="K109" s="975"/>
      <c r="L109" s="974"/>
      <c r="M109" s="974">
        <f t="shared" si="31"/>
        <v>8550000</v>
      </c>
      <c r="N109" s="976"/>
      <c r="O109" s="976"/>
      <c r="P109" s="1013">
        <f t="shared" si="29"/>
        <v>5700000</v>
      </c>
      <c r="Q109" s="976"/>
      <c r="R109" s="977"/>
      <c r="S109" s="974"/>
      <c r="T109" s="1147"/>
      <c r="U109" s="974"/>
      <c r="V109" s="976"/>
      <c r="Z109" s="686"/>
      <c r="AA109" s="686"/>
    </row>
    <row r="110" spans="1:27" x14ac:dyDescent="0.25">
      <c r="B110" s="1191" t="s">
        <v>654</v>
      </c>
      <c r="C110" s="1015">
        <v>1064</v>
      </c>
      <c r="D110" s="976" t="s">
        <v>1782</v>
      </c>
      <c r="E110" s="976" t="s">
        <v>1783</v>
      </c>
      <c r="F110" s="976"/>
      <c r="G110" s="973">
        <v>7282000</v>
      </c>
      <c r="H110" s="974"/>
      <c r="I110" s="974">
        <v>2912800</v>
      </c>
      <c r="J110" s="974"/>
      <c r="K110" s="975"/>
      <c r="L110" s="974"/>
      <c r="M110" s="974">
        <f t="shared" si="31"/>
        <v>2912800</v>
      </c>
      <c r="N110" s="976"/>
      <c r="O110" s="976"/>
      <c r="P110" s="1013">
        <f t="shared" si="29"/>
        <v>4369200</v>
      </c>
      <c r="Q110" s="976"/>
      <c r="R110" s="977"/>
      <c r="S110" s="974"/>
      <c r="T110" s="1147"/>
      <c r="U110" s="974"/>
      <c r="V110" s="976" t="s">
        <v>1323</v>
      </c>
      <c r="Z110" s="686"/>
      <c r="AA110" s="686"/>
    </row>
    <row r="111" spans="1:27" x14ac:dyDescent="0.25">
      <c r="B111" s="1191" t="s">
        <v>654</v>
      </c>
      <c r="C111" s="1015">
        <v>1064</v>
      </c>
      <c r="D111" s="976" t="s">
        <v>1786</v>
      </c>
      <c r="E111" s="976" t="s">
        <v>1787</v>
      </c>
      <c r="F111" s="976"/>
      <c r="G111" s="973">
        <v>8800000</v>
      </c>
      <c r="H111" s="974"/>
      <c r="I111" s="974">
        <v>4400000</v>
      </c>
      <c r="J111" s="974"/>
      <c r="K111" s="975"/>
      <c r="L111" s="974"/>
      <c r="M111" s="974">
        <f t="shared" si="31"/>
        <v>4400000</v>
      </c>
      <c r="N111" s="976"/>
      <c r="O111" s="976"/>
      <c r="P111" s="1013">
        <f t="shared" si="29"/>
        <v>4400000</v>
      </c>
      <c r="Q111" s="976"/>
      <c r="R111" s="977"/>
      <c r="S111" s="974"/>
      <c r="T111" s="1147"/>
      <c r="U111" s="974"/>
      <c r="V111" s="976" t="s">
        <v>1323</v>
      </c>
      <c r="Z111" s="686"/>
      <c r="AA111" s="686"/>
    </row>
    <row r="112" spans="1:27" ht="15.75" x14ac:dyDescent="0.25">
      <c r="A112" s="723"/>
      <c r="B112" s="720" t="s">
        <v>997</v>
      </c>
      <c r="C112" s="720">
        <v>1064</v>
      </c>
      <c r="D112" s="699" t="s">
        <v>654</v>
      </c>
      <c r="E112" s="992"/>
      <c r="F112" s="992"/>
      <c r="G112" s="993"/>
      <c r="H112" s="994"/>
      <c r="I112" s="994"/>
      <c r="J112" s="994"/>
      <c r="K112" s="995"/>
      <c r="L112" s="994"/>
      <c r="M112" s="735">
        <f>SUM(M105:M111)</f>
        <v>60515238</v>
      </c>
      <c r="N112" s="992"/>
      <c r="O112" s="992"/>
      <c r="P112" s="1042">
        <f>SUM(P105:P111)</f>
        <v>44075810</v>
      </c>
      <c r="Q112" s="992"/>
      <c r="R112" s="998"/>
      <c r="S112" s="994"/>
      <c r="T112" s="1153"/>
      <c r="U112" s="994"/>
      <c r="V112" s="992"/>
      <c r="Z112" s="686"/>
      <c r="AA112" s="686"/>
    </row>
    <row r="113" spans="1:27" x14ac:dyDescent="0.25">
      <c r="B113" s="1191" t="s">
        <v>1795</v>
      </c>
      <c r="C113" s="1015">
        <v>1069</v>
      </c>
      <c r="D113" s="976" t="s">
        <v>1800</v>
      </c>
      <c r="E113" s="976" t="s">
        <v>1801</v>
      </c>
      <c r="F113" s="976"/>
      <c r="G113" s="973">
        <f>8870400+2100000</f>
        <v>10970400</v>
      </c>
      <c r="H113" s="974"/>
      <c r="I113" s="974">
        <v>3291000</v>
      </c>
      <c r="J113" s="974"/>
      <c r="K113" s="975"/>
      <c r="L113" s="974"/>
      <c r="M113" s="974">
        <f t="shared" ref="M113:M117" si="32">SUM(I113:L113)</f>
        <v>3291000</v>
      </c>
      <c r="N113" s="976"/>
      <c r="O113" s="976"/>
      <c r="P113" s="1013">
        <f t="shared" si="29"/>
        <v>7679400</v>
      </c>
      <c r="Q113" s="976"/>
      <c r="R113" s="977"/>
      <c r="S113" s="974"/>
      <c r="T113" s="1147"/>
      <c r="U113" s="974" t="s">
        <v>1417</v>
      </c>
      <c r="V113" s="976"/>
      <c r="Z113" s="686"/>
      <c r="AA113" s="686"/>
    </row>
    <row r="114" spans="1:27" x14ac:dyDescent="0.25">
      <c r="B114" s="1191" t="s">
        <v>1795</v>
      </c>
      <c r="C114" s="1015">
        <v>1069</v>
      </c>
      <c r="D114" s="976" t="s">
        <v>1802</v>
      </c>
      <c r="E114" s="976" t="s">
        <v>887</v>
      </c>
      <c r="F114" s="976"/>
      <c r="G114" s="973">
        <v>79639000</v>
      </c>
      <c r="H114" s="974"/>
      <c r="I114" s="974">
        <v>23891000</v>
      </c>
      <c r="J114" s="974"/>
      <c r="K114" s="975"/>
      <c r="L114" s="974"/>
      <c r="M114" s="974">
        <f t="shared" si="32"/>
        <v>23891000</v>
      </c>
      <c r="N114" s="976"/>
      <c r="O114" s="976"/>
      <c r="P114" s="1013">
        <f t="shared" si="29"/>
        <v>55748000</v>
      </c>
      <c r="Q114" s="976"/>
      <c r="R114" s="977"/>
      <c r="S114" s="974"/>
      <c r="T114" s="1147"/>
      <c r="U114" s="974"/>
      <c r="V114" s="976"/>
      <c r="Z114" s="686"/>
      <c r="AA114" s="686"/>
    </row>
    <row r="115" spans="1:27" x14ac:dyDescent="0.25">
      <c r="B115" s="1191" t="s">
        <v>1795</v>
      </c>
      <c r="C115" s="1015">
        <v>1069</v>
      </c>
      <c r="D115" s="976" t="s">
        <v>1803</v>
      </c>
      <c r="E115" s="976" t="s">
        <v>1425</v>
      </c>
      <c r="F115" s="976"/>
      <c r="G115" s="973">
        <v>70500000</v>
      </c>
      <c r="H115" s="974"/>
      <c r="I115" s="974">
        <v>35250000</v>
      </c>
      <c r="J115" s="974"/>
      <c r="K115" s="975"/>
      <c r="L115" s="974"/>
      <c r="M115" s="974">
        <f t="shared" si="32"/>
        <v>35250000</v>
      </c>
      <c r="N115" s="976"/>
      <c r="O115" s="976"/>
      <c r="P115" s="1013">
        <f t="shared" si="29"/>
        <v>35250000</v>
      </c>
      <c r="Q115" s="976"/>
      <c r="R115" s="977"/>
      <c r="S115" s="974"/>
      <c r="T115" s="1147"/>
      <c r="U115" s="974"/>
      <c r="V115" s="976" t="s">
        <v>1323</v>
      </c>
      <c r="Z115" s="686"/>
      <c r="AA115" s="686"/>
    </row>
    <row r="116" spans="1:27" x14ac:dyDescent="0.25">
      <c r="B116" s="1191" t="s">
        <v>1795</v>
      </c>
      <c r="C116" s="1015">
        <v>1069</v>
      </c>
      <c r="D116" s="976" t="s">
        <v>1807</v>
      </c>
      <c r="E116" s="976" t="s">
        <v>662</v>
      </c>
      <c r="F116" s="976"/>
      <c r="G116" s="973">
        <v>39250000</v>
      </c>
      <c r="H116" s="974"/>
      <c r="I116" s="974">
        <v>11775000</v>
      </c>
      <c r="J116" s="974"/>
      <c r="K116" s="975"/>
      <c r="L116" s="974"/>
      <c r="M116" s="974">
        <f t="shared" si="32"/>
        <v>11775000</v>
      </c>
      <c r="N116" s="976"/>
      <c r="O116" s="976"/>
      <c r="P116" s="1013">
        <f t="shared" si="29"/>
        <v>27475000</v>
      </c>
      <c r="Q116" s="976"/>
      <c r="R116" s="977"/>
      <c r="S116" s="974"/>
      <c r="T116" s="1147"/>
      <c r="U116" s="974"/>
      <c r="V116" s="976"/>
      <c r="Z116" s="686"/>
      <c r="AA116" s="686"/>
    </row>
    <row r="117" spans="1:27" x14ac:dyDescent="0.25">
      <c r="B117" s="1191" t="s">
        <v>1795</v>
      </c>
      <c r="C117" s="1015">
        <v>1069</v>
      </c>
      <c r="D117" s="976" t="s">
        <v>1269</v>
      </c>
      <c r="E117" s="976" t="s">
        <v>521</v>
      </c>
      <c r="F117" s="976"/>
      <c r="G117" s="973">
        <v>10800000</v>
      </c>
      <c r="H117" s="974"/>
      <c r="I117" s="974">
        <v>5000000</v>
      </c>
      <c r="J117" s="974"/>
      <c r="K117" s="975"/>
      <c r="L117" s="974"/>
      <c r="M117" s="974">
        <f t="shared" si="32"/>
        <v>5000000</v>
      </c>
      <c r="N117" s="976"/>
      <c r="O117" s="976"/>
      <c r="P117" s="1013">
        <f t="shared" si="29"/>
        <v>5800000</v>
      </c>
      <c r="Q117" s="976"/>
      <c r="R117" s="977"/>
      <c r="S117" s="974"/>
      <c r="T117" s="1147"/>
      <c r="U117" s="974"/>
      <c r="V117" s="976"/>
      <c r="Z117" s="686"/>
      <c r="AA117" s="686"/>
    </row>
    <row r="118" spans="1:27" ht="15.75" x14ac:dyDescent="0.25">
      <c r="A118" s="723"/>
      <c r="B118" s="720" t="s">
        <v>997</v>
      </c>
      <c r="C118" s="720">
        <v>1069</v>
      </c>
      <c r="D118" s="699" t="s">
        <v>1812</v>
      </c>
      <c r="E118" s="992"/>
      <c r="F118" s="992"/>
      <c r="G118" s="993"/>
      <c r="H118" s="994"/>
      <c r="I118" s="994"/>
      <c r="J118" s="994"/>
      <c r="K118" s="995"/>
      <c r="L118" s="994"/>
      <c r="M118" s="735">
        <f>SUM(M113:M117)</f>
        <v>79207000</v>
      </c>
      <c r="N118" s="992"/>
      <c r="O118" s="992"/>
      <c r="P118" s="1042">
        <f>SUM(P113:P117)</f>
        <v>131952400</v>
      </c>
      <c r="Q118" s="992"/>
      <c r="R118" s="998"/>
      <c r="S118" s="994"/>
      <c r="T118" s="1153"/>
      <c r="U118" s="994"/>
      <c r="V118" s="992"/>
      <c r="Z118" s="686"/>
      <c r="AA118" s="686"/>
    </row>
    <row r="119" spans="1:27" x14ac:dyDescent="0.25">
      <c r="B119" s="1191" t="s">
        <v>671</v>
      </c>
      <c r="C119" s="1015">
        <v>1062</v>
      </c>
      <c r="D119" s="976" t="s">
        <v>1621</v>
      </c>
      <c r="E119" s="976" t="s">
        <v>1820</v>
      </c>
      <c r="F119" s="976"/>
      <c r="G119" s="973">
        <v>205804390</v>
      </c>
      <c r="H119" s="974"/>
      <c r="I119" s="974">
        <v>56128470</v>
      </c>
      <c r="J119" s="974"/>
      <c r="K119" s="975"/>
      <c r="L119" s="974"/>
      <c r="M119" s="974">
        <f t="shared" ref="M119:M129" si="33">SUM(I119:L119)</f>
        <v>56128470</v>
      </c>
      <c r="N119" s="976"/>
      <c r="O119" s="976"/>
      <c r="P119" s="1013">
        <f t="shared" ref="P119:P145" si="34">IF($H119="",($G119-$M119),($H119-$M119))</f>
        <v>149675920</v>
      </c>
      <c r="Q119" s="976"/>
      <c r="R119" s="977"/>
      <c r="S119" s="974"/>
      <c r="T119" s="1147"/>
      <c r="U119" s="974" t="s">
        <v>1417</v>
      </c>
      <c r="V119" s="976" t="s">
        <v>1323</v>
      </c>
      <c r="Z119" s="686"/>
      <c r="AA119" s="686"/>
    </row>
    <row r="120" spans="1:27" x14ac:dyDescent="0.25">
      <c r="B120" s="1191" t="s">
        <v>671</v>
      </c>
      <c r="C120" s="1015">
        <v>1062</v>
      </c>
      <c r="D120" s="976" t="s">
        <v>1825</v>
      </c>
      <c r="E120" s="976" t="s">
        <v>1826</v>
      </c>
      <c r="F120" s="976"/>
      <c r="G120" s="973">
        <v>77948640</v>
      </c>
      <c r="H120" s="974"/>
      <c r="I120" s="974">
        <v>31179456</v>
      </c>
      <c r="J120" s="974">
        <v>31179456</v>
      </c>
      <c r="K120" s="975"/>
      <c r="L120" s="974"/>
      <c r="M120" s="974">
        <f t="shared" si="33"/>
        <v>62358912</v>
      </c>
      <c r="N120" s="976"/>
      <c r="O120" s="976"/>
      <c r="P120" s="1013">
        <f t="shared" si="34"/>
        <v>15589728</v>
      </c>
      <c r="Q120" s="976"/>
      <c r="R120" s="977"/>
      <c r="S120" s="974"/>
      <c r="T120" s="1147"/>
      <c r="U120" s="974" t="s">
        <v>1417</v>
      </c>
      <c r="V120" s="976" t="s">
        <v>1323</v>
      </c>
      <c r="Z120" s="686"/>
      <c r="AA120" s="686"/>
    </row>
    <row r="121" spans="1:27" x14ac:dyDescent="0.25">
      <c r="B121" s="1191" t="s">
        <v>671</v>
      </c>
      <c r="C121" s="1015">
        <v>1062</v>
      </c>
      <c r="D121" s="976" t="s">
        <v>1345</v>
      </c>
      <c r="E121" s="976" t="s">
        <v>1423</v>
      </c>
      <c r="F121" s="976"/>
      <c r="G121" s="973">
        <v>87669000</v>
      </c>
      <c r="H121" s="974"/>
      <c r="I121" s="974">
        <v>26300000</v>
      </c>
      <c r="J121" s="974"/>
      <c r="K121" s="975"/>
      <c r="L121" s="974"/>
      <c r="M121" s="974">
        <f t="shared" si="33"/>
        <v>26300000</v>
      </c>
      <c r="N121" s="976"/>
      <c r="O121" s="976"/>
      <c r="P121" s="1013">
        <f t="shared" si="34"/>
        <v>61369000</v>
      </c>
      <c r="Q121" s="976"/>
      <c r="R121" s="977"/>
      <c r="S121" s="974"/>
      <c r="T121" s="1147"/>
      <c r="U121" s="974"/>
      <c r="V121" s="976"/>
      <c r="Z121" s="686"/>
      <c r="AA121" s="686"/>
    </row>
    <row r="122" spans="1:27" x14ac:dyDescent="0.25">
      <c r="B122" s="1191" t="s">
        <v>671</v>
      </c>
      <c r="C122" s="1015">
        <v>1062</v>
      </c>
      <c r="D122" s="976" t="s">
        <v>1833</v>
      </c>
      <c r="E122" s="976" t="s">
        <v>887</v>
      </c>
      <c r="F122" s="976"/>
      <c r="G122" s="973">
        <v>118500000</v>
      </c>
      <c r="H122" s="974"/>
      <c r="I122" s="974">
        <v>35550000</v>
      </c>
      <c r="J122" s="974">
        <v>47400000</v>
      </c>
      <c r="K122" s="975"/>
      <c r="L122" s="974"/>
      <c r="M122" s="974">
        <f t="shared" si="33"/>
        <v>82950000</v>
      </c>
      <c r="N122" s="976"/>
      <c r="O122" s="976"/>
      <c r="P122" s="1013">
        <f t="shared" si="34"/>
        <v>35550000</v>
      </c>
      <c r="Q122" s="976"/>
      <c r="R122" s="977"/>
      <c r="S122" s="974"/>
      <c r="T122" s="1147"/>
      <c r="U122" s="974"/>
      <c r="V122" s="976"/>
      <c r="Z122" s="686"/>
      <c r="AA122" s="686"/>
    </row>
    <row r="123" spans="1:27" x14ac:dyDescent="0.25">
      <c r="B123" s="1191" t="s">
        <v>671</v>
      </c>
      <c r="C123" s="1015">
        <v>1062</v>
      </c>
      <c r="D123" s="976" t="s">
        <v>1834</v>
      </c>
      <c r="E123" s="976" t="s">
        <v>1484</v>
      </c>
      <c r="F123" s="976"/>
      <c r="G123" s="973">
        <v>29480330</v>
      </c>
      <c r="H123" s="974"/>
      <c r="I123" s="974">
        <v>14740165</v>
      </c>
      <c r="J123" s="974"/>
      <c r="K123" s="975"/>
      <c r="L123" s="974"/>
      <c r="M123" s="974">
        <f t="shared" si="33"/>
        <v>14740165</v>
      </c>
      <c r="N123" s="976"/>
      <c r="O123" s="976"/>
      <c r="P123" s="1013">
        <f t="shared" si="34"/>
        <v>14740165</v>
      </c>
      <c r="Q123" s="976"/>
      <c r="R123" s="977"/>
      <c r="S123" s="974"/>
      <c r="T123" s="1147"/>
      <c r="U123" s="974"/>
      <c r="V123" s="976"/>
      <c r="Z123" s="686"/>
      <c r="AA123" s="686"/>
    </row>
    <row r="124" spans="1:27" x14ac:dyDescent="0.25">
      <c r="B124" s="1191" t="s">
        <v>671</v>
      </c>
      <c r="C124" s="1015">
        <v>1062</v>
      </c>
      <c r="D124" s="976" t="s">
        <v>1705</v>
      </c>
      <c r="E124" s="976" t="s">
        <v>1400</v>
      </c>
      <c r="F124" s="976"/>
      <c r="G124" s="973">
        <v>72980000</v>
      </c>
      <c r="H124" s="974"/>
      <c r="I124" s="974">
        <v>30000000</v>
      </c>
      <c r="J124" s="974"/>
      <c r="K124" s="975"/>
      <c r="L124" s="974"/>
      <c r="M124" s="974">
        <f t="shared" si="33"/>
        <v>30000000</v>
      </c>
      <c r="N124" s="976"/>
      <c r="O124" s="976"/>
      <c r="P124" s="1013">
        <f t="shared" si="34"/>
        <v>42980000</v>
      </c>
      <c r="Q124" s="976"/>
      <c r="R124" s="977"/>
      <c r="S124" s="974"/>
      <c r="T124" s="1147"/>
      <c r="U124" s="974"/>
      <c r="V124" s="976"/>
      <c r="Z124" s="686"/>
      <c r="AA124" s="686"/>
    </row>
    <row r="125" spans="1:27" x14ac:dyDescent="0.25">
      <c r="B125" s="1191" t="s">
        <v>671</v>
      </c>
      <c r="C125" s="1015">
        <v>1062</v>
      </c>
      <c r="D125" s="976" t="s">
        <v>1745</v>
      </c>
      <c r="E125" s="976" t="s">
        <v>1844</v>
      </c>
      <c r="F125" s="976"/>
      <c r="G125" s="973">
        <v>4389000</v>
      </c>
      <c r="H125" s="974"/>
      <c r="I125" s="974">
        <v>2194500</v>
      </c>
      <c r="J125" s="974"/>
      <c r="K125" s="975"/>
      <c r="L125" s="974"/>
      <c r="M125" s="974">
        <f t="shared" si="33"/>
        <v>2194500</v>
      </c>
      <c r="N125" s="976"/>
      <c r="O125" s="976"/>
      <c r="P125" s="1013">
        <f t="shared" si="34"/>
        <v>2194500</v>
      </c>
      <c r="Q125" s="976"/>
      <c r="R125" s="977"/>
      <c r="S125" s="974"/>
      <c r="T125" s="1147"/>
      <c r="U125" s="974"/>
      <c r="V125" s="976" t="s">
        <v>1323</v>
      </c>
      <c r="Z125" s="686"/>
      <c r="AA125" s="686"/>
    </row>
    <row r="126" spans="1:27" x14ac:dyDescent="0.25">
      <c r="B126" s="1191" t="s">
        <v>671</v>
      </c>
      <c r="C126" s="1015">
        <v>1062</v>
      </c>
      <c r="D126" s="976" t="s">
        <v>1845</v>
      </c>
      <c r="E126" s="976" t="s">
        <v>1118</v>
      </c>
      <c r="F126" s="976"/>
      <c r="G126" s="973">
        <v>241078000</v>
      </c>
      <c r="H126" s="974"/>
      <c r="I126" s="974">
        <v>72323400</v>
      </c>
      <c r="J126" s="974"/>
      <c r="K126" s="975"/>
      <c r="L126" s="974"/>
      <c r="M126" s="974">
        <f t="shared" si="33"/>
        <v>72323400</v>
      </c>
      <c r="N126" s="976"/>
      <c r="O126" s="976"/>
      <c r="P126" s="1013">
        <f t="shared" si="34"/>
        <v>168754600</v>
      </c>
      <c r="Q126" s="976"/>
      <c r="R126" s="977"/>
      <c r="S126" s="974"/>
      <c r="T126" s="1147"/>
      <c r="U126" s="974"/>
      <c r="V126" s="976"/>
      <c r="Z126" s="686"/>
      <c r="AA126" s="686"/>
    </row>
    <row r="127" spans="1:27" x14ac:dyDescent="0.25">
      <c r="B127" s="1191" t="s">
        <v>671</v>
      </c>
      <c r="C127" s="1015">
        <v>1062</v>
      </c>
      <c r="D127" s="976" t="s">
        <v>1610</v>
      </c>
      <c r="E127" s="976" t="s">
        <v>1611</v>
      </c>
      <c r="F127" s="976"/>
      <c r="G127" s="973">
        <v>87444500</v>
      </c>
      <c r="H127" s="974"/>
      <c r="I127" s="974">
        <v>26233350</v>
      </c>
      <c r="J127" s="974">
        <v>34977800</v>
      </c>
      <c r="K127" s="975"/>
      <c r="L127" s="974"/>
      <c r="M127" s="974">
        <f t="shared" si="33"/>
        <v>61211150</v>
      </c>
      <c r="N127" s="976"/>
      <c r="O127" s="976"/>
      <c r="P127" s="1013">
        <f t="shared" si="34"/>
        <v>26233350</v>
      </c>
      <c r="Q127" s="976"/>
      <c r="R127" s="977"/>
      <c r="S127" s="974"/>
      <c r="T127" s="1147"/>
      <c r="U127" s="974"/>
      <c r="V127" s="976" t="s">
        <v>1323</v>
      </c>
      <c r="Z127" s="686"/>
      <c r="AA127" s="686"/>
    </row>
    <row r="128" spans="1:27" x14ac:dyDescent="0.25">
      <c r="B128" s="1191" t="s">
        <v>671</v>
      </c>
      <c r="C128" s="1015">
        <v>1062</v>
      </c>
      <c r="D128" s="976" t="s">
        <v>1847</v>
      </c>
      <c r="E128" s="976" t="s">
        <v>1477</v>
      </c>
      <c r="F128" s="976"/>
      <c r="G128" s="973">
        <v>8503000</v>
      </c>
      <c r="H128" s="974"/>
      <c r="I128" s="974">
        <v>4251500</v>
      </c>
      <c r="J128" s="974"/>
      <c r="K128" s="975"/>
      <c r="L128" s="974"/>
      <c r="M128" s="974">
        <f t="shared" si="33"/>
        <v>4251500</v>
      </c>
      <c r="N128" s="976"/>
      <c r="O128" s="976"/>
      <c r="P128" s="1013">
        <f t="shared" si="34"/>
        <v>4251500</v>
      </c>
      <c r="Q128" s="976"/>
      <c r="R128" s="977"/>
      <c r="S128" s="974"/>
      <c r="T128" s="1147"/>
      <c r="U128" s="974" t="s">
        <v>1417</v>
      </c>
      <c r="V128" s="976" t="s">
        <v>1323</v>
      </c>
      <c r="Z128" s="686"/>
      <c r="AA128" s="686"/>
    </row>
    <row r="129" spans="1:27" x14ac:dyDescent="0.25">
      <c r="B129" s="1191" t="s">
        <v>671</v>
      </c>
      <c r="C129" s="1015">
        <v>1062</v>
      </c>
      <c r="D129" s="976" t="s">
        <v>1850</v>
      </c>
      <c r="E129" s="976" t="s">
        <v>1851</v>
      </c>
      <c r="F129" s="976"/>
      <c r="G129" s="973">
        <v>73920000</v>
      </c>
      <c r="H129" s="974"/>
      <c r="I129" s="974">
        <v>66528000</v>
      </c>
      <c r="J129" s="974"/>
      <c r="K129" s="975"/>
      <c r="L129" s="974"/>
      <c r="M129" s="974">
        <f t="shared" si="33"/>
        <v>66528000</v>
      </c>
      <c r="N129" s="976"/>
      <c r="O129" s="976"/>
      <c r="P129" s="1013">
        <f t="shared" si="34"/>
        <v>7392000</v>
      </c>
      <c r="Q129" s="976"/>
      <c r="R129" s="977"/>
      <c r="S129" s="974"/>
      <c r="T129" s="1147"/>
      <c r="U129" s="974"/>
      <c r="V129" s="976" t="s">
        <v>1323</v>
      </c>
      <c r="Z129" s="686"/>
      <c r="AA129" s="686"/>
    </row>
    <row r="130" spans="1:27" ht="15.75" x14ac:dyDescent="0.25">
      <c r="A130" s="723"/>
      <c r="B130" s="720" t="s">
        <v>997</v>
      </c>
      <c r="C130" s="720">
        <v>1062</v>
      </c>
      <c r="D130" s="699" t="s">
        <v>671</v>
      </c>
      <c r="E130" s="992"/>
      <c r="F130" s="992"/>
      <c r="G130" s="993"/>
      <c r="H130" s="994"/>
      <c r="I130" s="994"/>
      <c r="J130" s="994"/>
      <c r="K130" s="995"/>
      <c r="L130" s="994"/>
      <c r="M130" s="735">
        <f>SUM(M119:M129)</f>
        <v>478986097</v>
      </c>
      <c r="N130" s="992"/>
      <c r="O130" s="992"/>
      <c r="P130" s="1042">
        <f>SUM(P119:P129)</f>
        <v>528730763</v>
      </c>
      <c r="Q130" s="992"/>
      <c r="R130" s="998"/>
      <c r="S130" s="994"/>
      <c r="T130" s="1153"/>
      <c r="U130" s="994"/>
      <c r="V130" s="992"/>
      <c r="Z130" s="686"/>
      <c r="AA130" s="686"/>
    </row>
    <row r="131" spans="1:27" x14ac:dyDescent="0.25">
      <c r="A131" s="686">
        <v>43</v>
      </c>
      <c r="B131" s="1191" t="s">
        <v>1860</v>
      </c>
      <c r="C131" s="1015">
        <v>1066</v>
      </c>
      <c r="D131" s="976" t="s">
        <v>657</v>
      </c>
      <c r="E131" s="1107" t="s">
        <v>1861</v>
      </c>
      <c r="F131" s="1107"/>
      <c r="G131" s="973">
        <v>19925313</v>
      </c>
      <c r="H131" s="974"/>
      <c r="I131" s="974">
        <v>9962656</v>
      </c>
      <c r="J131" s="974"/>
      <c r="K131" s="975"/>
      <c r="L131" s="974"/>
      <c r="M131" s="974">
        <f>SUM(I131:L131)</f>
        <v>9962656</v>
      </c>
      <c r="N131" s="976"/>
      <c r="O131" s="976"/>
      <c r="P131" s="1013">
        <f t="shared" ref="P131:P133" si="35">IF($H131="",($G131-$M131),($H131-$M131))</f>
        <v>9962657</v>
      </c>
      <c r="Q131" s="976"/>
      <c r="R131" s="977"/>
      <c r="S131" s="974"/>
      <c r="T131" s="1147"/>
      <c r="U131" s="974"/>
      <c r="V131" s="976" t="s">
        <v>1323</v>
      </c>
      <c r="X131" s="687" t="s">
        <v>1684</v>
      </c>
      <c r="Z131" s="686"/>
      <c r="AA131" s="686"/>
    </row>
    <row r="132" spans="1:27" x14ac:dyDescent="0.25">
      <c r="B132" s="1191" t="s">
        <v>1860</v>
      </c>
      <c r="C132" s="1015">
        <v>1066</v>
      </c>
      <c r="D132" s="976" t="s">
        <v>1682</v>
      </c>
      <c r="E132" s="976" t="s">
        <v>1683</v>
      </c>
      <c r="F132" s="976"/>
      <c r="G132" s="973">
        <v>66000000</v>
      </c>
      <c r="H132" s="974"/>
      <c r="I132" s="974">
        <v>30000000</v>
      </c>
      <c r="J132" s="974"/>
      <c r="K132" s="975"/>
      <c r="L132" s="974"/>
      <c r="M132" s="974">
        <f>SUM(I132:L132)</f>
        <v>30000000</v>
      </c>
      <c r="N132" s="976"/>
      <c r="O132" s="976"/>
      <c r="P132" s="1013">
        <f t="shared" si="35"/>
        <v>36000000</v>
      </c>
      <c r="Q132" s="976"/>
      <c r="R132" s="977"/>
      <c r="S132" s="974"/>
      <c r="T132" s="1147"/>
      <c r="U132" s="974"/>
      <c r="V132" s="976" t="s">
        <v>1323</v>
      </c>
      <c r="Z132" s="686"/>
      <c r="AA132" s="686"/>
    </row>
    <row r="133" spans="1:27" x14ac:dyDescent="0.25">
      <c r="B133" s="1191" t="s">
        <v>1860</v>
      </c>
      <c r="C133" s="1015">
        <v>1066</v>
      </c>
      <c r="D133" s="976" t="s">
        <v>1862</v>
      </c>
      <c r="E133" s="976" t="s">
        <v>1432</v>
      </c>
      <c r="F133" s="976"/>
      <c r="G133" s="973">
        <v>100570800</v>
      </c>
      <c r="H133" s="974"/>
      <c r="I133" s="974">
        <v>40228320</v>
      </c>
      <c r="J133" s="974"/>
      <c r="K133" s="975"/>
      <c r="L133" s="974"/>
      <c r="M133" s="974">
        <f t="shared" ref="M133" si="36">SUM(I133:L133)</f>
        <v>40228320</v>
      </c>
      <c r="N133" s="976"/>
      <c r="O133" s="976"/>
      <c r="P133" s="1013">
        <f t="shared" si="35"/>
        <v>60342480</v>
      </c>
      <c r="Q133" s="976"/>
      <c r="R133" s="977"/>
      <c r="S133" s="974"/>
      <c r="T133" s="1147"/>
      <c r="U133" s="974"/>
      <c r="V133" s="976" t="s">
        <v>1323</v>
      </c>
      <c r="Z133" s="686"/>
      <c r="AA133" s="686"/>
    </row>
    <row r="134" spans="1:27" ht="15.75" x14ac:dyDescent="0.25">
      <c r="A134" s="723"/>
      <c r="B134" s="720" t="s">
        <v>997</v>
      </c>
      <c r="C134" s="720">
        <v>1066</v>
      </c>
      <c r="D134" s="699" t="s">
        <v>1860</v>
      </c>
      <c r="E134" s="992"/>
      <c r="F134" s="992"/>
      <c r="G134" s="993"/>
      <c r="H134" s="994"/>
      <c r="I134" s="994"/>
      <c r="J134" s="994"/>
      <c r="K134" s="995"/>
      <c r="L134" s="994"/>
      <c r="M134" s="735">
        <f>SUM(M131:M133)</f>
        <v>80190976</v>
      </c>
      <c r="N134" s="992"/>
      <c r="O134" s="992"/>
      <c r="P134" s="1042">
        <f>SUM(P131:P133)</f>
        <v>106305137</v>
      </c>
      <c r="Q134" s="992"/>
      <c r="R134" s="998"/>
      <c r="S134" s="994"/>
      <c r="T134" s="1153"/>
      <c r="U134" s="994"/>
      <c r="V134" s="992"/>
      <c r="Z134" s="686"/>
      <c r="AA134" s="686"/>
    </row>
    <row r="135" spans="1:27" x14ac:dyDescent="0.25">
      <c r="A135" s="686">
        <v>44</v>
      </c>
      <c r="B135" s="1191" t="s">
        <v>669</v>
      </c>
      <c r="C135" s="1015">
        <v>1067</v>
      </c>
      <c r="D135" s="976" t="s">
        <v>1864</v>
      </c>
      <c r="E135" s="1107" t="s">
        <v>1865</v>
      </c>
      <c r="F135" s="1107"/>
      <c r="G135" s="973">
        <v>164313600</v>
      </c>
      <c r="H135" s="974"/>
      <c r="I135" s="974">
        <v>65725440</v>
      </c>
      <c r="J135" s="974">
        <v>29875200</v>
      </c>
      <c r="K135" s="975"/>
      <c r="L135" s="974"/>
      <c r="M135" s="974">
        <f>SUM(I135:L135)</f>
        <v>95600640</v>
      </c>
      <c r="N135" s="976"/>
      <c r="O135" s="976"/>
      <c r="P135" s="1013">
        <f t="shared" si="34"/>
        <v>68712960</v>
      </c>
      <c r="Q135" s="976"/>
      <c r="R135" s="977"/>
      <c r="S135" s="974"/>
      <c r="T135" s="1147"/>
      <c r="U135" s="974" t="s">
        <v>1866</v>
      </c>
      <c r="V135" s="976" t="s">
        <v>1323</v>
      </c>
      <c r="X135" s="687" t="s">
        <v>1692</v>
      </c>
      <c r="Y135" s="687">
        <v>300000</v>
      </c>
      <c r="Z135" s="686"/>
      <c r="AA135" s="686"/>
    </row>
    <row r="136" spans="1:27" x14ac:dyDescent="0.25">
      <c r="B136" s="1191" t="s">
        <v>669</v>
      </c>
      <c r="C136" s="1015">
        <v>1067</v>
      </c>
      <c r="D136" s="976" t="s">
        <v>1868</v>
      </c>
      <c r="E136" s="976" t="s">
        <v>1869</v>
      </c>
      <c r="F136" s="976"/>
      <c r="G136" s="973">
        <v>75427220</v>
      </c>
      <c r="H136" s="974"/>
      <c r="I136" s="974">
        <v>34285100</v>
      </c>
      <c r="J136" s="974"/>
      <c r="K136" s="975"/>
      <c r="L136" s="974"/>
      <c r="M136" s="974">
        <f t="shared" ref="M136:M145" si="37">SUM(I136:L136)</f>
        <v>34285100</v>
      </c>
      <c r="N136" s="976"/>
      <c r="O136" s="976"/>
      <c r="P136" s="1013">
        <f t="shared" si="34"/>
        <v>41142120</v>
      </c>
      <c r="Q136" s="976"/>
      <c r="R136" s="977"/>
      <c r="S136" s="974"/>
      <c r="T136" s="1147"/>
      <c r="U136" s="974" t="s">
        <v>1417</v>
      </c>
      <c r="V136" s="976" t="s">
        <v>1323</v>
      </c>
      <c r="X136" s="687" t="s">
        <v>1720</v>
      </c>
      <c r="Y136" s="687">
        <v>1400000</v>
      </c>
      <c r="Z136" s="686"/>
      <c r="AA136" s="686"/>
    </row>
    <row r="137" spans="1:27" x14ac:dyDescent="0.25">
      <c r="B137" s="1191" t="s">
        <v>669</v>
      </c>
      <c r="C137" s="1015">
        <v>1067</v>
      </c>
      <c r="D137" s="976" t="s">
        <v>1722</v>
      </c>
      <c r="E137" s="976" t="s">
        <v>1870</v>
      </c>
      <c r="F137" s="976"/>
      <c r="G137" s="973">
        <v>122579413</v>
      </c>
      <c r="H137" s="974"/>
      <c r="I137" s="974">
        <v>49031766</v>
      </c>
      <c r="J137" s="974">
        <v>49031766</v>
      </c>
      <c r="K137" s="975"/>
      <c r="L137" s="974"/>
      <c r="M137" s="974">
        <f t="shared" si="37"/>
        <v>98063532</v>
      </c>
      <c r="N137" s="976"/>
      <c r="O137" s="976"/>
      <c r="P137" s="1013">
        <f t="shared" si="34"/>
        <v>24515881</v>
      </c>
      <c r="Q137" s="976"/>
      <c r="R137" s="977"/>
      <c r="S137" s="974"/>
      <c r="T137" s="1147"/>
      <c r="U137" s="974" t="s">
        <v>1417</v>
      </c>
      <c r="V137" s="976" t="s">
        <v>1323</v>
      </c>
      <c r="Z137" s="686"/>
      <c r="AA137" s="686"/>
    </row>
    <row r="138" spans="1:27" x14ac:dyDescent="0.25">
      <c r="B138" s="1191" t="s">
        <v>669</v>
      </c>
      <c r="C138" s="1015">
        <v>1067</v>
      </c>
      <c r="D138" s="976" t="s">
        <v>1872</v>
      </c>
      <c r="E138" s="976" t="s">
        <v>1873</v>
      </c>
      <c r="F138" s="976"/>
      <c r="G138" s="973">
        <v>87980750</v>
      </c>
      <c r="H138" s="974"/>
      <c r="I138" s="974">
        <v>33499400</v>
      </c>
      <c r="J138" s="974">
        <v>50249100</v>
      </c>
      <c r="K138" s="975"/>
      <c r="L138" s="974"/>
      <c r="M138" s="974">
        <f t="shared" si="37"/>
        <v>83748500</v>
      </c>
      <c r="N138" s="976"/>
      <c r="O138" s="976"/>
      <c r="P138" s="1013">
        <f t="shared" si="34"/>
        <v>4232250</v>
      </c>
      <c r="Q138" s="976"/>
      <c r="R138" s="977"/>
      <c r="S138" s="974"/>
      <c r="T138" s="1147"/>
      <c r="U138" s="974" t="s">
        <v>1417</v>
      </c>
      <c r="V138" s="976" t="s">
        <v>1323</v>
      </c>
      <c r="Z138" s="686"/>
      <c r="AA138" s="686"/>
    </row>
    <row r="139" spans="1:27" x14ac:dyDescent="0.25">
      <c r="B139" s="1191" t="s">
        <v>669</v>
      </c>
      <c r="C139" s="1015">
        <v>1067</v>
      </c>
      <c r="D139" s="976" t="s">
        <v>1874</v>
      </c>
      <c r="E139" s="976" t="s">
        <v>1875</v>
      </c>
      <c r="F139" s="976"/>
      <c r="G139" s="973">
        <v>124003000</v>
      </c>
      <c r="H139" s="974"/>
      <c r="I139" s="974">
        <v>62000000</v>
      </c>
      <c r="J139" s="974"/>
      <c r="K139" s="975"/>
      <c r="L139" s="974"/>
      <c r="M139" s="974">
        <f t="shared" si="37"/>
        <v>62000000</v>
      </c>
      <c r="N139" s="976"/>
      <c r="O139" s="976"/>
      <c r="P139" s="1013">
        <f t="shared" si="34"/>
        <v>62003000</v>
      </c>
      <c r="Q139" s="976"/>
      <c r="R139" s="977"/>
      <c r="S139" s="974"/>
      <c r="T139" s="1147"/>
      <c r="U139" s="974"/>
      <c r="V139" s="976" t="s">
        <v>1323</v>
      </c>
      <c r="Z139" s="686"/>
      <c r="AA139" s="686"/>
    </row>
    <row r="140" spans="1:27" x14ac:dyDescent="0.25">
      <c r="B140" s="1191" t="s">
        <v>669</v>
      </c>
      <c r="C140" s="1015">
        <v>1067</v>
      </c>
      <c r="D140" s="976" t="s">
        <v>1876</v>
      </c>
      <c r="E140" s="976" t="s">
        <v>1458</v>
      </c>
      <c r="F140" s="976"/>
      <c r="G140" s="973">
        <v>107082800</v>
      </c>
      <c r="H140" s="974"/>
      <c r="I140" s="974">
        <v>53541400</v>
      </c>
      <c r="J140" s="974"/>
      <c r="K140" s="975"/>
      <c r="L140" s="974"/>
      <c r="M140" s="974">
        <f t="shared" si="37"/>
        <v>53541400</v>
      </c>
      <c r="N140" s="976"/>
      <c r="O140" s="976"/>
      <c r="P140" s="1013">
        <f t="shared" si="34"/>
        <v>53541400</v>
      </c>
      <c r="Q140" s="976"/>
      <c r="R140" s="977"/>
      <c r="S140" s="974"/>
      <c r="T140" s="1147"/>
      <c r="U140" s="974"/>
      <c r="V140" s="976"/>
      <c r="Z140" s="686"/>
      <c r="AA140" s="686"/>
    </row>
    <row r="141" spans="1:27" x14ac:dyDescent="0.25">
      <c r="B141" s="1191" t="s">
        <v>669</v>
      </c>
      <c r="C141" s="1015">
        <v>1067</v>
      </c>
      <c r="D141" s="976" t="s">
        <v>1878</v>
      </c>
      <c r="E141" s="976" t="s">
        <v>1400</v>
      </c>
      <c r="F141" s="976"/>
      <c r="G141" s="973">
        <v>79199000</v>
      </c>
      <c r="H141" s="974"/>
      <c r="I141" s="974">
        <v>40000000</v>
      </c>
      <c r="J141" s="974"/>
      <c r="K141" s="975"/>
      <c r="L141" s="974"/>
      <c r="M141" s="974">
        <f t="shared" si="37"/>
        <v>40000000</v>
      </c>
      <c r="N141" s="976"/>
      <c r="O141" s="976"/>
      <c r="P141" s="1013">
        <f t="shared" si="34"/>
        <v>39199000</v>
      </c>
      <c r="Q141" s="976"/>
      <c r="R141" s="977"/>
      <c r="S141" s="974"/>
      <c r="T141" s="1147"/>
      <c r="U141" s="974"/>
      <c r="V141" s="976"/>
      <c r="Z141" s="686"/>
      <c r="AA141" s="686"/>
    </row>
    <row r="142" spans="1:27" x14ac:dyDescent="0.25">
      <c r="B142" s="1191" t="s">
        <v>669</v>
      </c>
      <c r="C142" s="1015">
        <v>1067</v>
      </c>
      <c r="D142" s="976" t="s">
        <v>1886</v>
      </c>
      <c r="E142" s="976" t="s">
        <v>1887</v>
      </c>
      <c r="F142" s="976"/>
      <c r="G142" s="973">
        <v>9680000</v>
      </c>
      <c r="H142" s="974"/>
      <c r="I142" s="974">
        <v>4840000</v>
      </c>
      <c r="J142" s="974"/>
      <c r="K142" s="975"/>
      <c r="L142" s="974"/>
      <c r="M142" s="974">
        <f t="shared" si="37"/>
        <v>4840000</v>
      </c>
      <c r="N142" s="976"/>
      <c r="O142" s="976"/>
      <c r="P142" s="1013">
        <f t="shared" si="34"/>
        <v>4840000</v>
      </c>
      <c r="Q142" s="976"/>
      <c r="R142" s="977"/>
      <c r="S142" s="974"/>
      <c r="T142" s="1147"/>
      <c r="U142" s="974"/>
      <c r="V142" s="976" t="s">
        <v>1323</v>
      </c>
      <c r="Z142" s="686"/>
      <c r="AA142" s="686"/>
    </row>
    <row r="143" spans="1:27" x14ac:dyDescent="0.25">
      <c r="B143" s="1191" t="s">
        <v>669</v>
      </c>
      <c r="C143" s="1015">
        <v>1067</v>
      </c>
      <c r="D143" s="976" t="s">
        <v>1447</v>
      </c>
      <c r="E143" s="976" t="s">
        <v>1316</v>
      </c>
      <c r="F143" s="976"/>
      <c r="G143" s="973">
        <v>64000000</v>
      </c>
      <c r="H143" s="974"/>
      <c r="I143" s="974">
        <v>24000000</v>
      </c>
      <c r="J143" s="974"/>
      <c r="K143" s="975"/>
      <c r="L143" s="974"/>
      <c r="M143" s="974">
        <f t="shared" si="37"/>
        <v>24000000</v>
      </c>
      <c r="N143" s="976"/>
      <c r="O143" s="976"/>
      <c r="P143" s="1013">
        <f t="shared" si="34"/>
        <v>40000000</v>
      </c>
      <c r="Q143" s="976"/>
      <c r="R143" s="977"/>
      <c r="S143" s="974"/>
      <c r="T143" s="1147"/>
      <c r="U143" s="974"/>
      <c r="V143" s="976"/>
      <c r="Z143" s="686"/>
      <c r="AA143" s="686"/>
    </row>
    <row r="144" spans="1:27" x14ac:dyDescent="0.25">
      <c r="B144" s="1191" t="s">
        <v>669</v>
      </c>
      <c r="C144" s="1015">
        <v>1067</v>
      </c>
      <c r="D144" s="976" t="s">
        <v>1888</v>
      </c>
      <c r="E144" s="976" t="s">
        <v>887</v>
      </c>
      <c r="F144" s="976"/>
      <c r="G144" s="973">
        <v>49740000</v>
      </c>
      <c r="H144" s="974"/>
      <c r="I144" s="974">
        <v>14922000</v>
      </c>
      <c r="J144" s="974"/>
      <c r="K144" s="975"/>
      <c r="L144" s="974"/>
      <c r="M144" s="974">
        <f t="shared" si="37"/>
        <v>14922000</v>
      </c>
      <c r="N144" s="976"/>
      <c r="O144" s="976"/>
      <c r="P144" s="1013">
        <f t="shared" si="34"/>
        <v>34818000</v>
      </c>
      <c r="Q144" s="976"/>
      <c r="R144" s="977"/>
      <c r="S144" s="974"/>
      <c r="T144" s="1147"/>
      <c r="U144" s="974"/>
      <c r="V144" s="976"/>
      <c r="Z144" s="686"/>
      <c r="AA144" s="686"/>
    </row>
    <row r="145" spans="1:27" x14ac:dyDescent="0.25">
      <c r="B145" s="1191" t="s">
        <v>669</v>
      </c>
      <c r="C145" s="1015">
        <v>1067</v>
      </c>
      <c r="D145" s="976" t="s">
        <v>1268</v>
      </c>
      <c r="E145" s="976" t="s">
        <v>1899</v>
      </c>
      <c r="F145" s="976"/>
      <c r="G145" s="973">
        <v>121787600</v>
      </c>
      <c r="H145" s="974"/>
      <c r="I145" s="974">
        <v>36536280</v>
      </c>
      <c r="J145" s="974"/>
      <c r="K145" s="975"/>
      <c r="L145" s="974"/>
      <c r="M145" s="974">
        <f t="shared" si="37"/>
        <v>36536280</v>
      </c>
      <c r="N145" s="976"/>
      <c r="O145" s="976"/>
      <c r="P145" s="1013">
        <f t="shared" si="34"/>
        <v>85251320</v>
      </c>
      <c r="Q145" s="976"/>
      <c r="R145" s="977"/>
      <c r="S145" s="974"/>
      <c r="T145" s="1147"/>
      <c r="U145" s="974"/>
      <c r="V145" s="976" t="s">
        <v>1323</v>
      </c>
      <c r="Z145" s="686"/>
      <c r="AA145" s="686"/>
    </row>
    <row r="146" spans="1:27" ht="15.75" x14ac:dyDescent="0.25">
      <c r="A146" s="723"/>
      <c r="B146" s="720" t="s">
        <v>997</v>
      </c>
      <c r="C146" s="720">
        <v>1067</v>
      </c>
      <c r="D146" s="699" t="s">
        <v>669</v>
      </c>
      <c r="E146" s="992"/>
      <c r="F146" s="992"/>
      <c r="G146" s="993"/>
      <c r="H146" s="994"/>
      <c r="I146" s="994"/>
      <c r="J146" s="994"/>
      <c r="K146" s="995"/>
      <c r="L146" s="994"/>
      <c r="M146" s="735">
        <f>SUM(M135:M145)</f>
        <v>547537452</v>
      </c>
      <c r="N146" s="992"/>
      <c r="O146" s="992"/>
      <c r="P146" s="1042">
        <f>SUM(P135:P145)</f>
        <v>458255931</v>
      </c>
      <c r="Q146" s="992"/>
      <c r="R146" s="998"/>
      <c r="S146" s="994"/>
      <c r="T146" s="1153"/>
      <c r="U146" s="994"/>
      <c r="V146" s="992"/>
      <c r="Z146" s="686"/>
      <c r="AA146" s="686"/>
    </row>
    <row r="147" spans="1:27" x14ac:dyDescent="0.25">
      <c r="B147" s="1191" t="s">
        <v>1907</v>
      </c>
      <c r="C147" s="1015">
        <v>1073</v>
      </c>
      <c r="D147" s="1171" t="s">
        <v>1912</v>
      </c>
      <c r="E147" s="976" t="s">
        <v>1865</v>
      </c>
      <c r="F147" s="976"/>
      <c r="G147" s="973">
        <v>133740200</v>
      </c>
      <c r="H147" s="974"/>
      <c r="I147" s="974">
        <v>48632800</v>
      </c>
      <c r="J147" s="974"/>
      <c r="K147" s="975"/>
      <c r="L147" s="974"/>
      <c r="M147" s="974">
        <f t="shared" ref="M147" si="38">SUM(I147:L147)</f>
        <v>48632800</v>
      </c>
      <c r="N147" s="976"/>
      <c r="O147" s="976"/>
      <c r="P147" s="1013">
        <f t="shared" ref="P147" si="39">IF($H147="",($G147-$M147),($H147-$M147))</f>
        <v>85107400</v>
      </c>
      <c r="Q147" s="976"/>
      <c r="R147" s="977"/>
      <c r="S147" s="974"/>
      <c r="T147" s="1147"/>
      <c r="U147" s="974"/>
      <c r="V147" s="976"/>
      <c r="Z147" s="686"/>
      <c r="AA147" s="686"/>
    </row>
    <row r="148" spans="1:27" ht="15.75" x14ac:dyDescent="0.25">
      <c r="A148" s="723"/>
      <c r="B148" s="720" t="s">
        <v>997</v>
      </c>
      <c r="C148" s="720">
        <v>1073</v>
      </c>
      <c r="D148" s="699" t="s">
        <v>669</v>
      </c>
      <c r="E148" s="992"/>
      <c r="F148" s="992"/>
      <c r="G148" s="993"/>
      <c r="H148" s="994"/>
      <c r="I148" s="994"/>
      <c r="J148" s="994"/>
      <c r="K148" s="995"/>
      <c r="L148" s="994"/>
      <c r="M148" s="735">
        <f>SUM(M147:M147)</f>
        <v>48632800</v>
      </c>
      <c r="N148" s="992"/>
      <c r="O148" s="992"/>
      <c r="P148" s="1042">
        <f>SUM(P147:P147)</f>
        <v>85107400</v>
      </c>
      <c r="Q148" s="992"/>
      <c r="R148" s="998"/>
      <c r="S148" s="994"/>
      <c r="T148" s="1153"/>
      <c r="U148" s="994"/>
      <c r="V148" s="992"/>
      <c r="Z148" s="686"/>
      <c r="AA148" s="686"/>
    </row>
    <row r="149" spans="1:27" ht="15.75" x14ac:dyDescent="0.25">
      <c r="A149" s="723"/>
      <c r="B149" s="1034"/>
      <c r="C149" s="1034"/>
      <c r="D149" s="1035"/>
      <c r="E149" s="1036"/>
      <c r="F149" s="1036"/>
      <c r="G149" s="1037"/>
      <c r="H149" s="1038"/>
      <c r="I149" s="1038"/>
      <c r="J149" s="1038"/>
      <c r="K149" s="1039"/>
      <c r="L149" s="1038"/>
      <c r="M149" s="1040"/>
      <c r="N149" s="1036"/>
      <c r="O149" s="1036"/>
      <c r="P149" s="1043"/>
      <c r="Q149" s="1036"/>
      <c r="R149" s="1041"/>
      <c r="S149" s="1038"/>
      <c r="T149" s="1038"/>
      <c r="U149" s="1038"/>
      <c r="V149" s="1036"/>
      <c r="Z149" s="686"/>
      <c r="AA149" s="686"/>
    </row>
    <row r="150" spans="1:27" ht="15.75" x14ac:dyDescent="0.25">
      <c r="A150" s="723"/>
      <c r="B150" s="1034"/>
      <c r="C150" s="1034"/>
      <c r="D150" s="1035"/>
      <c r="E150" s="1036"/>
      <c r="F150" s="1036"/>
      <c r="G150" s="1037"/>
      <c r="H150" s="1038"/>
      <c r="I150" s="1038"/>
      <c r="J150" s="1038"/>
      <c r="K150" s="1039"/>
      <c r="L150" s="1038"/>
      <c r="M150" s="1040"/>
      <c r="N150" s="1036"/>
      <c r="O150" s="1036"/>
      <c r="P150" s="1043"/>
      <c r="Q150" s="1036"/>
      <c r="R150" s="1041"/>
      <c r="S150" s="1038"/>
      <c r="T150" s="1038"/>
      <c r="U150" s="1038"/>
      <c r="V150" s="1036"/>
      <c r="Z150" s="686"/>
      <c r="AA150" s="686"/>
    </row>
    <row r="152" spans="1:27" ht="18.75" x14ac:dyDescent="0.3">
      <c r="M152" s="1022" t="s">
        <v>1915</v>
      </c>
      <c r="P152" s="1021" t="e">
        <f>#REF!+#REF!+P8+P12+#REF!+P17+P22+#REF!+#REF!+P28+#REF!+P32+P35+#REF!+#REF!+P38+P41+P54+#REF!+#REF!+#REF!+#REF!+P58+P63+#REF!+P64+P68+#REF!+P79+#REF!+P91+P93+#REF!+P94+P96+P104+P112+#REF!+P118+P130+P134+P146+#REF!+P148+#REF!</f>
        <v>#REF!</v>
      </c>
    </row>
    <row r="164" spans="2:27" ht="15.75" x14ac:dyDescent="0.25">
      <c r="B164" s="686"/>
      <c r="C164" s="686"/>
      <c r="G164" s="686"/>
      <c r="H164" s="686"/>
      <c r="I164" s="686"/>
      <c r="J164" s="715" t="s">
        <v>1133</v>
      </c>
      <c r="K164" s="728"/>
      <c r="M164" s="714" t="e">
        <f>#REF!+#REF!+M8+M12+#REF!+M17+#REF!+M22+#REF!+#REF!+M28+#REF!+M32+#REF!+M35+#REF!+#REF!+M38+M41+M54+#REF!+#REF!+#REF!+#REF!+M58+M63+#REF!+M64+M68+#REF!+M79+#REF!+M91+M93+#REF!+M94+M96+M104+M112+#REF!+M118+M130+M134+M146+#REF!+M148+#REF!</f>
        <v>#REF!</v>
      </c>
      <c r="N164" s="714" t="e">
        <f>#REF!+N35+#REF!+N32+#REF!+N28+#REF!+#REF!+N22+#REF!+N17+#REF!+N12+N8+#REF!+#REF!</f>
        <v>#REF!</v>
      </c>
      <c r="O164" s="714"/>
      <c r="P164" s="871"/>
      <c r="V164" s="698"/>
      <c r="X164" s="686"/>
      <c r="Y164" s="686"/>
      <c r="Z164" s="686"/>
      <c r="AA164" s="686"/>
    </row>
    <row r="165" spans="2:27" x14ac:dyDescent="0.25">
      <c r="B165" s="686"/>
      <c r="C165" s="686"/>
      <c r="G165" s="686"/>
      <c r="H165" s="686"/>
      <c r="J165" s="694"/>
      <c r="M165" s="719"/>
      <c r="X165" s="686"/>
      <c r="Y165" s="686"/>
      <c r="Z165" s="686"/>
      <c r="AA165" s="686"/>
    </row>
    <row r="166" spans="2:27" x14ac:dyDescent="0.25">
      <c r="B166" s="686"/>
      <c r="C166" s="686"/>
      <c r="G166" s="686"/>
      <c r="H166" s="686"/>
      <c r="J166" s="718"/>
      <c r="M166" s="719"/>
      <c r="X166" s="686"/>
      <c r="Y166" s="686"/>
      <c r="Z166" s="686"/>
      <c r="AA166" s="686"/>
    </row>
    <row r="167" spans="2:27" x14ac:dyDescent="0.25">
      <c r="M167" s="698"/>
    </row>
    <row r="171" spans="2:27" x14ac:dyDescent="0.25">
      <c r="T171" s="687">
        <v>0</v>
      </c>
    </row>
  </sheetData>
  <autoFilter ref="A5:Z148"/>
  <mergeCells count="4">
    <mergeCell ref="B1:V3"/>
    <mergeCell ref="H59:H60"/>
    <mergeCell ref="P59:P60"/>
    <mergeCell ref="V59:V60"/>
  </mergeCells>
  <pageMargins left="0" right="0" top="0" bottom="0" header="0.31496062992125984" footer="0.31496062992125984"/>
  <pageSetup paperSize="9" orientation="landscape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Z1036"/>
  <sheetViews>
    <sheetView topLeftCell="F1" zoomScale="90" zoomScaleNormal="90" workbookViewId="0">
      <selection activeCell="J6" sqref="J6"/>
    </sheetView>
  </sheetViews>
  <sheetFormatPr defaultColWidth="9.28515625" defaultRowHeight="15" x14ac:dyDescent="0.25"/>
  <cols>
    <col min="1" max="1" width="2.85546875" style="686" customWidth="1"/>
    <col min="2" max="2" width="46.85546875" style="721" customWidth="1"/>
    <col min="3" max="3" width="21.42578125" style="721" customWidth="1"/>
    <col min="4" max="4" width="58.85546875" style="686" customWidth="1"/>
    <col min="5" max="5" width="63.28515625" style="686" customWidth="1"/>
    <col min="6" max="6" width="15.5703125" style="725" customWidth="1"/>
    <col min="7" max="7" width="15.140625" style="687" customWidth="1"/>
    <col min="8" max="8" width="14.42578125" style="687" customWidth="1"/>
    <col min="9" max="9" width="14" style="687" customWidth="1"/>
    <col min="10" max="10" width="14.42578125" style="727" customWidth="1"/>
    <col min="11" max="11" width="12.7109375" style="687" customWidth="1"/>
    <col min="12" max="12" width="29.5703125" style="686" customWidth="1"/>
    <col min="13" max="13" width="13.85546875" style="686" hidden="1" customWidth="1"/>
    <col min="14" max="14" width="30.42578125" style="874" customWidth="1"/>
    <col min="15" max="15" width="15.85546875" style="686" hidden="1" customWidth="1"/>
    <col min="16" max="16" width="12.7109375" style="688" hidden="1" customWidth="1"/>
    <col min="17" max="17" width="14.7109375" style="687" customWidth="1"/>
    <col min="18" max="19" width="23.140625" style="687" customWidth="1"/>
    <col min="20" max="20" width="30.85546875" style="686" customWidth="1"/>
    <col min="21" max="21" width="14.7109375" style="686" hidden="1" customWidth="1"/>
    <col min="22" max="22" width="24.7109375" style="687" customWidth="1"/>
    <col min="23" max="23" width="16.7109375" style="687" bestFit="1" customWidth="1"/>
    <col min="24" max="25" width="15.85546875" style="687" bestFit="1" customWidth="1"/>
    <col min="26" max="26" width="20.140625" style="686" customWidth="1"/>
    <col min="27" max="16384" width="9.28515625" style="686"/>
  </cols>
  <sheetData>
    <row r="1" spans="1:26" ht="21" customHeight="1" x14ac:dyDescent="0.25">
      <c r="B1" s="1289" t="s">
        <v>689</v>
      </c>
      <c r="C1" s="1289"/>
      <c r="D1" s="1289"/>
      <c r="E1" s="1289"/>
      <c r="F1" s="1289"/>
      <c r="G1" s="1289"/>
      <c r="H1" s="1289"/>
      <c r="I1" s="1289"/>
      <c r="J1" s="1289"/>
      <c r="K1" s="1289"/>
      <c r="L1" s="1289"/>
      <c r="M1" s="1289"/>
      <c r="N1" s="1289"/>
      <c r="O1" s="1289"/>
      <c r="P1" s="1289"/>
      <c r="Q1" s="1290"/>
      <c r="R1" s="1290"/>
      <c r="S1" s="1290"/>
      <c r="T1" s="1289"/>
    </row>
    <row r="2" spans="1:26" ht="15" customHeight="1" x14ac:dyDescent="0.25">
      <c r="B2" s="1289"/>
      <c r="C2" s="1289"/>
      <c r="D2" s="1289"/>
      <c r="E2" s="1289"/>
      <c r="F2" s="1289"/>
      <c r="G2" s="1289"/>
      <c r="H2" s="1289"/>
      <c r="I2" s="1289"/>
      <c r="J2" s="1289"/>
      <c r="K2" s="1289"/>
      <c r="L2" s="1289"/>
      <c r="M2" s="1289"/>
      <c r="N2" s="1289"/>
      <c r="O2" s="1289"/>
      <c r="P2" s="1289"/>
      <c r="Q2" s="1290"/>
      <c r="R2" s="1290"/>
      <c r="S2" s="1290"/>
      <c r="T2" s="1289"/>
    </row>
    <row r="3" spans="1:26" ht="15" customHeight="1" x14ac:dyDescent="0.25">
      <c r="B3" s="1289"/>
      <c r="C3" s="1289"/>
      <c r="D3" s="1289"/>
      <c r="E3" s="1289"/>
      <c r="F3" s="1289"/>
      <c r="G3" s="1289"/>
      <c r="H3" s="1289"/>
      <c r="I3" s="1289"/>
      <c r="J3" s="1289"/>
      <c r="K3" s="1289"/>
      <c r="L3" s="1289"/>
      <c r="M3" s="1289"/>
      <c r="N3" s="1289"/>
      <c r="O3" s="1289"/>
      <c r="P3" s="1289"/>
      <c r="Q3" s="1290"/>
      <c r="R3" s="1290"/>
      <c r="S3" s="1290"/>
      <c r="T3" s="1289"/>
    </row>
    <row r="4" spans="1:26" ht="23.25" customHeight="1" x14ac:dyDescent="0.25">
      <c r="B4" s="1182"/>
      <c r="C4" s="1182"/>
      <c r="D4" s="746"/>
      <c r="E4" s="746"/>
      <c r="F4" s="1074"/>
      <c r="G4" s="746"/>
      <c r="H4" s="743"/>
      <c r="I4" s="744"/>
      <c r="J4" s="745"/>
      <c r="K4" s="685"/>
      <c r="L4" s="1075"/>
      <c r="M4" s="1182"/>
      <c r="N4" s="868"/>
      <c r="Q4" s="741"/>
      <c r="R4" s="741"/>
      <c r="S4" s="741"/>
    </row>
    <row r="5" spans="1:26" ht="54" customHeight="1" x14ac:dyDescent="0.25">
      <c r="B5" s="875" t="s">
        <v>4</v>
      </c>
      <c r="C5" s="875" t="s">
        <v>1199</v>
      </c>
      <c r="D5" s="875" t="s">
        <v>6</v>
      </c>
      <c r="E5" s="876" t="s">
        <v>7</v>
      </c>
      <c r="F5" s="877" t="s">
        <v>8</v>
      </c>
      <c r="G5" s="878" t="s">
        <v>933</v>
      </c>
      <c r="H5" s="877" t="s">
        <v>10</v>
      </c>
      <c r="I5" s="879" t="s">
        <v>11</v>
      </c>
      <c r="J5" s="877" t="s">
        <v>12</v>
      </c>
      <c r="K5" s="879" t="s">
        <v>13</v>
      </c>
      <c r="L5" s="880" t="s">
        <v>934</v>
      </c>
      <c r="M5" s="881" t="s">
        <v>936</v>
      </c>
      <c r="N5" s="882" t="s">
        <v>937</v>
      </c>
      <c r="O5" s="881" t="s">
        <v>17</v>
      </c>
      <c r="P5" s="883" t="s">
        <v>18</v>
      </c>
      <c r="Q5" s="878" t="s">
        <v>938</v>
      </c>
      <c r="R5" s="882" t="s">
        <v>1200</v>
      </c>
      <c r="S5" s="882" t="s">
        <v>1201</v>
      </c>
      <c r="T5" s="875" t="s">
        <v>605</v>
      </c>
      <c r="U5" s="689" t="s">
        <v>939</v>
      </c>
      <c r="V5" s="729" t="s">
        <v>940</v>
      </c>
      <c r="W5" s="729" t="s">
        <v>940</v>
      </c>
    </row>
    <row r="6" spans="1:26" ht="14.25" customHeight="1" x14ac:dyDescent="0.25">
      <c r="A6" s="686">
        <v>1</v>
      </c>
      <c r="B6" s="1128" t="s">
        <v>941</v>
      </c>
      <c r="C6" s="1128">
        <v>1012</v>
      </c>
      <c r="D6" s="976" t="s">
        <v>691</v>
      </c>
      <c r="E6" s="976" t="s">
        <v>188</v>
      </c>
      <c r="F6" s="973">
        <v>2240100</v>
      </c>
      <c r="G6" s="974"/>
      <c r="H6" s="974">
        <v>2240100</v>
      </c>
      <c r="I6" s="974"/>
      <c r="J6" s="975"/>
      <c r="K6" s="974"/>
      <c r="L6" s="974">
        <f>SUM(H6:K6)</f>
        <v>2240100</v>
      </c>
      <c r="M6" s="991" t="e">
        <f>IF(G6="",F6-L6-#REF!,G6-L6-#REF!)</f>
        <v>#REF!</v>
      </c>
      <c r="N6" s="1013">
        <f>IF($G6="",($F6-$L6),($G6-$L6))</f>
        <v>0</v>
      </c>
      <c r="O6" s="976"/>
      <c r="P6" s="977"/>
      <c r="Q6" s="974"/>
      <c r="R6" s="1147"/>
      <c r="S6" s="974"/>
      <c r="T6" s="976"/>
      <c r="U6" s="690"/>
      <c r="V6" s="687" t="s">
        <v>942</v>
      </c>
    </row>
    <row r="7" spans="1:26" ht="14.25" customHeight="1" x14ac:dyDescent="0.25">
      <c r="B7" s="1128" t="s">
        <v>941</v>
      </c>
      <c r="C7" s="1128">
        <v>1012</v>
      </c>
      <c r="D7" s="976" t="s">
        <v>692</v>
      </c>
      <c r="E7" s="976" t="s">
        <v>416</v>
      </c>
      <c r="F7" s="973">
        <v>1100000</v>
      </c>
      <c r="G7" s="974"/>
      <c r="H7" s="974">
        <v>1100000</v>
      </c>
      <c r="I7" s="974"/>
      <c r="J7" s="975"/>
      <c r="K7" s="974"/>
      <c r="L7" s="974">
        <f>SUM(H7:K7)</f>
        <v>1100000</v>
      </c>
      <c r="M7" s="991" t="e">
        <f>IF(G7="",F7-L7-#REF!,G7-L7-#REF!)</f>
        <v>#REF!</v>
      </c>
      <c r="N7" s="1013">
        <f t="shared" ref="N7:N81" si="0">IF($G7="",($F7-$L7),($G7-$L7))</f>
        <v>0</v>
      </c>
      <c r="O7" s="976"/>
      <c r="P7" s="977"/>
      <c r="Q7" s="974"/>
      <c r="R7" s="1147"/>
      <c r="S7" s="974"/>
      <c r="T7" s="976"/>
      <c r="U7" s="693" t="s">
        <v>943</v>
      </c>
      <c r="V7" s="687" t="s">
        <v>944</v>
      </c>
      <c r="W7" s="687">
        <v>1666000</v>
      </c>
    </row>
    <row r="8" spans="1:26" ht="13.5" customHeight="1" x14ac:dyDescent="0.25">
      <c r="B8" s="1128" t="s">
        <v>941</v>
      </c>
      <c r="C8" s="1128">
        <v>1012</v>
      </c>
      <c r="D8" s="976" t="s">
        <v>257</v>
      </c>
      <c r="E8" s="976" t="s">
        <v>693</v>
      </c>
      <c r="F8" s="1108">
        <f>L8</f>
        <v>10597500</v>
      </c>
      <c r="G8" s="974"/>
      <c r="H8" s="974">
        <v>10597500</v>
      </c>
      <c r="I8" s="974"/>
      <c r="J8" s="975"/>
      <c r="K8" s="974"/>
      <c r="L8" s="974">
        <f t="shared" ref="L8:L15" si="1">SUM(H8:K8)</f>
        <v>10597500</v>
      </c>
      <c r="M8" s="991" t="e">
        <f>IF(G8="",F8-L8-#REF!,G8-L8-#REF!)</f>
        <v>#REF!</v>
      </c>
      <c r="N8" s="1013">
        <f t="shared" si="0"/>
        <v>0</v>
      </c>
      <c r="O8" s="976"/>
      <c r="P8" s="977"/>
      <c r="Q8" s="974"/>
      <c r="R8" s="1147"/>
      <c r="S8" s="974"/>
      <c r="T8" s="976"/>
      <c r="U8" s="693"/>
      <c r="Z8" s="697"/>
    </row>
    <row r="9" spans="1:26" ht="13.5" customHeight="1" x14ac:dyDescent="0.25">
      <c r="B9" s="1128" t="s">
        <v>941</v>
      </c>
      <c r="C9" s="1128">
        <v>1012</v>
      </c>
      <c r="D9" s="976" t="s">
        <v>694</v>
      </c>
      <c r="E9" s="976" t="s">
        <v>695</v>
      </c>
      <c r="F9" s="973">
        <v>9075000</v>
      </c>
      <c r="G9" s="974"/>
      <c r="H9" s="974">
        <v>9075000</v>
      </c>
      <c r="I9" s="974"/>
      <c r="J9" s="975"/>
      <c r="K9" s="974"/>
      <c r="L9" s="974">
        <f t="shared" si="1"/>
        <v>9075000</v>
      </c>
      <c r="M9" s="991" t="e">
        <f>IF(G9="",F9-L9-#REF!,G9-L9-#REF!)</f>
        <v>#REF!</v>
      </c>
      <c r="N9" s="1013">
        <f t="shared" si="0"/>
        <v>0</v>
      </c>
      <c r="O9" s="976"/>
      <c r="P9" s="977"/>
      <c r="Q9" s="974"/>
      <c r="R9" s="1147"/>
      <c r="S9" s="974"/>
      <c r="T9" s="976"/>
      <c r="U9" s="693" t="s">
        <v>943</v>
      </c>
      <c r="Z9" s="698"/>
    </row>
    <row r="10" spans="1:26" ht="13.5" customHeight="1" x14ac:dyDescent="0.25">
      <c r="B10" s="1128" t="s">
        <v>941</v>
      </c>
      <c r="C10" s="1128">
        <v>1012</v>
      </c>
      <c r="D10" s="976" t="s">
        <v>945</v>
      </c>
      <c r="E10" s="976" t="s">
        <v>711</v>
      </c>
      <c r="F10" s="973">
        <v>1760000</v>
      </c>
      <c r="G10" s="974"/>
      <c r="H10" s="974">
        <v>1760000</v>
      </c>
      <c r="I10" s="974"/>
      <c r="J10" s="975"/>
      <c r="K10" s="974"/>
      <c r="L10" s="974">
        <f t="shared" si="1"/>
        <v>1760000</v>
      </c>
      <c r="M10" s="991" t="e">
        <f>IF(G10="",F10-L10-#REF!,G10-L10-#REF!)</f>
        <v>#REF!</v>
      </c>
      <c r="N10" s="1013">
        <f t="shared" si="0"/>
        <v>0</v>
      </c>
      <c r="O10" s="976"/>
      <c r="P10" s="977"/>
      <c r="Q10" s="974"/>
      <c r="R10" s="1147"/>
      <c r="S10" s="974"/>
      <c r="T10" s="976"/>
      <c r="U10" s="693"/>
      <c r="Z10" s="698"/>
    </row>
    <row r="11" spans="1:26" ht="13.5" customHeight="1" x14ac:dyDescent="0.25">
      <c r="B11" s="1128" t="s">
        <v>941</v>
      </c>
      <c r="C11" s="1128">
        <v>1012</v>
      </c>
      <c r="D11" s="976" t="s">
        <v>946</v>
      </c>
      <c r="E11" s="976" t="s">
        <v>265</v>
      </c>
      <c r="F11" s="973">
        <v>1700000</v>
      </c>
      <c r="G11" s="974"/>
      <c r="H11" s="974">
        <v>1700000</v>
      </c>
      <c r="I11" s="974"/>
      <c r="J11" s="975"/>
      <c r="K11" s="974"/>
      <c r="L11" s="974">
        <f t="shared" si="1"/>
        <v>1700000</v>
      </c>
      <c r="M11" s="991" t="e">
        <f>IF(G11="",F11-L11-#REF!,G11-L11-#REF!)</f>
        <v>#REF!</v>
      </c>
      <c r="N11" s="1013">
        <f t="shared" si="0"/>
        <v>0</v>
      </c>
      <c r="O11" s="976"/>
      <c r="P11" s="977"/>
      <c r="Q11" s="974"/>
      <c r="R11" s="1147"/>
      <c r="S11" s="974"/>
      <c r="T11" s="976"/>
      <c r="U11" s="693"/>
      <c r="Z11" s="698"/>
    </row>
    <row r="12" spans="1:26" ht="13.5" customHeight="1" x14ac:dyDescent="0.25">
      <c r="B12" s="1128" t="s">
        <v>941</v>
      </c>
      <c r="C12" s="1128">
        <v>1012</v>
      </c>
      <c r="D12" s="976" t="s">
        <v>215</v>
      </c>
      <c r="E12" s="976" t="s">
        <v>190</v>
      </c>
      <c r="F12" s="973">
        <v>12486000</v>
      </c>
      <c r="G12" s="974"/>
      <c r="H12" s="973">
        <v>12486000</v>
      </c>
      <c r="I12" s="974"/>
      <c r="J12" s="975"/>
      <c r="K12" s="974"/>
      <c r="L12" s="974">
        <f>SUM(H12:K12)</f>
        <v>12486000</v>
      </c>
      <c r="M12" s="991" t="e">
        <f>IF(G12="",F12-L12-#REF!,G12-L12-#REF!)</f>
        <v>#REF!</v>
      </c>
      <c r="N12" s="1013">
        <f t="shared" si="0"/>
        <v>0</v>
      </c>
      <c r="O12" s="976"/>
      <c r="P12" s="977"/>
      <c r="Q12" s="974"/>
      <c r="R12" s="1147"/>
      <c r="S12" s="974"/>
      <c r="T12" s="976"/>
      <c r="U12" s="693"/>
      <c r="Z12" s="698"/>
    </row>
    <row r="13" spans="1:26" ht="13.5" customHeight="1" x14ac:dyDescent="0.25">
      <c r="B13" s="1128" t="s">
        <v>1202</v>
      </c>
      <c r="C13" s="1128">
        <v>1012</v>
      </c>
      <c r="D13" s="976" t="s">
        <v>1203</v>
      </c>
      <c r="E13" s="976" t="s">
        <v>168</v>
      </c>
      <c r="F13" s="973">
        <v>5000000</v>
      </c>
      <c r="G13" s="974"/>
      <c r="H13" s="973">
        <v>5000000</v>
      </c>
      <c r="I13" s="974"/>
      <c r="J13" s="975"/>
      <c r="K13" s="974"/>
      <c r="L13" s="974">
        <f>SUM(H13:K13)</f>
        <v>5000000</v>
      </c>
      <c r="M13" s="991" t="e">
        <f>IF(G13="",F13-L13-#REF!,G13-L13-#REF!)</f>
        <v>#REF!</v>
      </c>
      <c r="N13" s="1013">
        <f t="shared" si="0"/>
        <v>0</v>
      </c>
      <c r="O13" s="976"/>
      <c r="P13" s="977"/>
      <c r="Q13" s="974"/>
      <c r="R13" s="1147"/>
      <c r="S13" s="974"/>
      <c r="T13" s="976"/>
      <c r="U13" s="693"/>
      <c r="Z13" s="698"/>
    </row>
    <row r="14" spans="1:26" ht="15" customHeight="1" x14ac:dyDescent="0.25">
      <c r="B14" s="1128" t="s">
        <v>941</v>
      </c>
      <c r="C14" s="1128">
        <v>1012</v>
      </c>
      <c r="D14" s="976" t="s">
        <v>947</v>
      </c>
      <c r="E14" s="976"/>
      <c r="F14" s="973">
        <v>1666000</v>
      </c>
      <c r="G14" s="974"/>
      <c r="H14" s="974">
        <f>W14</f>
        <v>1666000</v>
      </c>
      <c r="I14" s="974"/>
      <c r="J14" s="975"/>
      <c r="K14" s="974"/>
      <c r="L14" s="974">
        <f>SUM(H14:K14)</f>
        <v>1666000</v>
      </c>
      <c r="M14" s="991" t="e">
        <f>IF(G14="",F14-L14-#REF!,G14-L14-#REF!)</f>
        <v>#REF!</v>
      </c>
      <c r="N14" s="1013">
        <f t="shared" si="0"/>
        <v>0</v>
      </c>
      <c r="O14" s="976"/>
      <c r="P14" s="977"/>
      <c r="Q14" s="974"/>
      <c r="R14" s="1147"/>
      <c r="S14" s="974"/>
      <c r="T14" s="976"/>
      <c r="U14" s="693"/>
      <c r="V14" s="687" t="s">
        <v>948</v>
      </c>
      <c r="W14" s="687">
        <f>SUM(W7:W9)</f>
        <v>1666000</v>
      </c>
      <c r="Z14" s="698"/>
    </row>
    <row r="15" spans="1:26" ht="14.25" customHeight="1" x14ac:dyDescent="0.25">
      <c r="B15" s="1128" t="s">
        <v>941</v>
      </c>
      <c r="C15" s="1128">
        <v>1012</v>
      </c>
      <c r="D15" s="976" t="s">
        <v>1204</v>
      </c>
      <c r="E15" s="976" t="s">
        <v>229</v>
      </c>
      <c r="F15" s="973">
        <v>1690000</v>
      </c>
      <c r="G15" s="974"/>
      <c r="H15" s="974">
        <v>1690000</v>
      </c>
      <c r="I15" s="974"/>
      <c r="J15" s="975"/>
      <c r="K15" s="974"/>
      <c r="L15" s="974">
        <f t="shared" si="1"/>
        <v>1690000</v>
      </c>
      <c r="M15" s="991" t="e">
        <f>IF(G15="",F15-L15-#REF!,G15-L15-#REF!)</f>
        <v>#REF!</v>
      </c>
      <c r="N15" s="1013">
        <f t="shared" si="0"/>
        <v>0</v>
      </c>
      <c r="O15" s="976"/>
      <c r="P15" s="977"/>
      <c r="Q15" s="974"/>
      <c r="R15" s="1147"/>
      <c r="S15" s="974"/>
      <c r="T15" s="976"/>
      <c r="U15" s="693"/>
      <c r="Z15" s="698"/>
    </row>
    <row r="16" spans="1:26" s="723" customFormat="1" ht="15.75" x14ac:dyDescent="0.25">
      <c r="B16" s="748" t="s">
        <v>949</v>
      </c>
      <c r="C16" s="748"/>
      <c r="D16" s="699" t="s">
        <v>950</v>
      </c>
      <c r="E16" s="700"/>
      <c r="F16" s="724"/>
      <c r="G16" s="702"/>
      <c r="H16" s="701"/>
      <c r="I16" s="702"/>
      <c r="J16" s="726"/>
      <c r="K16" s="702"/>
      <c r="L16" s="703">
        <f>SUM(L6:L15)</f>
        <v>47314600</v>
      </c>
      <c r="M16" s="703" t="e">
        <f>SUM(M6:M15)</f>
        <v>#REF!</v>
      </c>
      <c r="N16" s="869">
        <f>SUM(N6:N15)</f>
        <v>0</v>
      </c>
      <c r="O16" s="700"/>
      <c r="P16" s="704"/>
      <c r="Q16" s="742"/>
      <c r="R16" s="1148"/>
      <c r="S16" s="742"/>
      <c r="T16" s="705"/>
      <c r="U16" s="706"/>
      <c r="V16" s="722"/>
      <c r="W16" s="722"/>
      <c r="X16" s="722"/>
      <c r="Y16" s="722"/>
    </row>
    <row r="17" spans="1:25" ht="15" customHeight="1" x14ac:dyDescent="0.25">
      <c r="A17" s="686">
        <v>2</v>
      </c>
      <c r="B17" s="1015" t="s">
        <v>1205</v>
      </c>
      <c r="C17" s="1015"/>
      <c r="D17" s="976" t="s">
        <v>692</v>
      </c>
      <c r="E17" s="976" t="s">
        <v>416</v>
      </c>
      <c r="F17" s="973">
        <v>1100000</v>
      </c>
      <c r="G17" s="974"/>
      <c r="H17" s="974">
        <v>1100000</v>
      </c>
      <c r="I17" s="974"/>
      <c r="J17" s="975"/>
      <c r="K17" s="974"/>
      <c r="L17" s="974">
        <f>SUM(H17:K17)</f>
        <v>1100000</v>
      </c>
      <c r="M17" s="991" t="e">
        <f>IF(G17="",F17-L17-#REF!,G17-L17-#REF!)</f>
        <v>#REF!</v>
      </c>
      <c r="N17" s="1013">
        <f t="shared" si="0"/>
        <v>0</v>
      </c>
      <c r="O17" s="976" t="s">
        <v>698</v>
      </c>
      <c r="P17" s="977">
        <v>43971</v>
      </c>
      <c r="Q17" s="974"/>
      <c r="R17" s="1147"/>
      <c r="S17" s="974"/>
      <c r="T17" s="976"/>
      <c r="U17" s="693" t="s">
        <v>943</v>
      </c>
      <c r="V17" s="687" t="s">
        <v>952</v>
      </c>
    </row>
    <row r="18" spans="1:25" ht="15.95" customHeight="1" x14ac:dyDescent="0.25">
      <c r="B18" s="1015" t="s">
        <v>1205</v>
      </c>
      <c r="C18" s="1015"/>
      <c r="D18" s="976" t="s">
        <v>31</v>
      </c>
      <c r="E18" s="976" t="s">
        <v>700</v>
      </c>
      <c r="F18" s="973">
        <v>14425600</v>
      </c>
      <c r="G18" s="974"/>
      <c r="H18" s="974">
        <v>14425600</v>
      </c>
      <c r="I18" s="974"/>
      <c r="J18" s="975"/>
      <c r="K18" s="974"/>
      <c r="L18" s="974">
        <f t="shared" ref="L18:L28" si="2">SUM(H18:K18)</f>
        <v>14425600</v>
      </c>
      <c r="M18" s="991" t="e">
        <f>IF(G18="",F18-L18-#REF!,G18-L18-#REF!)</f>
        <v>#REF!</v>
      </c>
      <c r="N18" s="1013">
        <f t="shared" si="0"/>
        <v>0</v>
      </c>
      <c r="O18" s="976"/>
      <c r="P18" s="977"/>
      <c r="Q18" s="974"/>
      <c r="R18" s="1147"/>
      <c r="S18" s="974"/>
      <c r="T18" s="976"/>
      <c r="U18" s="693" t="s">
        <v>943</v>
      </c>
      <c r="V18" s="687" t="s">
        <v>953</v>
      </c>
      <c r="W18" s="687">
        <v>240000</v>
      </c>
    </row>
    <row r="19" spans="1:25" ht="15.95" customHeight="1" x14ac:dyDescent="0.25">
      <c r="B19" s="1015" t="s">
        <v>1205</v>
      </c>
      <c r="C19" s="1015"/>
      <c r="D19" s="976" t="s">
        <v>31</v>
      </c>
      <c r="E19" s="976" t="s">
        <v>700</v>
      </c>
      <c r="F19" s="973">
        <v>3158000</v>
      </c>
      <c r="G19" s="974"/>
      <c r="H19" s="974">
        <v>3158000</v>
      </c>
      <c r="I19" s="974"/>
      <c r="J19" s="975"/>
      <c r="K19" s="974"/>
      <c r="L19" s="974">
        <f t="shared" si="2"/>
        <v>3158000</v>
      </c>
      <c r="M19" s="991" t="e">
        <f>IF(G19="",F19-L19-#REF!,G19-L19-#REF!)</f>
        <v>#REF!</v>
      </c>
      <c r="N19" s="1013">
        <f t="shared" si="0"/>
        <v>0</v>
      </c>
      <c r="O19" s="976"/>
      <c r="P19" s="977"/>
      <c r="Q19" s="974"/>
      <c r="R19" s="1147"/>
      <c r="S19" s="974"/>
      <c r="T19" s="976"/>
      <c r="U19" s="693" t="s">
        <v>943</v>
      </c>
      <c r="V19" s="687" t="s">
        <v>954</v>
      </c>
      <c r="W19" s="687">
        <v>876000</v>
      </c>
    </row>
    <row r="20" spans="1:25" ht="15.95" customHeight="1" x14ac:dyDescent="0.25">
      <c r="B20" s="1015" t="s">
        <v>1205</v>
      </c>
      <c r="C20" s="1015"/>
      <c r="D20" s="976" t="s">
        <v>883</v>
      </c>
      <c r="E20" s="976" t="s">
        <v>704</v>
      </c>
      <c r="F20" s="973">
        <v>7700000</v>
      </c>
      <c r="G20" s="974"/>
      <c r="H20" s="974">
        <v>7700000</v>
      </c>
      <c r="I20" s="974"/>
      <c r="J20" s="975"/>
      <c r="K20" s="974"/>
      <c r="L20" s="974">
        <f t="shared" si="2"/>
        <v>7700000</v>
      </c>
      <c r="M20" s="991" t="e">
        <f>IF(G20="",F20-L20-#REF!,G20-L20-#REF!)</f>
        <v>#REF!</v>
      </c>
      <c r="N20" s="1013">
        <f t="shared" si="0"/>
        <v>0</v>
      </c>
      <c r="O20" s="976"/>
      <c r="P20" s="977"/>
      <c r="Q20" s="974"/>
      <c r="R20" s="1147"/>
      <c r="S20" s="974"/>
      <c r="T20" s="976"/>
      <c r="U20" s="693"/>
      <c r="V20" s="687" t="s">
        <v>955</v>
      </c>
      <c r="W20" s="687">
        <v>1370000</v>
      </c>
    </row>
    <row r="21" spans="1:25" ht="15.95" customHeight="1" x14ac:dyDescent="0.25">
      <c r="B21" s="1015" t="s">
        <v>1205</v>
      </c>
      <c r="C21" s="1015"/>
      <c r="D21" s="976" t="s">
        <v>706</v>
      </c>
      <c r="E21" s="976" t="s">
        <v>104</v>
      </c>
      <c r="F21" s="973">
        <v>10000000</v>
      </c>
      <c r="G21" s="974"/>
      <c r="H21" s="974">
        <v>10000000</v>
      </c>
      <c r="I21" s="974"/>
      <c r="J21" s="975"/>
      <c r="K21" s="974"/>
      <c r="L21" s="974">
        <f t="shared" si="2"/>
        <v>10000000</v>
      </c>
      <c r="M21" s="991" t="e">
        <f>IF(G21="",F21-L21-#REF!,G21-L21-#REF!)</f>
        <v>#REF!</v>
      </c>
      <c r="N21" s="1013">
        <f t="shared" si="0"/>
        <v>0</v>
      </c>
      <c r="O21" s="976"/>
      <c r="P21" s="977"/>
      <c r="Q21" s="974"/>
      <c r="R21" s="1147"/>
      <c r="S21" s="974"/>
      <c r="T21" s="976"/>
      <c r="U21" s="693"/>
      <c r="V21" s="687" t="s">
        <v>1206</v>
      </c>
      <c r="W21" s="687">
        <v>240000</v>
      </c>
    </row>
    <row r="22" spans="1:25" ht="15.95" customHeight="1" x14ac:dyDescent="0.25">
      <c r="B22" s="1015" t="s">
        <v>1205</v>
      </c>
      <c r="C22" s="1015"/>
      <c r="D22" s="976" t="s">
        <v>707</v>
      </c>
      <c r="E22" s="976" t="s">
        <v>708</v>
      </c>
      <c r="F22" s="973">
        <v>2550000</v>
      </c>
      <c r="G22" s="974"/>
      <c r="H22" s="974">
        <v>2550000</v>
      </c>
      <c r="I22" s="974"/>
      <c r="J22" s="975"/>
      <c r="K22" s="974"/>
      <c r="L22" s="974">
        <f t="shared" si="2"/>
        <v>2550000</v>
      </c>
      <c r="M22" s="991" t="e">
        <f>IF(G22="",F22-L22-#REF!,G22-L22-#REF!)</f>
        <v>#REF!</v>
      </c>
      <c r="N22" s="1013">
        <f t="shared" si="0"/>
        <v>0</v>
      </c>
      <c r="O22" s="976"/>
      <c r="P22" s="977"/>
      <c r="Q22" s="974"/>
      <c r="R22" s="1147"/>
      <c r="S22" s="974"/>
      <c r="T22" s="976"/>
      <c r="U22" s="693"/>
    </row>
    <row r="23" spans="1:25" ht="15.95" customHeight="1" x14ac:dyDescent="0.25">
      <c r="B23" s="1015" t="s">
        <v>1205</v>
      </c>
      <c r="C23" s="1015"/>
      <c r="D23" s="976" t="s">
        <v>709</v>
      </c>
      <c r="E23" s="976" t="s">
        <v>168</v>
      </c>
      <c r="F23" s="973">
        <v>10700000</v>
      </c>
      <c r="G23" s="974"/>
      <c r="H23" s="974">
        <v>10700000</v>
      </c>
      <c r="I23" s="974"/>
      <c r="J23" s="975"/>
      <c r="K23" s="974"/>
      <c r="L23" s="974">
        <f t="shared" si="2"/>
        <v>10700000</v>
      </c>
      <c r="M23" s="991" t="e">
        <f>IF(G23="",F23-L23-#REF!,G23-L23-#REF!)</f>
        <v>#REF!</v>
      </c>
      <c r="N23" s="1013">
        <f t="shared" si="0"/>
        <v>0</v>
      </c>
      <c r="O23" s="976"/>
      <c r="P23" s="977"/>
      <c r="Q23" s="974"/>
      <c r="R23" s="1147"/>
      <c r="S23" s="974"/>
      <c r="T23" s="976"/>
      <c r="U23" s="693"/>
    </row>
    <row r="24" spans="1:25" ht="15.95" customHeight="1" x14ac:dyDescent="0.25">
      <c r="B24" s="1015" t="s">
        <v>1205</v>
      </c>
      <c r="C24" s="1015"/>
      <c r="D24" s="976" t="s">
        <v>710</v>
      </c>
      <c r="E24" s="976" t="s">
        <v>711</v>
      </c>
      <c r="F24" s="973">
        <v>3800000</v>
      </c>
      <c r="G24" s="974"/>
      <c r="H24" s="974">
        <v>3800000</v>
      </c>
      <c r="I24" s="974"/>
      <c r="J24" s="975"/>
      <c r="K24" s="974"/>
      <c r="L24" s="974">
        <f t="shared" si="2"/>
        <v>3800000</v>
      </c>
      <c r="M24" s="991" t="e">
        <f>IF(G24="",F24-L24-#REF!,G24-L24-#REF!)</f>
        <v>#REF!</v>
      </c>
      <c r="N24" s="1013">
        <f t="shared" si="0"/>
        <v>0</v>
      </c>
      <c r="O24" s="976"/>
      <c r="P24" s="977"/>
      <c r="Q24" s="974"/>
      <c r="R24" s="1147"/>
      <c r="S24" s="974"/>
      <c r="T24" s="976"/>
      <c r="U24" s="693"/>
    </row>
    <row r="25" spans="1:25" ht="15.95" customHeight="1" x14ac:dyDescent="0.25">
      <c r="B25" s="1015" t="s">
        <v>1205</v>
      </c>
      <c r="C25" s="1015"/>
      <c r="D25" s="976" t="s">
        <v>712</v>
      </c>
      <c r="E25" s="976" t="s">
        <v>956</v>
      </c>
      <c r="F25" s="973">
        <v>11436000</v>
      </c>
      <c r="G25" s="974"/>
      <c r="H25" s="1115">
        <f>19004000-7568000</f>
        <v>11436000</v>
      </c>
      <c r="I25" s="974"/>
      <c r="J25" s="975"/>
      <c r="K25" s="974"/>
      <c r="L25" s="974">
        <f t="shared" si="2"/>
        <v>11436000</v>
      </c>
      <c r="M25" s="991" t="e">
        <f>IF(G25="",F25-L25-#REF!,G25-L25-#REF!)</f>
        <v>#REF!</v>
      </c>
      <c r="N25" s="1013">
        <f t="shared" si="0"/>
        <v>0</v>
      </c>
      <c r="O25" s="976"/>
      <c r="P25" s="977"/>
      <c r="Q25" s="974"/>
      <c r="R25" s="1147"/>
      <c r="S25" s="974"/>
      <c r="T25" s="976"/>
      <c r="U25" s="693" t="s">
        <v>957</v>
      </c>
    </row>
    <row r="26" spans="1:25" ht="15.95" customHeight="1" x14ac:dyDescent="0.25">
      <c r="B26" s="1015" t="s">
        <v>1205</v>
      </c>
      <c r="C26" s="1015"/>
      <c r="D26" s="976" t="s">
        <v>607</v>
      </c>
      <c r="E26" s="976" t="s">
        <v>659</v>
      </c>
      <c r="F26" s="973">
        <v>4000000</v>
      </c>
      <c r="G26" s="974">
        <v>3890000</v>
      </c>
      <c r="H26" s="1115">
        <v>2000000</v>
      </c>
      <c r="I26" s="974">
        <v>2000000</v>
      </c>
      <c r="J26" s="975"/>
      <c r="K26" s="974"/>
      <c r="L26" s="974">
        <f t="shared" si="2"/>
        <v>4000000</v>
      </c>
      <c r="M26" s="991"/>
      <c r="N26" s="1013">
        <f t="shared" si="0"/>
        <v>-110000</v>
      </c>
      <c r="O26" s="976"/>
      <c r="P26" s="977"/>
      <c r="Q26" s="974"/>
      <c r="R26" s="1147"/>
      <c r="S26" s="974"/>
      <c r="T26" s="976"/>
      <c r="U26" s="693"/>
    </row>
    <row r="27" spans="1:25" ht="15.95" customHeight="1" x14ac:dyDescent="0.25">
      <c r="B27" s="1015" t="s">
        <v>1205</v>
      </c>
      <c r="C27" s="1015"/>
      <c r="D27" s="976" t="s">
        <v>1207</v>
      </c>
      <c r="E27" s="1107" t="s">
        <v>1208</v>
      </c>
      <c r="F27" s="973">
        <v>1350000</v>
      </c>
      <c r="G27" s="974"/>
      <c r="H27" s="974">
        <v>1350000</v>
      </c>
      <c r="I27" s="974"/>
      <c r="J27" s="975"/>
      <c r="K27" s="974"/>
      <c r="L27" s="974">
        <f t="shared" si="2"/>
        <v>1350000</v>
      </c>
      <c r="M27" s="991"/>
      <c r="N27" s="1013">
        <f t="shared" si="0"/>
        <v>0</v>
      </c>
      <c r="O27" s="976"/>
      <c r="P27" s="977"/>
      <c r="Q27" s="974"/>
      <c r="R27" s="1147"/>
      <c r="S27" s="974"/>
      <c r="T27" s="976"/>
      <c r="U27" s="693"/>
    </row>
    <row r="28" spans="1:25" ht="15.95" customHeight="1" x14ac:dyDescent="0.25">
      <c r="B28" s="1015" t="s">
        <v>1205</v>
      </c>
      <c r="C28" s="1015"/>
      <c r="D28" s="976" t="s">
        <v>947</v>
      </c>
      <c r="E28" s="976"/>
      <c r="F28" s="973">
        <f>W29</f>
        <v>2726000</v>
      </c>
      <c r="G28" s="974"/>
      <c r="H28" s="974">
        <v>240000</v>
      </c>
      <c r="I28" s="974">
        <v>876000</v>
      </c>
      <c r="J28" s="975">
        <v>1370000</v>
      </c>
      <c r="K28" s="974">
        <v>240000</v>
      </c>
      <c r="L28" s="974">
        <f t="shared" si="2"/>
        <v>2726000</v>
      </c>
      <c r="M28" s="991" t="e">
        <f>IF(G28="",F28-L28-#REF!,G28-L28-#REF!)</f>
        <v>#REF!</v>
      </c>
      <c r="N28" s="1013">
        <f t="shared" si="0"/>
        <v>0</v>
      </c>
      <c r="O28" s="976"/>
      <c r="P28" s="977"/>
      <c r="Q28" s="974"/>
      <c r="R28" s="1147"/>
      <c r="S28" s="974"/>
      <c r="T28" s="976"/>
      <c r="U28" s="693"/>
      <c r="V28" s="686"/>
      <c r="W28" s="686"/>
    </row>
    <row r="29" spans="1:25" ht="15.95" customHeight="1" x14ac:dyDescent="0.25">
      <c r="B29" s="1015" t="s">
        <v>1205</v>
      </c>
      <c r="C29" s="1015"/>
      <c r="D29" s="976" t="s">
        <v>1209</v>
      </c>
      <c r="E29" s="976"/>
      <c r="F29" s="973">
        <v>240000</v>
      </c>
      <c r="G29" s="974"/>
      <c r="H29" s="974">
        <v>240000</v>
      </c>
      <c r="I29" s="974"/>
      <c r="J29" s="975"/>
      <c r="K29" s="974"/>
      <c r="L29" s="974">
        <f>SUM(H29:K29)</f>
        <v>240000</v>
      </c>
      <c r="M29" s="991"/>
      <c r="N29" s="1013">
        <f t="shared" si="0"/>
        <v>0</v>
      </c>
      <c r="O29" s="976"/>
      <c r="P29" s="977"/>
      <c r="Q29" s="974"/>
      <c r="R29" s="1147"/>
      <c r="S29" s="974"/>
      <c r="T29" s="976"/>
      <c r="U29" s="693"/>
      <c r="V29" s="1000" t="s">
        <v>948</v>
      </c>
      <c r="W29" s="1000">
        <f>SUM(W18:W25)</f>
        <v>2726000</v>
      </c>
    </row>
    <row r="30" spans="1:25" s="723" customFormat="1" ht="15.75" customHeight="1" x14ac:dyDescent="0.25">
      <c r="B30" s="748" t="s">
        <v>949</v>
      </c>
      <c r="C30" s="1106"/>
      <c r="D30" s="747" t="s">
        <v>958</v>
      </c>
      <c r="E30" s="700"/>
      <c r="F30" s="724"/>
      <c r="G30" s="702"/>
      <c r="H30" s="701"/>
      <c r="I30" s="702"/>
      <c r="J30" s="726"/>
      <c r="K30" s="702"/>
      <c r="L30" s="703">
        <f>SUM(L17:L29)</f>
        <v>73185600</v>
      </c>
      <c r="M30" s="703" t="e">
        <f>SUM(M17:M29)</f>
        <v>#REF!</v>
      </c>
      <c r="N30" s="869">
        <f>SUM(N17:N29)</f>
        <v>-110000</v>
      </c>
      <c r="O30" s="700"/>
      <c r="P30" s="704"/>
      <c r="Q30" s="742"/>
      <c r="R30" s="1148"/>
      <c r="S30" s="742"/>
      <c r="T30" s="705"/>
      <c r="U30" s="706"/>
      <c r="V30" s="722"/>
      <c r="W30" s="722"/>
      <c r="X30" s="722"/>
      <c r="Y30" s="722"/>
    </row>
    <row r="31" spans="1:25" x14ac:dyDescent="0.25">
      <c r="A31" s="686">
        <v>3</v>
      </c>
      <c r="B31" s="1187" t="s">
        <v>959</v>
      </c>
      <c r="C31" s="1187">
        <v>1006</v>
      </c>
      <c r="D31" s="976" t="s">
        <v>715</v>
      </c>
      <c r="E31" s="976" t="s">
        <v>716</v>
      </c>
      <c r="F31" s="973">
        <v>34848000</v>
      </c>
      <c r="G31" s="974">
        <v>37950000</v>
      </c>
      <c r="H31" s="974">
        <v>17424000</v>
      </c>
      <c r="I31" s="974">
        <v>20526000</v>
      </c>
      <c r="J31" s="975"/>
      <c r="K31" s="974"/>
      <c r="L31" s="974">
        <f>SUM(H31:K31)</f>
        <v>37950000</v>
      </c>
      <c r="M31" s="991" t="e">
        <f>IF(G31="",F31-L31-#REF!,G31-L31-#REF!)</f>
        <v>#REF!</v>
      </c>
      <c r="N31" s="1013">
        <f t="shared" si="0"/>
        <v>0</v>
      </c>
      <c r="O31" s="976"/>
      <c r="P31" s="977"/>
      <c r="Q31" s="974"/>
      <c r="R31" s="1147"/>
      <c r="S31" s="974"/>
      <c r="T31" s="976"/>
      <c r="U31" s="693" t="s">
        <v>943</v>
      </c>
    </row>
    <row r="32" spans="1:25" x14ac:dyDescent="0.25">
      <c r="B32" s="1187" t="s">
        <v>959</v>
      </c>
      <c r="C32" s="1187">
        <v>1006</v>
      </c>
      <c r="D32" s="976" t="s">
        <v>31</v>
      </c>
      <c r="E32" s="1309" t="s">
        <v>168</v>
      </c>
      <c r="F32" s="973">
        <v>64710000</v>
      </c>
      <c r="G32" s="1115">
        <v>68836000</v>
      </c>
      <c r="H32" s="974">
        <v>19413000</v>
      </c>
      <c r="I32" s="1115">
        <v>27534400</v>
      </c>
      <c r="J32" s="975">
        <v>21888600</v>
      </c>
      <c r="K32" s="974"/>
      <c r="L32" s="974">
        <f t="shared" ref="L32:L59" si="3">SUM(H32:K32)</f>
        <v>68836000</v>
      </c>
      <c r="M32" s="991" t="e">
        <f>IF(G32="",F32-L32-#REF!,G32-L32-#REF!)</f>
        <v>#REF!</v>
      </c>
      <c r="N32" s="1013">
        <f t="shared" si="0"/>
        <v>0</v>
      </c>
      <c r="O32" s="976"/>
      <c r="P32" s="977"/>
      <c r="Q32" s="974"/>
      <c r="R32" s="1147"/>
      <c r="S32" s="974"/>
      <c r="T32" s="976"/>
      <c r="U32" s="693"/>
    </row>
    <row r="33" spans="2:23" x14ac:dyDescent="0.25">
      <c r="B33" s="1187" t="s">
        <v>959</v>
      </c>
      <c r="C33" s="1187">
        <v>1006</v>
      </c>
      <c r="D33" s="976" t="s">
        <v>1210</v>
      </c>
      <c r="E33" s="1309"/>
      <c r="F33" s="973">
        <v>3704000</v>
      </c>
      <c r="G33" s="1115">
        <v>3704000</v>
      </c>
      <c r="H33" s="974">
        <v>3704000</v>
      </c>
      <c r="I33" s="1115"/>
      <c r="J33" s="975"/>
      <c r="K33" s="974"/>
      <c r="L33" s="974">
        <f t="shared" si="3"/>
        <v>3704000</v>
      </c>
      <c r="M33" s="991"/>
      <c r="N33" s="1013">
        <f t="shared" si="0"/>
        <v>0</v>
      </c>
      <c r="O33" s="976"/>
      <c r="P33" s="977"/>
      <c r="Q33" s="974"/>
      <c r="R33" s="1147"/>
      <c r="S33" s="974"/>
      <c r="T33" s="976"/>
      <c r="U33" s="693"/>
    </row>
    <row r="34" spans="2:23" x14ac:dyDescent="0.25">
      <c r="B34" s="1187" t="s">
        <v>959</v>
      </c>
      <c r="C34" s="1187">
        <v>1006</v>
      </c>
      <c r="D34" s="976" t="s">
        <v>720</v>
      </c>
      <c r="E34" s="976" t="s">
        <v>721</v>
      </c>
      <c r="F34" s="973">
        <v>10785940</v>
      </c>
      <c r="G34" s="974"/>
      <c r="H34" s="974">
        <v>4347970</v>
      </c>
      <c r="I34" s="974">
        <v>6437970</v>
      </c>
      <c r="J34" s="975"/>
      <c r="K34" s="974"/>
      <c r="L34" s="974">
        <f t="shared" si="3"/>
        <v>10785940</v>
      </c>
      <c r="M34" s="991" t="e">
        <f>IF(G34="",F34-L34-#REF!,G34-L34-#REF!)</f>
        <v>#REF!</v>
      </c>
      <c r="N34" s="1013">
        <f t="shared" si="0"/>
        <v>0</v>
      </c>
      <c r="O34" s="976"/>
      <c r="P34" s="977"/>
      <c r="Q34" s="974"/>
      <c r="R34" s="1147"/>
      <c r="S34" s="974"/>
      <c r="T34" s="976"/>
      <c r="U34" s="693" t="s">
        <v>943</v>
      </c>
    </row>
    <row r="35" spans="2:23" x14ac:dyDescent="0.25">
      <c r="B35" s="1187" t="s">
        <v>959</v>
      </c>
      <c r="C35" s="1187">
        <v>1006</v>
      </c>
      <c r="D35" s="976" t="s">
        <v>723</v>
      </c>
      <c r="E35" s="976" t="s">
        <v>352</v>
      </c>
      <c r="F35" s="973">
        <v>20033200</v>
      </c>
      <c r="G35" s="974">
        <v>19487226</v>
      </c>
      <c r="H35" s="974">
        <v>10016600</v>
      </c>
      <c r="I35" s="974">
        <v>9470626</v>
      </c>
      <c r="J35" s="975"/>
      <c r="K35" s="974"/>
      <c r="L35" s="974">
        <f t="shared" si="3"/>
        <v>19487226</v>
      </c>
      <c r="M35" s="991" t="e">
        <f>IF(G35="",F35-L35-#REF!,G35-L35-#REF!)</f>
        <v>#REF!</v>
      </c>
      <c r="N35" s="1013">
        <f t="shared" si="0"/>
        <v>0</v>
      </c>
      <c r="O35" s="976"/>
      <c r="P35" s="977"/>
      <c r="Q35" s="974"/>
      <c r="R35" s="1147"/>
      <c r="S35" s="974"/>
      <c r="T35" s="976"/>
      <c r="U35" s="693" t="s">
        <v>943</v>
      </c>
      <c r="V35" s="687" t="s">
        <v>952</v>
      </c>
    </row>
    <row r="36" spans="2:23" x14ac:dyDescent="0.25">
      <c r="B36" s="1187" t="s">
        <v>959</v>
      </c>
      <c r="C36" s="1187">
        <v>1006</v>
      </c>
      <c r="D36" s="976" t="s">
        <v>515</v>
      </c>
      <c r="E36" s="976" t="s">
        <v>229</v>
      </c>
      <c r="F36" s="973">
        <v>68622400</v>
      </c>
      <c r="G36" s="974">
        <v>72890400</v>
      </c>
      <c r="H36" s="974">
        <v>34300000</v>
      </c>
      <c r="I36" s="974">
        <v>38590400</v>
      </c>
      <c r="J36" s="975"/>
      <c r="K36" s="974"/>
      <c r="L36" s="974">
        <f t="shared" si="3"/>
        <v>72890400</v>
      </c>
      <c r="M36" s="991" t="e">
        <f>IF(G36="",F36-L36-#REF!,G36-L36-#REF!)</f>
        <v>#REF!</v>
      </c>
      <c r="N36" s="1013">
        <f t="shared" si="0"/>
        <v>0</v>
      </c>
      <c r="O36" s="976"/>
      <c r="P36" s="977"/>
      <c r="Q36" s="974">
        <v>72890400</v>
      </c>
      <c r="R36" s="1147"/>
      <c r="S36" s="974"/>
      <c r="T36" s="976"/>
      <c r="U36" s="693" t="s">
        <v>943</v>
      </c>
      <c r="V36" s="687" t="s">
        <v>960</v>
      </c>
      <c r="W36" s="687">
        <v>720000</v>
      </c>
    </row>
    <row r="37" spans="2:23" x14ac:dyDescent="0.25">
      <c r="B37" s="1187" t="s">
        <v>959</v>
      </c>
      <c r="C37" s="1187">
        <v>1006</v>
      </c>
      <c r="D37" s="976" t="s">
        <v>726</v>
      </c>
      <c r="E37" s="976" t="s">
        <v>727</v>
      </c>
      <c r="F37" s="973">
        <v>4000000</v>
      </c>
      <c r="G37" s="974"/>
      <c r="H37" s="974">
        <v>4000000</v>
      </c>
      <c r="I37" s="974"/>
      <c r="J37" s="975"/>
      <c r="K37" s="974"/>
      <c r="L37" s="974">
        <f t="shared" si="3"/>
        <v>4000000</v>
      </c>
      <c r="M37" s="991" t="e">
        <f>IF(G37="",F37-L37-#REF!,G37-L37-#REF!)</f>
        <v>#REF!</v>
      </c>
      <c r="N37" s="1013">
        <f t="shared" si="0"/>
        <v>0</v>
      </c>
      <c r="O37" s="976"/>
      <c r="P37" s="977"/>
      <c r="Q37" s="974"/>
      <c r="R37" s="1147"/>
      <c r="S37" s="974"/>
      <c r="T37" s="976"/>
      <c r="U37" s="693"/>
      <c r="V37" s="687" t="s">
        <v>953</v>
      </c>
      <c r="W37" s="687">
        <v>5076000</v>
      </c>
    </row>
    <row r="38" spans="2:23" x14ac:dyDescent="0.25">
      <c r="B38" s="1187" t="s">
        <v>959</v>
      </c>
      <c r="C38" s="1187">
        <v>1006</v>
      </c>
      <c r="D38" s="976" t="s">
        <v>692</v>
      </c>
      <c r="E38" s="976" t="s">
        <v>416</v>
      </c>
      <c r="F38" s="973">
        <v>1477872</v>
      </c>
      <c r="G38" s="974"/>
      <c r="H38" s="974">
        <v>1477872</v>
      </c>
      <c r="I38" s="974"/>
      <c r="J38" s="975"/>
      <c r="K38" s="974"/>
      <c r="L38" s="974">
        <f t="shared" si="3"/>
        <v>1477872</v>
      </c>
      <c r="M38" s="991" t="e">
        <f>IF(G38="",F38-L38-#REF!,G38-L38-#REF!)</f>
        <v>#REF!</v>
      </c>
      <c r="N38" s="1013">
        <f t="shared" si="0"/>
        <v>0</v>
      </c>
      <c r="O38" s="976"/>
      <c r="P38" s="977"/>
      <c r="Q38" s="974"/>
      <c r="R38" s="1147"/>
      <c r="S38" s="974"/>
      <c r="T38" s="976"/>
      <c r="U38" s="693" t="s">
        <v>943</v>
      </c>
      <c r="V38" s="687" t="s">
        <v>954</v>
      </c>
      <c r="W38" s="687">
        <v>2427000</v>
      </c>
    </row>
    <row r="39" spans="2:23" x14ac:dyDescent="0.25">
      <c r="B39" s="1187" t="s">
        <v>959</v>
      </c>
      <c r="C39" s="1187">
        <v>1006</v>
      </c>
      <c r="D39" s="976" t="s">
        <v>99</v>
      </c>
      <c r="E39" s="976" t="s">
        <v>100</v>
      </c>
      <c r="F39" s="973">
        <v>228460000</v>
      </c>
      <c r="G39" s="974">
        <v>222905000</v>
      </c>
      <c r="H39" s="974">
        <v>68538000</v>
      </c>
      <c r="I39" s="1115">
        <v>91384000</v>
      </c>
      <c r="J39" s="975">
        <v>51838000</v>
      </c>
      <c r="K39" s="974"/>
      <c r="L39" s="974">
        <f t="shared" si="3"/>
        <v>211760000</v>
      </c>
      <c r="M39" s="991" t="e">
        <f>IF(G39="",F39-L39-#REF!,G39-L39-#REF!)</f>
        <v>#REF!</v>
      </c>
      <c r="N39" s="1013">
        <f t="shared" si="0"/>
        <v>11145000</v>
      </c>
      <c r="O39" s="976"/>
      <c r="P39" s="977"/>
      <c r="Q39" s="974" t="s">
        <v>962</v>
      </c>
      <c r="R39" s="1147"/>
      <c r="S39" s="974"/>
      <c r="T39" s="976"/>
      <c r="U39" s="693" t="s">
        <v>943</v>
      </c>
      <c r="V39" s="687" t="s">
        <v>955</v>
      </c>
      <c r="W39" s="687">
        <v>4258000</v>
      </c>
    </row>
    <row r="40" spans="2:23" x14ac:dyDescent="0.25">
      <c r="B40" s="1187" t="s">
        <v>959</v>
      </c>
      <c r="C40" s="1187">
        <v>1006</v>
      </c>
      <c r="D40" s="976" t="s">
        <v>92</v>
      </c>
      <c r="E40" s="976" t="s">
        <v>204</v>
      </c>
      <c r="F40" s="973">
        <v>83430750</v>
      </c>
      <c r="G40" s="974">
        <v>85412200</v>
      </c>
      <c r="H40" s="974">
        <v>27532147</v>
      </c>
      <c r="I40" s="1115">
        <v>36709530</v>
      </c>
      <c r="J40" s="975">
        <v>21170523</v>
      </c>
      <c r="K40" s="974"/>
      <c r="L40" s="974">
        <f t="shared" si="3"/>
        <v>85412200</v>
      </c>
      <c r="M40" s="991" t="e">
        <f>IF(G40="",F40-L40-#REF!,G40-L40-#REF!)</f>
        <v>#REF!</v>
      </c>
      <c r="N40" s="1013">
        <f t="shared" si="0"/>
        <v>0</v>
      </c>
      <c r="O40" s="976"/>
      <c r="P40" s="977"/>
      <c r="Q40" s="974" t="s">
        <v>962</v>
      </c>
      <c r="R40" s="1147"/>
      <c r="S40" s="974"/>
      <c r="T40" s="976"/>
      <c r="U40" s="693" t="s">
        <v>943</v>
      </c>
      <c r="V40" s="687" t="s">
        <v>961</v>
      </c>
      <c r="W40" s="687">
        <v>3440000</v>
      </c>
    </row>
    <row r="41" spans="2:23" x14ac:dyDescent="0.25">
      <c r="B41" s="1187" t="s">
        <v>959</v>
      </c>
      <c r="C41" s="1187">
        <v>1006</v>
      </c>
      <c r="D41" s="976" t="s">
        <v>50</v>
      </c>
      <c r="E41" s="976" t="s">
        <v>730</v>
      </c>
      <c r="F41" s="973">
        <v>82080000</v>
      </c>
      <c r="G41" s="974"/>
      <c r="H41" s="974">
        <v>32832000</v>
      </c>
      <c r="I41" s="1115">
        <v>49248000</v>
      </c>
      <c r="J41" s="975"/>
      <c r="K41" s="974"/>
      <c r="L41" s="974">
        <f t="shared" si="3"/>
        <v>82080000</v>
      </c>
      <c r="M41" s="991" t="e">
        <f>IF(G41="",F41-L41-#REF!,G41-L41-#REF!)</f>
        <v>#REF!</v>
      </c>
      <c r="N41" s="1013">
        <f t="shared" si="0"/>
        <v>0</v>
      </c>
      <c r="O41" s="976"/>
      <c r="P41" s="977"/>
      <c r="Q41" s="974"/>
      <c r="R41" s="1147"/>
      <c r="S41" s="974"/>
      <c r="T41" s="976"/>
      <c r="U41" s="693" t="s">
        <v>943</v>
      </c>
      <c r="V41" s="687" t="s">
        <v>944</v>
      </c>
      <c r="W41" s="687">
        <v>1768000</v>
      </c>
    </row>
    <row r="42" spans="2:23" x14ac:dyDescent="0.25">
      <c r="B42" s="1187" t="s">
        <v>959</v>
      </c>
      <c r="C42" s="1187">
        <v>1006</v>
      </c>
      <c r="D42" s="976" t="s">
        <v>132</v>
      </c>
      <c r="E42" s="976" t="s">
        <v>731</v>
      </c>
      <c r="F42" s="973">
        <v>42487500</v>
      </c>
      <c r="G42" s="974"/>
      <c r="H42" s="974">
        <v>21243750</v>
      </c>
      <c r="I42" s="1115">
        <v>21243750</v>
      </c>
      <c r="J42" s="975"/>
      <c r="K42" s="974"/>
      <c r="L42" s="974">
        <f t="shared" si="3"/>
        <v>42487500</v>
      </c>
      <c r="M42" s="991" t="e">
        <f>IF(G42="",F42-L42-#REF!,G42-L42-#REF!)</f>
        <v>#REF!</v>
      </c>
      <c r="N42" s="1013">
        <f t="shared" si="0"/>
        <v>0</v>
      </c>
      <c r="O42" s="976"/>
      <c r="P42" s="977"/>
      <c r="Q42" s="974"/>
      <c r="R42" s="1147"/>
      <c r="S42" s="974"/>
      <c r="T42" s="976"/>
      <c r="U42" s="693" t="s">
        <v>943</v>
      </c>
      <c r="V42" s="687" t="s">
        <v>963</v>
      </c>
      <c r="W42" s="687">
        <v>605000</v>
      </c>
    </row>
    <row r="43" spans="2:23" x14ac:dyDescent="0.25">
      <c r="B43" s="1187" t="s">
        <v>959</v>
      </c>
      <c r="C43" s="1187">
        <v>1006</v>
      </c>
      <c r="D43" s="976" t="s">
        <v>966</v>
      </c>
      <c r="E43" s="972" t="s">
        <v>967</v>
      </c>
      <c r="F43" s="973"/>
      <c r="G43" s="974">
        <v>56446460</v>
      </c>
      <c r="H43" s="974">
        <v>9690240</v>
      </c>
      <c r="I43" s="1115">
        <v>46500000</v>
      </c>
      <c r="J43" s="975">
        <v>256220</v>
      </c>
      <c r="K43" s="974"/>
      <c r="L43" s="974">
        <f t="shared" si="3"/>
        <v>56446460</v>
      </c>
      <c r="M43" s="991" t="e">
        <f>IF(G43="",F43-L43-#REF!,G43-L43-#REF!)</f>
        <v>#REF!</v>
      </c>
      <c r="N43" s="1013">
        <f t="shared" si="0"/>
        <v>0</v>
      </c>
      <c r="O43" s="976"/>
      <c r="P43" s="977"/>
      <c r="Q43" s="974"/>
      <c r="R43" s="1147"/>
      <c r="S43" s="974"/>
      <c r="T43" s="976"/>
      <c r="U43" s="693" t="s">
        <v>968</v>
      </c>
      <c r="V43" s="687" t="s">
        <v>964</v>
      </c>
      <c r="W43" s="687">
        <v>400000</v>
      </c>
    </row>
    <row r="44" spans="2:23" x14ac:dyDescent="0.25">
      <c r="B44" s="1187" t="s">
        <v>959</v>
      </c>
      <c r="C44" s="1187">
        <v>1006</v>
      </c>
      <c r="D44" s="976" t="s">
        <v>732</v>
      </c>
      <c r="E44" s="976" t="s">
        <v>727</v>
      </c>
      <c r="F44" s="1108">
        <f>L44</f>
        <v>5000000</v>
      </c>
      <c r="G44" s="974"/>
      <c r="H44" s="974">
        <v>5000000</v>
      </c>
      <c r="I44" s="974"/>
      <c r="J44" s="975"/>
      <c r="K44" s="974"/>
      <c r="L44" s="974">
        <f t="shared" si="3"/>
        <v>5000000</v>
      </c>
      <c r="M44" s="991" t="e">
        <f>IF(G44="",F44-L44-#REF!,G44-L44-#REF!)</f>
        <v>#REF!</v>
      </c>
      <c r="N44" s="1013">
        <f t="shared" si="0"/>
        <v>0</v>
      </c>
      <c r="O44" s="976"/>
      <c r="P44" s="977"/>
      <c r="Q44" s="974"/>
      <c r="R44" s="1147"/>
      <c r="S44" s="974"/>
      <c r="T44" s="976"/>
      <c r="U44" s="693"/>
      <c r="V44" s="687" t="s">
        <v>965</v>
      </c>
      <c r="W44" s="687">
        <v>610000</v>
      </c>
    </row>
    <row r="45" spans="2:23" x14ac:dyDescent="0.25">
      <c r="B45" s="1187" t="s">
        <v>959</v>
      </c>
      <c r="C45" s="1187">
        <v>1006</v>
      </c>
      <c r="D45" s="976" t="s">
        <v>733</v>
      </c>
      <c r="E45" s="976" t="s">
        <v>734</v>
      </c>
      <c r="F45" s="1108">
        <f>L45</f>
        <v>5000000</v>
      </c>
      <c r="G45" s="974"/>
      <c r="H45" s="974">
        <v>5000000</v>
      </c>
      <c r="I45" s="974"/>
      <c r="J45" s="975"/>
      <c r="K45" s="974"/>
      <c r="L45" s="974">
        <f t="shared" si="3"/>
        <v>5000000</v>
      </c>
      <c r="M45" s="991" t="e">
        <f>IF(G45="",F45-L45-#REF!,G45-L45-#REF!)</f>
        <v>#REF!</v>
      </c>
      <c r="N45" s="1013">
        <f t="shared" si="0"/>
        <v>0</v>
      </c>
      <c r="O45" s="976"/>
      <c r="P45" s="977"/>
      <c r="Q45" s="974"/>
      <c r="R45" s="1147"/>
      <c r="S45" s="974"/>
      <c r="T45" s="976"/>
      <c r="U45" s="693"/>
      <c r="V45" s="721" t="s">
        <v>1211</v>
      </c>
      <c r="W45" s="687">
        <v>310000</v>
      </c>
    </row>
    <row r="46" spans="2:23" x14ac:dyDescent="0.25">
      <c r="B46" s="1187" t="s">
        <v>959</v>
      </c>
      <c r="C46" s="1187">
        <v>1006</v>
      </c>
      <c r="D46" s="976" t="s">
        <v>735</v>
      </c>
      <c r="E46" s="976" t="s">
        <v>736</v>
      </c>
      <c r="F46" s="973">
        <v>35150000</v>
      </c>
      <c r="G46" s="974"/>
      <c r="H46" s="974">
        <v>24605000</v>
      </c>
      <c r="I46" s="1115">
        <v>10545000</v>
      </c>
      <c r="J46" s="975"/>
      <c r="K46" s="974"/>
      <c r="L46" s="974">
        <f t="shared" si="3"/>
        <v>35150000</v>
      </c>
      <c r="M46" s="991" t="e">
        <f>IF(G46="",F46-L46-#REF!,G46-L46-#REF!)</f>
        <v>#REF!</v>
      </c>
      <c r="N46" s="1013">
        <f t="shared" si="0"/>
        <v>0</v>
      </c>
      <c r="O46" s="976"/>
      <c r="P46" s="977"/>
      <c r="Q46" s="974"/>
      <c r="R46" s="1147"/>
      <c r="S46" s="974"/>
      <c r="T46" s="976"/>
      <c r="U46" s="693" t="s">
        <v>943</v>
      </c>
    </row>
    <row r="47" spans="2:23" x14ac:dyDescent="0.25">
      <c r="B47" s="1187" t="s">
        <v>959</v>
      </c>
      <c r="C47" s="1187">
        <v>1006</v>
      </c>
      <c r="D47" s="976" t="s">
        <v>170</v>
      </c>
      <c r="E47" s="976" t="s">
        <v>738</v>
      </c>
      <c r="F47" s="1108">
        <f>L47</f>
        <v>9645000</v>
      </c>
      <c r="G47" s="974"/>
      <c r="H47" s="974">
        <v>9645000</v>
      </c>
      <c r="I47" s="974"/>
      <c r="J47" s="975"/>
      <c r="K47" s="974"/>
      <c r="L47" s="974">
        <f t="shared" si="3"/>
        <v>9645000</v>
      </c>
      <c r="M47" s="991" t="e">
        <f>IF(G47="",F47-L47-#REF!,G47-L47-#REF!)</f>
        <v>#REF!</v>
      </c>
      <c r="N47" s="1013">
        <f t="shared" si="0"/>
        <v>0</v>
      </c>
      <c r="O47" s="976"/>
      <c r="P47" s="977"/>
      <c r="Q47" s="974"/>
      <c r="R47" s="1147"/>
      <c r="S47" s="974"/>
      <c r="T47" s="976"/>
      <c r="U47" s="693"/>
    </row>
    <row r="48" spans="2:23" x14ac:dyDescent="0.25">
      <c r="B48" s="1187" t="s">
        <v>959</v>
      </c>
      <c r="C48" s="1187">
        <v>1006</v>
      </c>
      <c r="D48" s="976" t="s">
        <v>292</v>
      </c>
      <c r="E48" s="976" t="s">
        <v>104</v>
      </c>
      <c r="F48" s="973">
        <v>16800000</v>
      </c>
      <c r="G48" s="974">
        <v>16800000</v>
      </c>
      <c r="H48" s="974">
        <v>11760000</v>
      </c>
      <c r="I48" s="974">
        <v>5040000</v>
      </c>
      <c r="J48" s="975"/>
      <c r="K48" s="974"/>
      <c r="L48" s="974">
        <f t="shared" si="3"/>
        <v>16800000</v>
      </c>
      <c r="M48" s="991" t="e">
        <f>IF(G48="",F48-L48-#REF!,G48-L48-#REF!)</f>
        <v>#REF!</v>
      </c>
      <c r="N48" s="1013">
        <f t="shared" si="0"/>
        <v>0</v>
      </c>
      <c r="O48" s="976"/>
      <c r="P48" s="977"/>
      <c r="Q48" s="974"/>
      <c r="R48" s="1147"/>
      <c r="S48" s="974"/>
      <c r="T48" s="976"/>
      <c r="U48" s="693"/>
    </row>
    <row r="49" spans="2:21" x14ac:dyDescent="0.25">
      <c r="B49" s="1187" t="s">
        <v>959</v>
      </c>
      <c r="C49" s="1187">
        <v>1006</v>
      </c>
      <c r="D49" s="976" t="s">
        <v>514</v>
      </c>
      <c r="E49" s="976" t="s">
        <v>114</v>
      </c>
      <c r="F49" s="973">
        <v>1650000</v>
      </c>
      <c r="G49" s="974"/>
      <c r="H49" s="974">
        <v>1650000</v>
      </c>
      <c r="I49" s="974"/>
      <c r="J49" s="975"/>
      <c r="K49" s="974"/>
      <c r="L49" s="974">
        <f t="shared" si="3"/>
        <v>1650000</v>
      </c>
      <c r="M49" s="991" t="e">
        <f>IF(G49="",F49-L49-#REF!,G49-L49-#REF!)</f>
        <v>#REF!</v>
      </c>
      <c r="N49" s="1013">
        <f t="shared" si="0"/>
        <v>0</v>
      </c>
      <c r="O49" s="976"/>
      <c r="P49" s="977"/>
      <c r="Q49" s="974"/>
      <c r="R49" s="1147"/>
      <c r="S49" s="974"/>
      <c r="T49" s="976"/>
      <c r="U49" s="693" t="s">
        <v>957</v>
      </c>
    </row>
    <row r="50" spans="2:21" x14ac:dyDescent="0.25">
      <c r="B50" s="1187" t="s">
        <v>959</v>
      </c>
      <c r="C50" s="1187">
        <v>1006</v>
      </c>
      <c r="D50" s="976" t="s">
        <v>107</v>
      </c>
      <c r="E50" s="1309" t="s">
        <v>341</v>
      </c>
      <c r="F50" s="973">
        <v>11340000</v>
      </c>
      <c r="G50" s="974"/>
      <c r="H50" s="974">
        <v>4000000</v>
      </c>
      <c r="I50" s="974">
        <v>7340000</v>
      </c>
      <c r="J50" s="975"/>
      <c r="K50" s="974"/>
      <c r="L50" s="974">
        <f t="shared" si="3"/>
        <v>11340000</v>
      </c>
      <c r="M50" s="991" t="e">
        <f>IF(G50="",F50-L50-#REF!,G50-L50-#REF!)</f>
        <v>#REF!</v>
      </c>
      <c r="N50" s="1013">
        <f t="shared" si="0"/>
        <v>0</v>
      </c>
      <c r="O50" s="976"/>
      <c r="P50" s="977"/>
      <c r="Q50" s="974"/>
      <c r="R50" s="1147"/>
      <c r="S50" s="974"/>
      <c r="T50" s="976"/>
      <c r="U50" s="693"/>
    </row>
    <row r="51" spans="2:21" x14ac:dyDescent="0.25">
      <c r="B51" s="1187" t="s">
        <v>959</v>
      </c>
      <c r="C51" s="1187">
        <v>1006</v>
      </c>
      <c r="D51" s="976" t="s">
        <v>1212</v>
      </c>
      <c r="E51" s="1309"/>
      <c r="F51" s="973">
        <v>1980000</v>
      </c>
      <c r="G51" s="974">
        <v>1980000</v>
      </c>
      <c r="H51" s="974">
        <v>1980000</v>
      </c>
      <c r="I51" s="974"/>
      <c r="J51" s="975"/>
      <c r="K51" s="974"/>
      <c r="L51" s="974">
        <f t="shared" si="3"/>
        <v>1980000</v>
      </c>
      <c r="M51" s="991"/>
      <c r="N51" s="1013">
        <f t="shared" si="0"/>
        <v>0</v>
      </c>
      <c r="O51" s="976"/>
      <c r="P51" s="977"/>
      <c r="Q51" s="974"/>
      <c r="R51" s="1147"/>
      <c r="S51" s="974"/>
      <c r="T51" s="976"/>
      <c r="U51" s="693"/>
    </row>
    <row r="52" spans="2:21" x14ac:dyDescent="0.25">
      <c r="B52" s="1187" t="s">
        <v>959</v>
      </c>
      <c r="C52" s="1187">
        <v>1006</v>
      </c>
      <c r="D52" s="976" t="s">
        <v>739</v>
      </c>
      <c r="E52" s="976" t="s">
        <v>727</v>
      </c>
      <c r="F52" s="1108">
        <f>L52</f>
        <v>2000000</v>
      </c>
      <c r="G52" s="974"/>
      <c r="H52" s="1115">
        <v>2000000</v>
      </c>
      <c r="I52" s="974"/>
      <c r="J52" s="975"/>
      <c r="K52" s="974"/>
      <c r="L52" s="974">
        <f t="shared" si="3"/>
        <v>2000000</v>
      </c>
      <c r="M52" s="991" t="e">
        <f>IF(G52="",F52-L52-#REF!,G52-L52-#REF!)</f>
        <v>#REF!</v>
      </c>
      <c r="N52" s="1013">
        <f t="shared" si="0"/>
        <v>0</v>
      </c>
      <c r="O52" s="976"/>
      <c r="P52" s="977"/>
      <c r="Q52" s="974"/>
      <c r="R52" s="1147"/>
      <c r="S52" s="974"/>
      <c r="T52" s="976"/>
      <c r="U52" s="693"/>
    </row>
    <row r="53" spans="2:21" x14ac:dyDescent="0.25">
      <c r="B53" s="1187" t="s">
        <v>959</v>
      </c>
      <c r="C53" s="1187">
        <v>1006</v>
      </c>
      <c r="D53" s="976" t="s">
        <v>740</v>
      </c>
      <c r="E53" s="976" t="s">
        <v>397</v>
      </c>
      <c r="F53" s="973">
        <f>40174200+3423750</f>
        <v>43597950</v>
      </c>
      <c r="G53" s="974"/>
      <c r="H53" s="974">
        <v>40174200</v>
      </c>
      <c r="I53" s="974">
        <v>3423750</v>
      </c>
      <c r="J53" s="975"/>
      <c r="K53" s="974"/>
      <c r="L53" s="974">
        <f t="shared" si="3"/>
        <v>43597950</v>
      </c>
      <c r="M53" s="991" t="e">
        <f>IF(G53="",F53-L53-#REF!,G53-L53-#REF!)</f>
        <v>#REF!</v>
      </c>
      <c r="N53" s="1013">
        <f t="shared" si="0"/>
        <v>0</v>
      </c>
      <c r="O53" s="976"/>
      <c r="P53" s="977"/>
      <c r="Q53" s="974"/>
      <c r="R53" s="1147"/>
      <c r="S53" s="974"/>
      <c r="T53" s="976"/>
      <c r="U53" s="693"/>
    </row>
    <row r="54" spans="2:21" x14ac:dyDescent="0.25">
      <c r="B54" s="1187" t="s">
        <v>959</v>
      </c>
      <c r="C54" s="1187">
        <v>1006</v>
      </c>
      <c r="D54" s="976" t="s">
        <v>715</v>
      </c>
      <c r="E54" s="976" t="s">
        <v>229</v>
      </c>
      <c r="F54" s="973">
        <v>30254400</v>
      </c>
      <c r="G54" s="974">
        <v>31509500</v>
      </c>
      <c r="H54" s="974">
        <v>15127200</v>
      </c>
      <c r="I54" s="1115">
        <v>16382300</v>
      </c>
      <c r="J54" s="975"/>
      <c r="K54" s="974"/>
      <c r="L54" s="974">
        <f t="shared" si="3"/>
        <v>31509500</v>
      </c>
      <c r="M54" s="991" t="e">
        <f>IF(G54="",F54-L54-#REF!,G54-L54-#REF!)</f>
        <v>#REF!</v>
      </c>
      <c r="N54" s="1013">
        <f t="shared" si="0"/>
        <v>0</v>
      </c>
      <c r="O54" s="976" t="s">
        <v>969</v>
      </c>
      <c r="P54" s="977">
        <v>43977</v>
      </c>
      <c r="Q54" s="974">
        <v>31509500</v>
      </c>
      <c r="R54" s="1147"/>
      <c r="S54" s="974"/>
      <c r="T54" s="976"/>
      <c r="U54" s="693" t="s">
        <v>943</v>
      </c>
    </row>
    <row r="55" spans="2:21" x14ac:dyDescent="0.25">
      <c r="B55" s="1187" t="s">
        <v>959</v>
      </c>
      <c r="C55" s="1187">
        <v>1006</v>
      </c>
      <c r="D55" s="976" t="s">
        <v>50</v>
      </c>
      <c r="E55" s="976" t="s">
        <v>65</v>
      </c>
      <c r="F55" s="973">
        <v>6930000</v>
      </c>
      <c r="G55" s="974">
        <v>6930000</v>
      </c>
      <c r="H55" s="974">
        <v>3150000</v>
      </c>
      <c r="I55" s="974">
        <v>3780000</v>
      </c>
      <c r="J55" s="975"/>
      <c r="K55" s="974"/>
      <c r="L55" s="974">
        <f t="shared" si="3"/>
        <v>6930000</v>
      </c>
      <c r="M55" s="991" t="e">
        <f>IF(G55="",F55-L55-#REF!,G55-L55-#REF!)</f>
        <v>#REF!</v>
      </c>
      <c r="N55" s="1013">
        <f t="shared" si="0"/>
        <v>0</v>
      </c>
      <c r="O55" s="976"/>
      <c r="P55" s="977"/>
      <c r="Q55" s="974"/>
      <c r="R55" s="1147"/>
      <c r="S55" s="974"/>
      <c r="T55" s="976"/>
      <c r="U55" s="693" t="s">
        <v>957</v>
      </c>
    </row>
    <row r="56" spans="2:21" x14ac:dyDescent="0.25">
      <c r="B56" s="1187" t="s">
        <v>959</v>
      </c>
      <c r="C56" s="1187">
        <v>1006</v>
      </c>
      <c r="D56" s="976" t="s">
        <v>363</v>
      </c>
      <c r="E56" s="976" t="s">
        <v>339</v>
      </c>
      <c r="F56" s="973">
        <v>8859200</v>
      </c>
      <c r="G56" s="974"/>
      <c r="H56" s="974">
        <v>8859200</v>
      </c>
      <c r="I56" s="974"/>
      <c r="J56" s="975"/>
      <c r="K56" s="974"/>
      <c r="L56" s="974">
        <f t="shared" si="3"/>
        <v>8859200</v>
      </c>
      <c r="M56" s="991" t="e">
        <f>IF(G56="",F56-L56-#REF!,G56-L56-#REF!)</f>
        <v>#REF!</v>
      </c>
      <c r="N56" s="1013">
        <f t="shared" si="0"/>
        <v>0</v>
      </c>
      <c r="O56" s="976"/>
      <c r="P56" s="977"/>
      <c r="Q56" s="974"/>
      <c r="R56" s="1147"/>
      <c r="S56" s="974"/>
      <c r="T56" s="976"/>
      <c r="U56" s="693" t="s">
        <v>943</v>
      </c>
    </row>
    <row r="57" spans="2:21" x14ac:dyDescent="0.25">
      <c r="B57" s="1187" t="s">
        <v>959</v>
      </c>
      <c r="C57" s="1187">
        <v>1006</v>
      </c>
      <c r="D57" s="976" t="s">
        <v>970</v>
      </c>
      <c r="E57" s="976" t="s">
        <v>742</v>
      </c>
      <c r="F57" s="973">
        <v>5880000</v>
      </c>
      <c r="G57" s="974"/>
      <c r="H57" s="974">
        <v>2940000</v>
      </c>
      <c r="I57" s="974">
        <v>2940000</v>
      </c>
      <c r="J57" s="975"/>
      <c r="K57" s="974"/>
      <c r="L57" s="974">
        <f t="shared" si="3"/>
        <v>5880000</v>
      </c>
      <c r="M57" s="991" t="e">
        <f>IF(G57="",F57-L57-#REF!,G57-L57-#REF!)</f>
        <v>#REF!</v>
      </c>
      <c r="N57" s="1013">
        <f t="shared" si="0"/>
        <v>0</v>
      </c>
      <c r="O57" s="976"/>
      <c r="P57" s="977"/>
      <c r="Q57" s="974"/>
      <c r="R57" s="1147"/>
      <c r="S57" s="974"/>
      <c r="T57" s="976"/>
      <c r="U57" s="693" t="s">
        <v>943</v>
      </c>
    </row>
    <row r="58" spans="2:21" x14ac:dyDescent="0.25">
      <c r="B58" s="1187" t="s">
        <v>959</v>
      </c>
      <c r="C58" s="1187">
        <v>1006</v>
      </c>
      <c r="D58" s="976" t="s">
        <v>743</v>
      </c>
      <c r="E58" s="976" t="s">
        <v>744</v>
      </c>
      <c r="F58" s="973">
        <v>3800000</v>
      </c>
      <c r="G58" s="974"/>
      <c r="H58" s="974">
        <v>3800000</v>
      </c>
      <c r="I58" s="974"/>
      <c r="J58" s="975"/>
      <c r="K58" s="974"/>
      <c r="L58" s="974">
        <f t="shared" si="3"/>
        <v>3800000</v>
      </c>
      <c r="M58" s="991" t="e">
        <f>IF(G58="",F58-L58-#REF!,G58-L58-#REF!)</f>
        <v>#REF!</v>
      </c>
      <c r="N58" s="1013">
        <f t="shared" si="0"/>
        <v>0</v>
      </c>
      <c r="O58" s="976"/>
      <c r="P58" s="977"/>
      <c r="Q58" s="974"/>
      <c r="R58" s="1147"/>
      <c r="S58" s="974"/>
      <c r="T58" s="976"/>
      <c r="U58" s="693"/>
    </row>
    <row r="59" spans="2:21" x14ac:dyDescent="0.25">
      <c r="B59" s="1187" t="s">
        <v>959</v>
      </c>
      <c r="C59" s="1187">
        <v>1006</v>
      </c>
      <c r="D59" s="976" t="s">
        <v>158</v>
      </c>
      <c r="E59" s="976" t="s">
        <v>971</v>
      </c>
      <c r="F59" s="973">
        <v>3850000</v>
      </c>
      <c r="G59" s="974"/>
      <c r="H59" s="974">
        <v>3850000</v>
      </c>
      <c r="I59" s="974"/>
      <c r="J59" s="975"/>
      <c r="K59" s="974"/>
      <c r="L59" s="974">
        <f t="shared" si="3"/>
        <v>3850000</v>
      </c>
      <c r="M59" s="991" t="e">
        <f>IF(G59="",F59-L59-#REF!,G59-L59-#REF!)</f>
        <v>#REF!</v>
      </c>
      <c r="N59" s="1013">
        <f t="shared" si="0"/>
        <v>0</v>
      </c>
      <c r="O59" s="976"/>
      <c r="P59" s="977"/>
      <c r="Q59" s="974"/>
      <c r="R59" s="1147"/>
      <c r="S59" s="974"/>
      <c r="T59" s="976"/>
      <c r="U59" s="693"/>
    </row>
    <row r="60" spans="2:21" x14ac:dyDescent="0.25">
      <c r="B60" s="1187" t="s">
        <v>959</v>
      </c>
      <c r="C60" s="1187">
        <v>1006</v>
      </c>
      <c r="D60" s="976" t="s">
        <v>745</v>
      </c>
      <c r="E60" s="976" t="s">
        <v>746</v>
      </c>
      <c r="F60" s="973">
        <v>27885000</v>
      </c>
      <c r="G60" s="974"/>
      <c r="H60" s="974">
        <v>27885000</v>
      </c>
      <c r="I60" s="974"/>
      <c r="J60" s="975"/>
      <c r="K60" s="974"/>
      <c r="L60" s="974">
        <f t="shared" ref="L60:L68" si="4">SUM(H60:K60)</f>
        <v>27885000</v>
      </c>
      <c r="M60" s="991" t="e">
        <f>IF(G60="",F60-L60-#REF!,G60-L60-#REF!)</f>
        <v>#REF!</v>
      </c>
      <c r="N60" s="1013">
        <f t="shared" si="0"/>
        <v>0</v>
      </c>
      <c r="O60" s="976"/>
      <c r="P60" s="977"/>
      <c r="Q60" s="974"/>
      <c r="R60" s="1147"/>
      <c r="S60" s="974"/>
      <c r="T60" s="976"/>
      <c r="U60" s="693" t="s">
        <v>943</v>
      </c>
    </row>
    <row r="61" spans="2:21" x14ac:dyDescent="0.25">
      <c r="B61" s="1187" t="s">
        <v>959</v>
      </c>
      <c r="C61" s="1187">
        <v>1006</v>
      </c>
      <c r="D61" s="976" t="s">
        <v>747</v>
      </c>
      <c r="E61" s="976" t="s">
        <v>146</v>
      </c>
      <c r="F61" s="973">
        <v>1330000</v>
      </c>
      <c r="G61" s="974"/>
      <c r="H61" s="974">
        <v>1330000</v>
      </c>
      <c r="I61" s="974"/>
      <c r="J61" s="975"/>
      <c r="K61" s="974"/>
      <c r="L61" s="974">
        <f t="shared" si="4"/>
        <v>1330000</v>
      </c>
      <c r="M61" s="991" t="e">
        <f>IF(G61="",F61-L61-#REF!,G61-L61-#REF!)</f>
        <v>#REF!</v>
      </c>
      <c r="N61" s="1013">
        <f t="shared" si="0"/>
        <v>0</v>
      </c>
      <c r="O61" s="976"/>
      <c r="P61" s="977"/>
      <c r="Q61" s="974"/>
      <c r="R61" s="1147"/>
      <c r="S61" s="974"/>
      <c r="T61" s="976"/>
      <c r="U61" s="693" t="s">
        <v>968</v>
      </c>
    </row>
    <row r="62" spans="2:21" x14ac:dyDescent="0.25">
      <c r="B62" s="1187" t="s">
        <v>959</v>
      </c>
      <c r="C62" s="1187">
        <v>1006</v>
      </c>
      <c r="D62" s="976" t="s">
        <v>748</v>
      </c>
      <c r="E62" s="976" t="s">
        <v>57</v>
      </c>
      <c r="F62" s="973">
        <v>2760000</v>
      </c>
      <c r="G62" s="974"/>
      <c r="H62" s="974">
        <v>2760000</v>
      </c>
      <c r="I62" s="974"/>
      <c r="J62" s="975"/>
      <c r="K62" s="974"/>
      <c r="L62" s="974">
        <f t="shared" si="4"/>
        <v>2760000</v>
      </c>
      <c r="M62" s="991" t="e">
        <f>IF(G62="",F62-L62-#REF!,G62-L62-#REF!)</f>
        <v>#REF!</v>
      </c>
      <c r="N62" s="1013">
        <f t="shared" si="0"/>
        <v>0</v>
      </c>
      <c r="O62" s="976"/>
      <c r="P62" s="977"/>
      <c r="Q62" s="974"/>
      <c r="R62" s="1147"/>
      <c r="S62" s="974"/>
      <c r="T62" s="976"/>
      <c r="U62" s="693" t="s">
        <v>968</v>
      </c>
    </row>
    <row r="63" spans="2:21" x14ac:dyDescent="0.25">
      <c r="B63" s="1187" t="s">
        <v>959</v>
      </c>
      <c r="C63" s="1187">
        <v>1006</v>
      </c>
      <c r="D63" s="976" t="s">
        <v>215</v>
      </c>
      <c r="E63" s="976" t="s">
        <v>750</v>
      </c>
      <c r="F63" s="973">
        <v>29551609</v>
      </c>
      <c r="G63" s="974">
        <v>29551609</v>
      </c>
      <c r="H63" s="1115">
        <v>29551609</v>
      </c>
      <c r="I63" s="974"/>
      <c r="J63" s="975"/>
      <c r="K63" s="974"/>
      <c r="L63" s="974">
        <f t="shared" si="4"/>
        <v>29551609</v>
      </c>
      <c r="M63" s="991" t="e">
        <f>IF(G63="",F63-L63-#REF!,G63-L63-#REF!)</f>
        <v>#REF!</v>
      </c>
      <c r="N63" s="1013">
        <f t="shared" si="0"/>
        <v>0</v>
      </c>
      <c r="O63" s="976" t="s">
        <v>972</v>
      </c>
      <c r="P63" s="977">
        <v>43975</v>
      </c>
      <c r="Q63" s="974">
        <v>29551609</v>
      </c>
      <c r="R63" s="1147"/>
      <c r="S63" s="974"/>
      <c r="T63" s="976"/>
      <c r="U63" s="693" t="s">
        <v>943</v>
      </c>
    </row>
    <row r="64" spans="2:21" x14ac:dyDescent="0.25">
      <c r="B64" s="1187" t="s">
        <v>959</v>
      </c>
      <c r="C64" s="1187">
        <v>1006</v>
      </c>
      <c r="D64" s="976" t="s">
        <v>973</v>
      </c>
      <c r="E64" s="976" t="s">
        <v>974</v>
      </c>
      <c r="F64" s="973">
        <f>1000000+796000</f>
        <v>1796000</v>
      </c>
      <c r="G64" s="974"/>
      <c r="H64" s="1115">
        <v>1000000</v>
      </c>
      <c r="I64" s="974">
        <v>796000</v>
      </c>
      <c r="J64" s="975"/>
      <c r="K64" s="974"/>
      <c r="L64" s="974">
        <f t="shared" si="4"/>
        <v>1796000</v>
      </c>
      <c r="M64" s="991" t="e">
        <f>IF(G64="",F64-L64-#REF!,G64-L64-#REF!)</f>
        <v>#REF!</v>
      </c>
      <c r="N64" s="1013">
        <f t="shared" si="0"/>
        <v>0</v>
      </c>
      <c r="O64" s="976"/>
      <c r="P64" s="977"/>
      <c r="Q64" s="974"/>
      <c r="R64" s="1147"/>
      <c r="S64" s="974"/>
      <c r="T64" s="976"/>
      <c r="U64" s="693"/>
    </row>
    <row r="65" spans="1:25" x14ac:dyDescent="0.25">
      <c r="B65" s="1187" t="s">
        <v>959</v>
      </c>
      <c r="C65" s="1187">
        <v>1006</v>
      </c>
      <c r="D65" s="976" t="s">
        <v>970</v>
      </c>
      <c r="E65" s="976" t="s">
        <v>975</v>
      </c>
      <c r="F65" s="973">
        <v>2419000</v>
      </c>
      <c r="G65" s="974"/>
      <c r="H65" s="1115">
        <v>2419000</v>
      </c>
      <c r="I65" s="974"/>
      <c r="J65" s="975"/>
      <c r="K65" s="974"/>
      <c r="L65" s="974">
        <f t="shared" si="4"/>
        <v>2419000</v>
      </c>
      <c r="M65" s="991" t="e">
        <f>IF(G65="",F65-L65-#REF!,G65-L65-#REF!)</f>
        <v>#REF!</v>
      </c>
      <c r="N65" s="1013">
        <f t="shared" si="0"/>
        <v>0</v>
      </c>
      <c r="O65" s="976"/>
      <c r="P65" s="977"/>
      <c r="Q65" s="974"/>
      <c r="R65" s="1147"/>
      <c r="S65" s="974"/>
      <c r="T65" s="976"/>
      <c r="U65" s="693"/>
    </row>
    <row r="66" spans="1:25" x14ac:dyDescent="0.25">
      <c r="B66" s="1187" t="s">
        <v>959</v>
      </c>
      <c r="C66" s="1187">
        <v>1006</v>
      </c>
      <c r="D66" s="976" t="s">
        <v>118</v>
      </c>
      <c r="E66" s="976" t="s">
        <v>315</v>
      </c>
      <c r="F66" s="973">
        <v>2000000</v>
      </c>
      <c r="G66" s="974"/>
      <c r="H66" s="1115">
        <v>2000000</v>
      </c>
      <c r="I66" s="974"/>
      <c r="J66" s="975"/>
      <c r="K66" s="974"/>
      <c r="L66" s="974">
        <f t="shared" si="4"/>
        <v>2000000</v>
      </c>
      <c r="M66" s="991" t="e">
        <f>IF(G66="",F66-L66-#REF!,G66-L66-#REF!)</f>
        <v>#REF!</v>
      </c>
      <c r="N66" s="1013">
        <f t="shared" si="0"/>
        <v>0</v>
      </c>
      <c r="O66" s="976"/>
      <c r="P66" s="977"/>
      <c r="Q66" s="974"/>
      <c r="R66" s="1147"/>
      <c r="S66" s="974"/>
      <c r="T66" s="976"/>
      <c r="U66" s="693"/>
    </row>
    <row r="67" spans="1:25" x14ac:dyDescent="0.25">
      <c r="B67" s="1187" t="s">
        <v>959</v>
      </c>
      <c r="C67" s="1187">
        <v>1006</v>
      </c>
      <c r="D67" s="976" t="s">
        <v>92</v>
      </c>
      <c r="E67" s="976" t="s">
        <v>976</v>
      </c>
      <c r="F67" s="973"/>
      <c r="G67" s="974">
        <v>5015000</v>
      </c>
      <c r="H67" s="1115">
        <v>5015000</v>
      </c>
      <c r="I67" s="974"/>
      <c r="J67" s="975"/>
      <c r="K67" s="974"/>
      <c r="L67" s="974">
        <f t="shared" si="4"/>
        <v>5015000</v>
      </c>
      <c r="M67" s="991" t="e">
        <f>IF(G67="",F67-L67-#REF!,G67-L67-#REF!)</f>
        <v>#REF!</v>
      </c>
      <c r="N67" s="1013">
        <f t="shared" si="0"/>
        <v>0</v>
      </c>
      <c r="O67" s="976"/>
      <c r="P67" s="977"/>
      <c r="Q67" s="974" t="s">
        <v>977</v>
      </c>
      <c r="R67" s="1147"/>
      <c r="S67" s="974"/>
      <c r="T67" s="976"/>
      <c r="U67" s="693"/>
    </row>
    <row r="68" spans="1:25" ht="15.75" customHeight="1" x14ac:dyDescent="0.25">
      <c r="B68" s="1187" t="s">
        <v>959</v>
      </c>
      <c r="C68" s="1187">
        <v>1006</v>
      </c>
      <c r="D68" s="976" t="s">
        <v>978</v>
      </c>
      <c r="E68" s="976"/>
      <c r="F68" s="973">
        <v>1000000</v>
      </c>
      <c r="G68" s="974"/>
      <c r="H68" s="1115">
        <v>1000000</v>
      </c>
      <c r="I68" s="974"/>
      <c r="J68" s="975"/>
      <c r="K68" s="974"/>
      <c r="L68" s="974">
        <f t="shared" si="4"/>
        <v>1000000</v>
      </c>
      <c r="M68" s="991" t="e">
        <f>IF(G68="",F68-L68-#REF!,G68-L68-#REF!)</f>
        <v>#REF!</v>
      </c>
      <c r="N68" s="1013">
        <f t="shared" si="0"/>
        <v>0</v>
      </c>
      <c r="O68" s="976"/>
      <c r="P68" s="977"/>
      <c r="Q68" s="974"/>
      <c r="R68" s="1147"/>
      <c r="S68" s="974"/>
      <c r="T68" s="976"/>
      <c r="U68" s="693"/>
    </row>
    <row r="69" spans="1:25" ht="15.75" customHeight="1" x14ac:dyDescent="0.25">
      <c r="B69" s="1187" t="s">
        <v>959</v>
      </c>
      <c r="C69" s="1187">
        <v>1006</v>
      </c>
      <c r="D69" s="976" t="s">
        <v>394</v>
      </c>
      <c r="E69" s="976" t="s">
        <v>190</v>
      </c>
      <c r="F69" s="973">
        <v>61400000</v>
      </c>
      <c r="G69" s="974"/>
      <c r="H69" s="1115">
        <v>61400000</v>
      </c>
      <c r="I69" s="974"/>
      <c r="J69" s="975"/>
      <c r="K69" s="974"/>
      <c r="L69" s="974">
        <f t="shared" ref="L69:L78" si="5">SUM(H69:K69)</f>
        <v>61400000</v>
      </c>
      <c r="M69" s="991" t="e">
        <f>IF(G69="",F69-L69-#REF!,G69-L69-#REF!)</f>
        <v>#REF!</v>
      </c>
      <c r="N69" s="1013">
        <f t="shared" si="0"/>
        <v>0</v>
      </c>
      <c r="O69" s="976"/>
      <c r="P69" s="977"/>
      <c r="Q69" s="974"/>
      <c r="R69" s="1147"/>
      <c r="S69" s="974"/>
      <c r="T69" s="976"/>
      <c r="U69" s="693"/>
    </row>
    <row r="70" spans="1:25" ht="15.75" customHeight="1" x14ac:dyDescent="0.25">
      <c r="B70" s="1187" t="s">
        <v>959</v>
      </c>
      <c r="C70" s="1187">
        <v>1006</v>
      </c>
      <c r="D70" s="976" t="s">
        <v>979</v>
      </c>
      <c r="E70" s="976" t="s">
        <v>980</v>
      </c>
      <c r="F70" s="973">
        <v>250000</v>
      </c>
      <c r="G70" s="974"/>
      <c r="H70" s="1115">
        <v>250000</v>
      </c>
      <c r="I70" s="974"/>
      <c r="J70" s="975"/>
      <c r="K70" s="974"/>
      <c r="L70" s="974">
        <f t="shared" si="5"/>
        <v>250000</v>
      </c>
      <c r="M70" s="991" t="e">
        <f>IF(G70="",F70-L70-#REF!,G70-L70-#REF!)</f>
        <v>#REF!</v>
      </c>
      <c r="N70" s="1013">
        <f t="shared" si="0"/>
        <v>0</v>
      </c>
      <c r="O70" s="976"/>
      <c r="P70" s="977"/>
      <c r="Q70" s="974"/>
      <c r="R70" s="1147"/>
      <c r="S70" s="974"/>
      <c r="T70" s="976"/>
      <c r="U70" s="693"/>
    </row>
    <row r="71" spans="1:25" ht="15.75" customHeight="1" x14ac:dyDescent="0.25">
      <c r="B71" s="1187" t="s">
        <v>959</v>
      </c>
      <c r="C71" s="1187">
        <v>1006</v>
      </c>
      <c r="D71" s="976" t="s">
        <v>981</v>
      </c>
      <c r="E71" s="976" t="s">
        <v>100</v>
      </c>
      <c r="F71" s="974">
        <v>1350000</v>
      </c>
      <c r="G71" s="974"/>
      <c r="H71" s="1115">
        <v>1350000</v>
      </c>
      <c r="I71" s="974"/>
      <c r="J71" s="975"/>
      <c r="K71" s="974"/>
      <c r="L71" s="974">
        <f t="shared" si="5"/>
        <v>1350000</v>
      </c>
      <c r="M71" s="991"/>
      <c r="N71" s="1013">
        <f t="shared" si="0"/>
        <v>0</v>
      </c>
      <c r="O71" s="976"/>
      <c r="P71" s="977"/>
      <c r="Q71" s="974"/>
      <c r="R71" s="1147"/>
      <c r="S71" s="974"/>
      <c r="T71" s="976"/>
      <c r="U71" s="693"/>
    </row>
    <row r="72" spans="1:25" ht="15.75" customHeight="1" x14ac:dyDescent="0.25">
      <c r="B72" s="1187" t="s">
        <v>959</v>
      </c>
      <c r="C72" s="1187">
        <v>1006</v>
      </c>
      <c r="D72" s="976" t="s">
        <v>982</v>
      </c>
      <c r="E72" s="976" t="s">
        <v>983</v>
      </c>
      <c r="F72" s="1014">
        <v>13600000</v>
      </c>
      <c r="G72" s="974"/>
      <c r="H72" s="1014">
        <v>13600000</v>
      </c>
      <c r="I72" s="974"/>
      <c r="J72" s="975"/>
      <c r="K72" s="974"/>
      <c r="L72" s="974">
        <f t="shared" si="5"/>
        <v>13600000</v>
      </c>
      <c r="M72" s="991"/>
      <c r="N72" s="1013">
        <f t="shared" si="0"/>
        <v>0</v>
      </c>
      <c r="O72" s="976"/>
      <c r="P72" s="977"/>
      <c r="Q72" s="974"/>
      <c r="R72" s="1147"/>
      <c r="S72" s="974"/>
      <c r="T72" s="976"/>
      <c r="U72" s="693"/>
    </row>
    <row r="73" spans="1:25" ht="15.75" customHeight="1" x14ac:dyDescent="0.25">
      <c r="B73" s="1187" t="s">
        <v>959</v>
      </c>
      <c r="C73" s="1187">
        <v>1006</v>
      </c>
      <c r="D73" s="976" t="s">
        <v>1213</v>
      </c>
      <c r="E73" s="976" t="s">
        <v>1214</v>
      </c>
      <c r="F73" s="1014">
        <v>2000000</v>
      </c>
      <c r="G73" s="974"/>
      <c r="H73" s="1014">
        <v>2000000</v>
      </c>
      <c r="I73" s="974"/>
      <c r="J73" s="975"/>
      <c r="K73" s="974"/>
      <c r="L73" s="974">
        <f t="shared" si="5"/>
        <v>2000000</v>
      </c>
      <c r="M73" s="991"/>
      <c r="N73" s="1013">
        <f t="shared" si="0"/>
        <v>0</v>
      </c>
      <c r="O73" s="976"/>
      <c r="P73" s="977"/>
      <c r="Q73" s="974"/>
      <c r="R73" s="1147"/>
      <c r="S73" s="974"/>
      <c r="T73" s="976"/>
      <c r="U73" s="693"/>
    </row>
    <row r="74" spans="1:25" ht="15.75" customHeight="1" x14ac:dyDescent="0.25">
      <c r="B74" s="1187" t="s">
        <v>959</v>
      </c>
      <c r="C74" s="1187">
        <v>1006</v>
      </c>
      <c r="D74" s="976" t="s">
        <v>1215</v>
      </c>
      <c r="E74" s="976" t="s">
        <v>1216</v>
      </c>
      <c r="F74" s="1014">
        <v>5000000</v>
      </c>
      <c r="G74" s="974"/>
      <c r="H74" s="1014">
        <v>5000000</v>
      </c>
      <c r="I74" s="974"/>
      <c r="J74" s="975"/>
      <c r="K74" s="974"/>
      <c r="L74" s="974">
        <f t="shared" si="5"/>
        <v>5000000</v>
      </c>
      <c r="M74" s="991"/>
      <c r="N74" s="1013">
        <f t="shared" si="0"/>
        <v>0</v>
      </c>
      <c r="O74" s="976"/>
      <c r="P74" s="977"/>
      <c r="Q74" s="974"/>
      <c r="R74" s="1147"/>
      <c r="S74" s="974"/>
      <c r="T74" s="976"/>
      <c r="U74" s="693"/>
    </row>
    <row r="75" spans="1:25" ht="15.75" customHeight="1" x14ac:dyDescent="0.25">
      <c r="B75" s="1187" t="s">
        <v>959</v>
      </c>
      <c r="C75" s="1187">
        <v>1006</v>
      </c>
      <c r="D75" s="976" t="s">
        <v>1217</v>
      </c>
      <c r="E75" s="976" t="s">
        <v>1218</v>
      </c>
      <c r="F75" s="1014">
        <v>100000000</v>
      </c>
      <c r="G75" s="974"/>
      <c r="H75" s="1014">
        <v>100000000</v>
      </c>
      <c r="I75" s="974"/>
      <c r="J75" s="975"/>
      <c r="K75" s="974"/>
      <c r="L75" s="974">
        <f t="shared" si="5"/>
        <v>100000000</v>
      </c>
      <c r="M75" s="991"/>
      <c r="N75" s="1013">
        <f t="shared" si="0"/>
        <v>0</v>
      </c>
      <c r="O75" s="976"/>
      <c r="P75" s="977"/>
      <c r="Q75" s="974"/>
      <c r="R75" s="1147"/>
      <c r="S75" s="974"/>
      <c r="T75" s="976"/>
      <c r="U75" s="693"/>
    </row>
    <row r="76" spans="1:25" ht="15.75" customHeight="1" x14ac:dyDescent="0.25">
      <c r="B76" s="1187" t="s">
        <v>959</v>
      </c>
      <c r="C76" s="1187">
        <v>1006</v>
      </c>
      <c r="D76" s="976" t="s">
        <v>1219</v>
      </c>
      <c r="E76" s="976" t="s">
        <v>1218</v>
      </c>
      <c r="F76" s="1014">
        <v>5000000</v>
      </c>
      <c r="G76" s="974"/>
      <c r="H76" s="1014">
        <v>5000000</v>
      </c>
      <c r="I76" s="974"/>
      <c r="J76" s="975"/>
      <c r="K76" s="974"/>
      <c r="L76" s="974">
        <f t="shared" si="5"/>
        <v>5000000</v>
      </c>
      <c r="M76" s="991"/>
      <c r="N76" s="1013">
        <f t="shared" si="0"/>
        <v>0</v>
      </c>
      <c r="O76" s="976"/>
      <c r="P76" s="977"/>
      <c r="Q76" s="974"/>
      <c r="R76" s="1147"/>
      <c r="S76" s="974"/>
      <c r="T76" s="976"/>
      <c r="U76" s="693"/>
    </row>
    <row r="77" spans="1:25" ht="15.75" customHeight="1" x14ac:dyDescent="0.25">
      <c r="B77" s="1187" t="s">
        <v>959</v>
      </c>
      <c r="C77" s="1187">
        <v>1006</v>
      </c>
      <c r="D77" s="976" t="s">
        <v>1217</v>
      </c>
      <c r="E77" s="976" t="s">
        <v>1218</v>
      </c>
      <c r="F77" s="1014">
        <v>21112585</v>
      </c>
      <c r="G77" s="974"/>
      <c r="H77" s="1014">
        <v>21112585</v>
      </c>
      <c r="I77" s="974"/>
      <c r="J77" s="975"/>
      <c r="K77" s="974"/>
      <c r="L77" s="974">
        <f t="shared" si="5"/>
        <v>21112585</v>
      </c>
      <c r="M77" s="991"/>
      <c r="N77" s="1013">
        <f t="shared" si="0"/>
        <v>0</v>
      </c>
      <c r="O77" s="976"/>
      <c r="P77" s="977"/>
      <c r="Q77" s="974"/>
      <c r="R77" s="1147"/>
      <c r="S77" s="974"/>
      <c r="T77" s="976"/>
      <c r="U77" s="693"/>
    </row>
    <row r="78" spans="1:25" x14ac:dyDescent="0.25">
      <c r="B78" s="1187" t="s">
        <v>959</v>
      </c>
      <c r="C78" s="1187">
        <v>1006</v>
      </c>
      <c r="D78" s="976" t="s">
        <v>947</v>
      </c>
      <c r="E78" s="976"/>
      <c r="F78" s="973">
        <v>19614000</v>
      </c>
      <c r="G78" s="974"/>
      <c r="H78" s="974">
        <f>W78</f>
        <v>19614000</v>
      </c>
      <c r="I78" s="974"/>
      <c r="J78" s="975"/>
      <c r="K78" s="974"/>
      <c r="L78" s="974">
        <f t="shared" si="5"/>
        <v>19614000</v>
      </c>
      <c r="M78" s="991" t="e">
        <f>IF(G78="",F78-L78-#REF!,G78-L78-#REF!)</f>
        <v>#REF!</v>
      </c>
      <c r="N78" s="1013">
        <f t="shared" si="0"/>
        <v>0</v>
      </c>
      <c r="O78" s="976"/>
      <c r="P78" s="977"/>
      <c r="Q78" s="974"/>
      <c r="R78" s="1147"/>
      <c r="S78" s="974"/>
      <c r="T78" s="976"/>
      <c r="U78" s="693"/>
      <c r="V78" s="1000" t="s">
        <v>948</v>
      </c>
      <c r="W78" s="1000">
        <f>SUM(W36:W72)</f>
        <v>19614000</v>
      </c>
    </row>
    <row r="79" spans="1:25" s="723" customFormat="1" ht="15.75" x14ac:dyDescent="0.25">
      <c r="B79" s="720" t="s">
        <v>949</v>
      </c>
      <c r="C79" s="720"/>
      <c r="D79" s="699" t="s">
        <v>984</v>
      </c>
      <c r="E79" s="700"/>
      <c r="F79" s="724"/>
      <c r="G79" s="702"/>
      <c r="H79" s="701"/>
      <c r="I79" s="702"/>
      <c r="J79" s="726"/>
      <c r="K79" s="702"/>
      <c r="L79" s="707">
        <f>SUM(L31:L78)</f>
        <v>1193392442</v>
      </c>
      <c r="M79" s="707" t="e">
        <f>SUM(M31:M78)</f>
        <v>#REF!</v>
      </c>
      <c r="N79" s="869">
        <f>SUM(N31:N78)</f>
        <v>11145000</v>
      </c>
      <c r="O79" s="700"/>
      <c r="P79" s="704"/>
      <c r="Q79" s="742"/>
      <c r="R79" s="1148"/>
      <c r="S79" s="742"/>
      <c r="T79" s="705"/>
      <c r="U79" s="706"/>
      <c r="V79" s="722"/>
      <c r="W79" s="722"/>
      <c r="X79" s="722"/>
      <c r="Y79" s="722"/>
    </row>
    <row r="80" spans="1:25" x14ac:dyDescent="0.25">
      <c r="A80" s="686">
        <v>4</v>
      </c>
      <c r="B80" s="1187" t="s">
        <v>985</v>
      </c>
      <c r="C80" s="1187"/>
      <c r="D80" s="976" t="s">
        <v>752</v>
      </c>
      <c r="E80" s="976" t="s">
        <v>526</v>
      </c>
      <c r="F80" s="1108">
        <v>5089300</v>
      </c>
      <c r="G80" s="974"/>
      <c r="H80" s="974">
        <v>5000000</v>
      </c>
      <c r="I80" s="1115">
        <v>89300</v>
      </c>
      <c r="J80" s="975"/>
      <c r="K80" s="974"/>
      <c r="L80" s="974">
        <f>SUM(H80:K80)</f>
        <v>5089300</v>
      </c>
      <c r="M80" s="991" t="e">
        <f>IF(G80="",F80-L80-#REF!,G80-L80-#REF!)</f>
        <v>#REF!</v>
      </c>
      <c r="N80" s="1013">
        <f t="shared" si="0"/>
        <v>0</v>
      </c>
      <c r="O80" s="976" t="s">
        <v>717</v>
      </c>
      <c r="P80" s="977">
        <v>43965</v>
      </c>
      <c r="Q80" s="974"/>
      <c r="R80" s="1147"/>
      <c r="S80" s="974"/>
      <c r="T80" s="976"/>
      <c r="U80" s="690"/>
      <c r="V80" s="687" t="s">
        <v>952</v>
      </c>
    </row>
    <row r="81" spans="2:23" x14ac:dyDescent="0.25">
      <c r="B81" s="1187" t="s">
        <v>986</v>
      </c>
      <c r="C81" s="1187"/>
      <c r="D81" s="976" t="s">
        <v>50</v>
      </c>
      <c r="E81" s="976" t="s">
        <v>323</v>
      </c>
      <c r="F81" s="973">
        <v>19428000</v>
      </c>
      <c r="G81" s="974"/>
      <c r="H81" s="974">
        <v>9714000</v>
      </c>
      <c r="I81" s="1115">
        <v>9714000</v>
      </c>
      <c r="J81" s="975"/>
      <c r="K81" s="974"/>
      <c r="L81" s="974">
        <f t="shared" ref="L81:L102" si="6">SUM(H81:K81)</f>
        <v>19428000</v>
      </c>
      <c r="M81" s="991" t="e">
        <f>IF(G81="",F81-L81-#REF!,G81-L81-#REF!)</f>
        <v>#REF!</v>
      </c>
      <c r="N81" s="1013">
        <f t="shared" si="0"/>
        <v>0</v>
      </c>
      <c r="O81" s="976"/>
      <c r="P81" s="977"/>
      <c r="Q81" s="974"/>
      <c r="R81" s="1147"/>
      <c r="S81" s="974"/>
      <c r="T81" s="976"/>
      <c r="U81" s="693" t="s">
        <v>943</v>
      </c>
      <c r="V81" s="687" t="s">
        <v>960</v>
      </c>
      <c r="W81" s="687">
        <v>640000</v>
      </c>
    </row>
    <row r="82" spans="2:23" x14ac:dyDescent="0.25">
      <c r="B82" s="1187" t="s">
        <v>986</v>
      </c>
      <c r="C82" s="1187"/>
      <c r="D82" s="976" t="s">
        <v>50</v>
      </c>
      <c r="E82" s="976" t="s">
        <v>754</v>
      </c>
      <c r="F82" s="973">
        <v>3500000</v>
      </c>
      <c r="G82" s="974"/>
      <c r="H82" s="974">
        <v>1750000</v>
      </c>
      <c r="I82" s="1115">
        <v>1750000</v>
      </c>
      <c r="J82" s="975"/>
      <c r="K82" s="974"/>
      <c r="L82" s="974">
        <f t="shared" si="6"/>
        <v>3500000</v>
      </c>
      <c r="M82" s="991" t="e">
        <f>IF(G82="",F82-L82-#REF!,G82-L82-#REF!)</f>
        <v>#REF!</v>
      </c>
      <c r="N82" s="1013">
        <f t="shared" ref="N82:N149" si="7">IF($G82="",($F82-$L82),($G82-$L82))</f>
        <v>0</v>
      </c>
      <c r="O82" s="976"/>
      <c r="P82" s="977"/>
      <c r="Q82" s="974"/>
      <c r="R82" s="1147"/>
      <c r="S82" s="974"/>
      <c r="T82" s="976"/>
      <c r="U82" s="693" t="s">
        <v>943</v>
      </c>
      <c r="V82" s="687" t="s">
        <v>953</v>
      </c>
      <c r="W82" s="687">
        <v>1371000</v>
      </c>
    </row>
    <row r="83" spans="2:23" x14ac:dyDescent="0.25">
      <c r="B83" s="1187" t="s">
        <v>986</v>
      </c>
      <c r="C83" s="1187"/>
      <c r="D83" s="976" t="s">
        <v>755</v>
      </c>
      <c r="E83" s="976" t="s">
        <v>756</v>
      </c>
      <c r="F83" s="973">
        <v>2150000</v>
      </c>
      <c r="G83" s="974"/>
      <c r="H83" s="974">
        <v>2150000</v>
      </c>
      <c r="I83" s="1115"/>
      <c r="J83" s="975"/>
      <c r="K83" s="974"/>
      <c r="L83" s="974">
        <f t="shared" si="6"/>
        <v>2150000</v>
      </c>
      <c r="M83" s="991" t="e">
        <f>IF(G83="",F83-L83-#REF!,G83-L83-#REF!)</f>
        <v>#REF!</v>
      </c>
      <c r="N83" s="1013">
        <f t="shared" si="7"/>
        <v>0</v>
      </c>
      <c r="O83" s="976"/>
      <c r="P83" s="977"/>
      <c r="Q83" s="974"/>
      <c r="R83" s="1147"/>
      <c r="S83" s="974"/>
      <c r="T83" s="976"/>
      <c r="U83" s="693" t="s">
        <v>943</v>
      </c>
      <c r="V83" s="687" t="s">
        <v>954</v>
      </c>
      <c r="W83" s="687">
        <v>3996000</v>
      </c>
    </row>
    <row r="84" spans="2:23" x14ac:dyDescent="0.25">
      <c r="B84" s="1187" t="s">
        <v>986</v>
      </c>
      <c r="C84" s="1187"/>
      <c r="D84" s="976" t="s">
        <v>99</v>
      </c>
      <c r="E84" s="976" t="s">
        <v>100</v>
      </c>
      <c r="F84" s="973">
        <v>112180000</v>
      </c>
      <c r="G84" s="974">
        <v>124592000</v>
      </c>
      <c r="H84" s="974">
        <v>33645000</v>
      </c>
      <c r="I84" s="1115">
        <v>44872000</v>
      </c>
      <c r="J84" s="975">
        <v>39846000</v>
      </c>
      <c r="K84" s="974"/>
      <c r="L84" s="974">
        <f t="shared" si="6"/>
        <v>118363000</v>
      </c>
      <c r="M84" s="991" t="e">
        <f>IF(G84="",F84-L84-#REF!,G84-L84-#REF!)</f>
        <v>#REF!</v>
      </c>
      <c r="N84" s="1013">
        <f t="shared" si="7"/>
        <v>6229000</v>
      </c>
      <c r="O84" s="976" t="s">
        <v>725</v>
      </c>
      <c r="P84" s="977"/>
      <c r="Q84" s="974"/>
      <c r="R84" s="1147"/>
      <c r="S84" s="974"/>
      <c r="T84" s="976"/>
      <c r="U84" s="693" t="s">
        <v>943</v>
      </c>
      <c r="V84" s="687" t="s">
        <v>955</v>
      </c>
      <c r="W84" s="687">
        <v>1700000</v>
      </c>
    </row>
    <row r="85" spans="2:23" x14ac:dyDescent="0.25">
      <c r="B85" s="1187" t="s">
        <v>986</v>
      </c>
      <c r="C85" s="1187"/>
      <c r="D85" s="976" t="s">
        <v>107</v>
      </c>
      <c r="E85" s="976" t="s">
        <v>156</v>
      </c>
      <c r="F85" s="973">
        <v>21640000</v>
      </c>
      <c r="G85" s="974"/>
      <c r="H85" s="974">
        <v>6000000</v>
      </c>
      <c r="I85" s="1115">
        <v>12000000</v>
      </c>
      <c r="J85" s="975"/>
      <c r="K85" s="974"/>
      <c r="L85" s="974">
        <f t="shared" si="6"/>
        <v>18000000</v>
      </c>
      <c r="M85" s="991" t="e">
        <f>IF(G85="",F85-L85-#REF!,G85-L85-#REF!)</f>
        <v>#REF!</v>
      </c>
      <c r="N85" s="1013">
        <f t="shared" si="7"/>
        <v>3640000</v>
      </c>
      <c r="O85" s="976"/>
      <c r="P85" s="977"/>
      <c r="Q85" s="974"/>
      <c r="R85" s="1147"/>
      <c r="S85" s="974"/>
      <c r="T85" s="976"/>
      <c r="U85" s="693"/>
      <c r="V85" s="687" t="s">
        <v>961</v>
      </c>
      <c r="W85" s="687">
        <v>1280000</v>
      </c>
    </row>
    <row r="86" spans="2:23" x14ac:dyDescent="0.25">
      <c r="B86" s="1187" t="s">
        <v>986</v>
      </c>
      <c r="C86" s="1187"/>
      <c r="D86" s="976" t="s">
        <v>515</v>
      </c>
      <c r="E86" s="976" t="s">
        <v>229</v>
      </c>
      <c r="F86" s="973">
        <v>51584330</v>
      </c>
      <c r="G86" s="974">
        <v>39461400</v>
      </c>
      <c r="H86" s="974">
        <v>25750000</v>
      </c>
      <c r="I86" s="1115">
        <v>13711400</v>
      </c>
      <c r="J86" s="975"/>
      <c r="K86" s="974"/>
      <c r="L86" s="974">
        <f t="shared" si="6"/>
        <v>39461400</v>
      </c>
      <c r="M86" s="991" t="e">
        <f>IF(G86="",F86-L86-#REF!,G86-L86-#REF!)</f>
        <v>#REF!</v>
      </c>
      <c r="N86" s="1013">
        <f t="shared" si="7"/>
        <v>0</v>
      </c>
      <c r="O86" s="976" t="s">
        <v>729</v>
      </c>
      <c r="P86" s="977">
        <v>43964</v>
      </c>
      <c r="Q86" s="974">
        <v>39461400</v>
      </c>
      <c r="R86" s="1147"/>
      <c r="S86" s="974"/>
      <c r="T86" s="976"/>
      <c r="U86" s="693" t="s">
        <v>943</v>
      </c>
      <c r="V86" s="687" t="s">
        <v>944</v>
      </c>
      <c r="W86" s="687">
        <v>320000</v>
      </c>
    </row>
    <row r="87" spans="2:23" x14ac:dyDescent="0.25">
      <c r="B87" s="1187" t="s">
        <v>986</v>
      </c>
      <c r="C87" s="1187"/>
      <c r="D87" s="976" t="s">
        <v>132</v>
      </c>
      <c r="E87" s="976" t="s">
        <v>731</v>
      </c>
      <c r="F87" s="973">
        <v>15273880</v>
      </c>
      <c r="G87" s="974"/>
      <c r="H87" s="974">
        <v>7636940</v>
      </c>
      <c r="I87" s="1115">
        <v>7636940</v>
      </c>
      <c r="J87" s="975"/>
      <c r="K87" s="974"/>
      <c r="L87" s="974">
        <f t="shared" si="6"/>
        <v>15273880</v>
      </c>
      <c r="M87" s="991" t="e">
        <f>IF(G87="",F87-L87-#REF!,G87-L87-#REF!)</f>
        <v>#REF!</v>
      </c>
      <c r="N87" s="1013">
        <f t="shared" si="7"/>
        <v>0</v>
      </c>
      <c r="O87" s="976"/>
      <c r="P87" s="977"/>
      <c r="Q87" s="974"/>
      <c r="R87" s="1147"/>
      <c r="S87" s="974"/>
      <c r="T87" s="976"/>
      <c r="U87" s="693" t="s">
        <v>943</v>
      </c>
      <c r="V87" s="687" t="s">
        <v>944</v>
      </c>
      <c r="W87" s="687">
        <v>490000</v>
      </c>
    </row>
    <row r="88" spans="2:23" x14ac:dyDescent="0.25">
      <c r="B88" s="1187" t="s">
        <v>986</v>
      </c>
      <c r="C88" s="1187"/>
      <c r="D88" s="976" t="s">
        <v>292</v>
      </c>
      <c r="E88" s="976" t="s">
        <v>104</v>
      </c>
      <c r="F88" s="973">
        <v>5250000</v>
      </c>
      <c r="G88" s="974"/>
      <c r="H88" s="974">
        <v>5250000</v>
      </c>
      <c r="I88" s="974"/>
      <c r="J88" s="975"/>
      <c r="K88" s="974"/>
      <c r="L88" s="974">
        <f t="shared" si="6"/>
        <v>5250000</v>
      </c>
      <c r="M88" s="991" t="e">
        <f>IF(G88="",F88-L88-#REF!,G88-L88-#REF!)</f>
        <v>#REF!</v>
      </c>
      <c r="N88" s="1013">
        <f t="shared" si="7"/>
        <v>0</v>
      </c>
      <c r="O88" s="976"/>
      <c r="P88" s="977"/>
      <c r="Q88" s="974"/>
      <c r="R88" s="1147"/>
      <c r="S88" s="974"/>
      <c r="T88" s="976"/>
      <c r="U88" s="693"/>
      <c r="V88" s="687" t="s">
        <v>963</v>
      </c>
      <c r="W88" s="687">
        <v>320000</v>
      </c>
    </row>
    <row r="89" spans="2:23" x14ac:dyDescent="0.25">
      <c r="B89" s="1187" t="s">
        <v>986</v>
      </c>
      <c r="C89" s="1187"/>
      <c r="D89" s="976" t="s">
        <v>514</v>
      </c>
      <c r="E89" s="976" t="s">
        <v>114</v>
      </c>
      <c r="F89" s="973">
        <v>1650000</v>
      </c>
      <c r="G89" s="974"/>
      <c r="H89" s="974">
        <v>1650000</v>
      </c>
      <c r="I89" s="974"/>
      <c r="J89" s="975"/>
      <c r="K89" s="974"/>
      <c r="L89" s="974">
        <f t="shared" si="6"/>
        <v>1650000</v>
      </c>
      <c r="M89" s="991" t="e">
        <f>IF(G89="",F89-L89-#REF!,G89-L89-#REF!)</f>
        <v>#REF!</v>
      </c>
      <c r="N89" s="1013">
        <f t="shared" si="7"/>
        <v>0</v>
      </c>
      <c r="O89" s="976"/>
      <c r="P89" s="977"/>
      <c r="Q89" s="974"/>
      <c r="R89" s="1147"/>
      <c r="S89" s="974"/>
      <c r="T89" s="976"/>
      <c r="U89" s="693" t="s">
        <v>957</v>
      </c>
      <c r="V89" s="687" t="s">
        <v>964</v>
      </c>
      <c r="W89" s="687">
        <v>320000</v>
      </c>
    </row>
    <row r="90" spans="2:23" x14ac:dyDescent="0.25">
      <c r="B90" s="1121" t="s">
        <v>986</v>
      </c>
      <c r="C90" s="1121"/>
      <c r="D90" s="1122" t="s">
        <v>346</v>
      </c>
      <c r="E90" s="1122" t="s">
        <v>757</v>
      </c>
      <c r="F90" s="1123">
        <v>25363286</v>
      </c>
      <c r="G90" s="1124"/>
      <c r="H90" s="1124">
        <v>12681643</v>
      </c>
      <c r="I90" s="1124">
        <v>12681643</v>
      </c>
      <c r="J90" s="1125"/>
      <c r="K90" s="1124"/>
      <c r="L90" s="1124">
        <f t="shared" si="6"/>
        <v>25363286</v>
      </c>
      <c r="M90" s="1126" t="e">
        <f>IF(G90="",F90-L90-#REF!,G90-L90-#REF!)</f>
        <v>#REF!</v>
      </c>
      <c r="N90" s="1127">
        <f t="shared" si="7"/>
        <v>0</v>
      </c>
      <c r="O90" s="976"/>
      <c r="P90" s="977"/>
      <c r="Q90" s="974"/>
      <c r="R90" s="1147"/>
      <c r="S90" s="974"/>
      <c r="T90" s="976"/>
      <c r="U90" s="693"/>
    </row>
    <row r="91" spans="2:23" x14ac:dyDescent="0.25">
      <c r="B91" s="1187" t="s">
        <v>986</v>
      </c>
      <c r="C91" s="1187"/>
      <c r="D91" s="976" t="s">
        <v>740</v>
      </c>
      <c r="E91" s="976" t="s">
        <v>397</v>
      </c>
      <c r="F91" s="973">
        <v>3423750</v>
      </c>
      <c r="G91" s="974"/>
      <c r="H91" s="1115">
        <v>3423750</v>
      </c>
      <c r="I91" s="974"/>
      <c r="J91" s="975"/>
      <c r="K91" s="974"/>
      <c r="L91" s="974">
        <f t="shared" si="6"/>
        <v>3423750</v>
      </c>
      <c r="M91" s="991" t="e">
        <f>IF(G91="",F91-L91-#REF!,G91-L91-#REF!)</f>
        <v>#REF!</v>
      </c>
      <c r="N91" s="1013">
        <f t="shared" si="7"/>
        <v>0</v>
      </c>
      <c r="O91" s="976"/>
      <c r="P91" s="977"/>
      <c r="Q91" s="974"/>
      <c r="R91" s="1147"/>
      <c r="S91" s="974"/>
      <c r="T91" s="976"/>
      <c r="U91" s="693"/>
    </row>
    <row r="92" spans="2:23" x14ac:dyDescent="0.25">
      <c r="B92" s="1187" t="s">
        <v>986</v>
      </c>
      <c r="C92" s="1187"/>
      <c r="D92" s="976" t="s">
        <v>363</v>
      </c>
      <c r="E92" s="976" t="s">
        <v>339</v>
      </c>
      <c r="F92" s="973">
        <v>2350000</v>
      </c>
      <c r="G92" s="974"/>
      <c r="H92" s="1115">
        <v>2350000</v>
      </c>
      <c r="I92" s="974"/>
      <c r="J92" s="975"/>
      <c r="K92" s="974"/>
      <c r="L92" s="974">
        <f t="shared" si="6"/>
        <v>2350000</v>
      </c>
      <c r="M92" s="991" t="e">
        <f>IF(G92="",F92-L92-#REF!,G92-L92-#REF!)</f>
        <v>#REF!</v>
      </c>
      <c r="N92" s="1013">
        <f t="shared" si="7"/>
        <v>0</v>
      </c>
      <c r="O92" s="976"/>
      <c r="P92" s="977"/>
      <c r="Q92" s="974"/>
      <c r="R92" s="1147"/>
      <c r="S92" s="974"/>
      <c r="T92" s="976"/>
      <c r="U92" s="693" t="s">
        <v>943</v>
      </c>
    </row>
    <row r="93" spans="2:23" x14ac:dyDescent="0.25">
      <c r="B93" s="1187" t="s">
        <v>986</v>
      </c>
      <c r="C93" s="1187"/>
      <c r="D93" s="976" t="s">
        <v>164</v>
      </c>
      <c r="E93" s="976" t="s">
        <v>173</v>
      </c>
      <c r="F93" s="973">
        <v>22641000</v>
      </c>
      <c r="G93" s="974"/>
      <c r="H93" s="1115">
        <v>22641000</v>
      </c>
      <c r="I93" s="974"/>
      <c r="J93" s="975"/>
      <c r="K93" s="974"/>
      <c r="L93" s="974">
        <f t="shared" si="6"/>
        <v>22641000</v>
      </c>
      <c r="M93" s="991" t="e">
        <f>IF(G93="",F93-L93-#REF!,G93-L93-#REF!)</f>
        <v>#REF!</v>
      </c>
      <c r="N93" s="1013">
        <f t="shared" si="7"/>
        <v>0</v>
      </c>
      <c r="O93" s="976"/>
      <c r="P93" s="977"/>
      <c r="Q93" s="974"/>
      <c r="R93" s="1147"/>
      <c r="S93" s="974"/>
      <c r="T93" s="976"/>
      <c r="U93" s="693"/>
    </row>
    <row r="94" spans="2:23" x14ac:dyDescent="0.25">
      <c r="B94" s="1187" t="s">
        <v>986</v>
      </c>
      <c r="C94" s="1187"/>
      <c r="D94" s="976" t="s">
        <v>118</v>
      </c>
      <c r="E94" s="976" t="s">
        <v>301</v>
      </c>
      <c r="F94" s="973">
        <v>28517050</v>
      </c>
      <c r="G94" s="974"/>
      <c r="H94" s="1115">
        <v>28517050</v>
      </c>
      <c r="I94" s="974"/>
      <c r="J94" s="975"/>
      <c r="K94" s="974"/>
      <c r="L94" s="974">
        <f t="shared" si="6"/>
        <v>28517050</v>
      </c>
      <c r="M94" s="991" t="e">
        <f>IF(G94="",F94-L94-#REF!,G94-L94-#REF!)</f>
        <v>#REF!</v>
      </c>
      <c r="N94" s="1013">
        <f t="shared" si="7"/>
        <v>0</v>
      </c>
      <c r="O94" s="976"/>
      <c r="P94" s="977"/>
      <c r="Q94" s="974"/>
      <c r="R94" s="1147"/>
      <c r="S94" s="974"/>
      <c r="T94" s="976"/>
      <c r="U94" s="693"/>
    </row>
    <row r="95" spans="2:23" x14ac:dyDescent="0.25">
      <c r="B95" s="1187" t="s">
        <v>986</v>
      </c>
      <c r="C95" s="1187"/>
      <c r="D95" s="976" t="s">
        <v>532</v>
      </c>
      <c r="E95" s="976" t="s">
        <v>204</v>
      </c>
      <c r="F95" s="973">
        <v>26858900</v>
      </c>
      <c r="G95" s="974"/>
      <c r="H95" s="1115">
        <v>26858900</v>
      </c>
      <c r="I95" s="974"/>
      <c r="J95" s="975"/>
      <c r="K95" s="974"/>
      <c r="L95" s="974">
        <f t="shared" si="6"/>
        <v>26858900</v>
      </c>
      <c r="M95" s="991" t="e">
        <f>IF(G95="",F95-L95-#REF!,G95-L95-#REF!)</f>
        <v>#REF!</v>
      </c>
      <c r="N95" s="1013">
        <f t="shared" si="7"/>
        <v>0</v>
      </c>
      <c r="O95" s="976"/>
      <c r="P95" s="977"/>
      <c r="Q95" s="974"/>
      <c r="R95" s="1147"/>
      <c r="S95" s="974"/>
      <c r="T95" s="976"/>
      <c r="U95" s="693" t="s">
        <v>943</v>
      </c>
    </row>
    <row r="96" spans="2:23" x14ac:dyDescent="0.25">
      <c r="B96" s="1187" t="s">
        <v>986</v>
      </c>
      <c r="C96" s="1187"/>
      <c r="D96" s="976" t="s">
        <v>31</v>
      </c>
      <c r="E96" s="976" t="s">
        <v>168</v>
      </c>
      <c r="F96" s="973">
        <v>24932000</v>
      </c>
      <c r="G96" s="974"/>
      <c r="H96" s="1115">
        <v>24932000</v>
      </c>
      <c r="I96" s="974"/>
      <c r="J96" s="975"/>
      <c r="K96" s="974"/>
      <c r="L96" s="974">
        <f t="shared" si="6"/>
        <v>24932000</v>
      </c>
      <c r="M96" s="991" t="e">
        <f>IF(G96="",F96-L96-#REF!,G96-L96-#REF!)</f>
        <v>#REF!</v>
      </c>
      <c r="N96" s="1013">
        <f t="shared" si="7"/>
        <v>0</v>
      </c>
      <c r="O96" s="976"/>
      <c r="P96" s="977"/>
      <c r="Q96" s="974"/>
      <c r="R96" s="1147"/>
      <c r="S96" s="974"/>
      <c r="T96" s="976"/>
      <c r="U96" s="693"/>
    </row>
    <row r="97" spans="1:25" x14ac:dyDescent="0.25">
      <c r="B97" s="1187" t="s">
        <v>986</v>
      </c>
      <c r="C97" s="1187"/>
      <c r="D97" s="976" t="s">
        <v>987</v>
      </c>
      <c r="E97" s="976" t="s">
        <v>173</v>
      </c>
      <c r="F97" s="973">
        <v>11236000</v>
      </c>
      <c r="G97" s="974"/>
      <c r="H97" s="1115">
        <v>11236000</v>
      </c>
      <c r="I97" s="974"/>
      <c r="J97" s="975"/>
      <c r="K97" s="974"/>
      <c r="L97" s="974">
        <f t="shared" si="6"/>
        <v>11236000</v>
      </c>
      <c r="M97" s="991" t="e">
        <f>IF(G97="",F97-L97-#REF!,G97-L97-#REF!)</f>
        <v>#REF!</v>
      </c>
      <c r="N97" s="1013">
        <f t="shared" si="7"/>
        <v>0</v>
      </c>
      <c r="O97" s="976"/>
      <c r="P97" s="977"/>
      <c r="Q97" s="974"/>
      <c r="R97" s="1147"/>
      <c r="S97" s="974"/>
      <c r="T97" s="976"/>
      <c r="U97" s="693"/>
    </row>
    <row r="98" spans="1:25" x14ac:dyDescent="0.25">
      <c r="B98" s="1187" t="s">
        <v>986</v>
      </c>
      <c r="C98" s="1187"/>
      <c r="D98" s="976" t="s">
        <v>988</v>
      </c>
      <c r="E98" s="976" t="s">
        <v>989</v>
      </c>
      <c r="F98" s="973">
        <v>526000</v>
      </c>
      <c r="G98" s="974"/>
      <c r="H98" s="1115">
        <v>526000</v>
      </c>
      <c r="I98" s="974"/>
      <c r="J98" s="975"/>
      <c r="K98" s="974"/>
      <c r="L98" s="974">
        <f t="shared" si="6"/>
        <v>526000</v>
      </c>
      <c r="M98" s="991" t="e">
        <f>IF(G98="",F98-L98-#REF!,G98-L98-#REF!)</f>
        <v>#REF!</v>
      </c>
      <c r="N98" s="1013">
        <f t="shared" si="7"/>
        <v>0</v>
      </c>
      <c r="O98" s="976"/>
      <c r="P98" s="977"/>
      <c r="Q98" s="974"/>
      <c r="R98" s="1147"/>
      <c r="S98" s="974"/>
      <c r="T98" s="976"/>
      <c r="U98" s="693"/>
    </row>
    <row r="99" spans="1:25" x14ac:dyDescent="0.25">
      <c r="B99" s="1187" t="s">
        <v>986</v>
      </c>
      <c r="C99" s="1187"/>
      <c r="D99" s="976" t="s">
        <v>394</v>
      </c>
      <c r="E99" s="976" t="s">
        <v>190</v>
      </c>
      <c r="F99" s="973">
        <v>10640000</v>
      </c>
      <c r="G99" s="974"/>
      <c r="H99" s="1115">
        <v>10640000</v>
      </c>
      <c r="I99" s="974"/>
      <c r="J99" s="975"/>
      <c r="K99" s="974"/>
      <c r="L99" s="974">
        <f t="shared" si="6"/>
        <v>10640000</v>
      </c>
      <c r="M99" s="991" t="e">
        <f>IF(G99="",F99-L99-#REF!,G99-L99-#REF!)</f>
        <v>#REF!</v>
      </c>
      <c r="N99" s="1013">
        <f t="shared" si="7"/>
        <v>0</v>
      </c>
      <c r="O99" s="976"/>
      <c r="P99" s="977"/>
      <c r="Q99" s="974"/>
      <c r="R99" s="1147"/>
      <c r="S99" s="974"/>
      <c r="T99" s="976"/>
      <c r="U99" s="693"/>
    </row>
    <row r="100" spans="1:25" x14ac:dyDescent="0.25">
      <c r="B100" s="1187" t="s">
        <v>986</v>
      </c>
      <c r="C100" s="1187"/>
      <c r="D100" s="976" t="s">
        <v>990</v>
      </c>
      <c r="E100" s="976"/>
      <c r="F100" s="973">
        <v>1510063</v>
      </c>
      <c r="G100" s="974"/>
      <c r="H100" s="1115">
        <v>1510063</v>
      </c>
      <c r="I100" s="974"/>
      <c r="J100" s="975"/>
      <c r="K100" s="974"/>
      <c r="L100" s="974">
        <f t="shared" si="6"/>
        <v>1510063</v>
      </c>
      <c r="M100" s="991" t="e">
        <f>IF(G100="",F100-L100-#REF!,G100-L100-#REF!)</f>
        <v>#REF!</v>
      </c>
      <c r="N100" s="1013">
        <f t="shared" si="7"/>
        <v>0</v>
      </c>
      <c r="O100" s="976"/>
      <c r="P100" s="977"/>
      <c r="Q100" s="974"/>
      <c r="R100" s="1147"/>
      <c r="S100" s="974"/>
      <c r="T100" s="976"/>
      <c r="U100" s="693"/>
    </row>
    <row r="101" spans="1:25" x14ac:dyDescent="0.25">
      <c r="B101" s="1187" t="s">
        <v>986</v>
      </c>
      <c r="C101" s="1187"/>
      <c r="D101" s="976" t="s">
        <v>945</v>
      </c>
      <c r="E101" s="976" t="s">
        <v>559</v>
      </c>
      <c r="F101" s="974">
        <v>8245000</v>
      </c>
      <c r="G101" s="974"/>
      <c r="H101" s="1115">
        <v>8245000</v>
      </c>
      <c r="I101" s="974"/>
      <c r="J101" s="975"/>
      <c r="K101" s="974"/>
      <c r="L101" s="974">
        <f t="shared" si="6"/>
        <v>8245000</v>
      </c>
      <c r="M101" s="991" t="e">
        <f>IF(G101="",F101-L101-#REF!,G101-L101-#REF!)</f>
        <v>#REF!</v>
      </c>
      <c r="N101" s="1013">
        <f t="shared" si="7"/>
        <v>0</v>
      </c>
      <c r="O101" s="976"/>
      <c r="P101" s="977"/>
      <c r="Q101" s="974"/>
      <c r="R101" s="1147"/>
      <c r="S101" s="974"/>
      <c r="T101" s="976"/>
      <c r="U101" s="693"/>
    </row>
    <row r="102" spans="1:25" x14ac:dyDescent="0.25">
      <c r="B102" s="1187" t="s">
        <v>986</v>
      </c>
      <c r="C102" s="1187"/>
      <c r="D102" s="976" t="s">
        <v>947</v>
      </c>
      <c r="E102" s="976"/>
      <c r="F102" s="973">
        <v>10437000</v>
      </c>
      <c r="G102" s="974"/>
      <c r="H102" s="974">
        <f>W102</f>
        <v>10437000</v>
      </c>
      <c r="I102" s="974"/>
      <c r="J102" s="975"/>
      <c r="K102" s="974"/>
      <c r="L102" s="974">
        <f t="shared" si="6"/>
        <v>10437000</v>
      </c>
      <c r="M102" s="991" t="e">
        <f>IF(G102="",F102-L102-#REF!,G102-L102-#REF!)</f>
        <v>#REF!</v>
      </c>
      <c r="N102" s="1013">
        <f t="shared" si="7"/>
        <v>0</v>
      </c>
      <c r="O102" s="976"/>
      <c r="P102" s="977"/>
      <c r="Q102" s="974"/>
      <c r="R102" s="1147"/>
      <c r="S102" s="974"/>
      <c r="T102" s="976"/>
      <c r="U102" s="693"/>
      <c r="V102" s="687" t="s">
        <v>948</v>
      </c>
      <c r="W102" s="687">
        <f>SUM(W81:W95)</f>
        <v>10437000</v>
      </c>
    </row>
    <row r="103" spans="1:25" s="723" customFormat="1" ht="15.75" x14ac:dyDescent="0.25">
      <c r="B103" s="720" t="s">
        <v>949</v>
      </c>
      <c r="C103" s="720"/>
      <c r="D103" s="699" t="s">
        <v>991</v>
      </c>
      <c r="E103" s="700"/>
      <c r="F103" s="724"/>
      <c r="G103" s="702"/>
      <c r="H103" s="701"/>
      <c r="I103" s="702"/>
      <c r="J103" s="726"/>
      <c r="K103" s="702"/>
      <c r="L103" s="703">
        <f>SUM(L80:L102)</f>
        <v>404845629</v>
      </c>
      <c r="M103" s="703" t="e">
        <f>SUM(M80:M102)</f>
        <v>#REF!</v>
      </c>
      <c r="N103" s="869">
        <f>SUM(N80:N102)</f>
        <v>9869000</v>
      </c>
      <c r="O103" s="700"/>
      <c r="P103" s="704"/>
      <c r="Q103" s="742"/>
      <c r="R103" s="1148"/>
      <c r="S103" s="742"/>
      <c r="T103" s="705"/>
      <c r="U103" s="706"/>
      <c r="V103" s="722"/>
      <c r="W103" s="722"/>
      <c r="X103" s="722"/>
      <c r="Y103" s="722"/>
    </row>
    <row r="104" spans="1:25" s="709" customFormat="1" x14ac:dyDescent="0.25">
      <c r="A104" s="709">
        <v>5</v>
      </c>
      <c r="B104" s="1117" t="s">
        <v>758</v>
      </c>
      <c r="C104" s="1117" t="s">
        <v>1220</v>
      </c>
      <c r="D104" s="972" t="s">
        <v>759</v>
      </c>
      <c r="E104" s="972" t="s">
        <v>695</v>
      </c>
      <c r="F104" s="1108">
        <v>164113574</v>
      </c>
      <c r="G104" s="1115">
        <v>164113574</v>
      </c>
      <c r="H104" s="1115">
        <v>44758247</v>
      </c>
      <c r="I104" s="1115">
        <v>119335327</v>
      </c>
      <c r="J104" s="1118">
        <v>20000</v>
      </c>
      <c r="K104" s="1115"/>
      <c r="L104" s="1115">
        <f t="shared" ref="L104:L110" si="8">SUM(H104:K104)</f>
        <v>164113574</v>
      </c>
      <c r="M104" s="991" t="e">
        <f>IF(G104="",F104-L104-#REF!,G104-L104-#REF!)</f>
        <v>#REF!</v>
      </c>
      <c r="N104" s="1119">
        <f t="shared" si="7"/>
        <v>0</v>
      </c>
      <c r="O104" s="972" t="s">
        <v>760</v>
      </c>
      <c r="P104" s="1120">
        <v>43913</v>
      </c>
      <c r="Q104" s="1115"/>
      <c r="R104" s="1149"/>
      <c r="S104" s="1115"/>
      <c r="T104" s="972"/>
      <c r="U104" s="693" t="s">
        <v>943</v>
      </c>
      <c r="V104" s="708"/>
      <c r="W104" s="708"/>
      <c r="X104" s="708"/>
      <c r="Y104" s="708"/>
    </row>
    <row r="105" spans="1:25" x14ac:dyDescent="0.25">
      <c r="B105" s="1187" t="s">
        <v>758</v>
      </c>
      <c r="C105" s="1117" t="s">
        <v>1220</v>
      </c>
      <c r="D105" s="976" t="s">
        <v>761</v>
      </c>
      <c r="E105" s="976" t="s">
        <v>695</v>
      </c>
      <c r="F105" s="973">
        <v>334041823</v>
      </c>
      <c r="G105" s="973">
        <v>334041823</v>
      </c>
      <c r="H105" s="974">
        <v>91102316</v>
      </c>
      <c r="I105" s="1115">
        <v>242939507</v>
      </c>
      <c r="J105" s="975"/>
      <c r="K105" s="974"/>
      <c r="L105" s="974">
        <f t="shared" si="8"/>
        <v>334041823</v>
      </c>
      <c r="M105" s="991" t="e">
        <f>IF(#REF!="",G105-L105-#REF!,#REF!-L105-#REF!)</f>
        <v>#REF!</v>
      </c>
      <c r="N105" s="1119">
        <f t="shared" si="7"/>
        <v>0</v>
      </c>
      <c r="O105" s="972" t="s">
        <v>760</v>
      </c>
      <c r="P105" s="1120">
        <v>43913</v>
      </c>
      <c r="Q105" s="974">
        <v>334041824</v>
      </c>
      <c r="R105" s="1147"/>
      <c r="S105" s="974"/>
      <c r="T105" s="976"/>
      <c r="U105" s="693" t="s">
        <v>943</v>
      </c>
      <c r="V105" s="687">
        <v>164113574</v>
      </c>
    </row>
    <row r="106" spans="1:25" x14ac:dyDescent="0.25">
      <c r="B106" s="1187" t="s">
        <v>758</v>
      </c>
      <c r="C106" s="1117" t="s">
        <v>1220</v>
      </c>
      <c r="D106" s="976" t="s">
        <v>992</v>
      </c>
      <c r="E106" s="976" t="s">
        <v>993</v>
      </c>
      <c r="F106" s="973">
        <v>7550000</v>
      </c>
      <c r="G106" s="974"/>
      <c r="H106" s="974">
        <v>7550000</v>
      </c>
      <c r="I106" s="1115"/>
      <c r="J106" s="975"/>
      <c r="K106" s="974"/>
      <c r="L106" s="974">
        <f t="shared" si="8"/>
        <v>7550000</v>
      </c>
      <c r="M106" s="991" t="e">
        <f>IF(G106="",F106-L106-#REF!,G106-L106-#REF!)</f>
        <v>#REF!</v>
      </c>
      <c r="N106" s="1119">
        <f t="shared" si="7"/>
        <v>0</v>
      </c>
      <c r="O106" s="972"/>
      <c r="P106" s="1120"/>
      <c r="Q106" s="974"/>
      <c r="R106" s="1147"/>
      <c r="S106" s="974"/>
      <c r="T106" s="976"/>
      <c r="U106" s="693"/>
    </row>
    <row r="107" spans="1:25" x14ac:dyDescent="0.25">
      <c r="B107" s="1187" t="s">
        <v>758</v>
      </c>
      <c r="C107" s="1117" t="s">
        <v>1220</v>
      </c>
      <c r="D107" s="976" t="s">
        <v>994</v>
      </c>
      <c r="E107" s="976" t="s">
        <v>995</v>
      </c>
      <c r="F107" s="973">
        <f>400000+500000</f>
        <v>900000</v>
      </c>
      <c r="G107" s="974"/>
      <c r="H107" s="974">
        <f>400000+500000</f>
        <v>900000</v>
      </c>
      <c r="I107" s="1115"/>
      <c r="J107" s="975"/>
      <c r="K107" s="974"/>
      <c r="L107" s="974">
        <f t="shared" si="8"/>
        <v>900000</v>
      </c>
      <c r="M107" s="991" t="e">
        <f>IF(G107="",F107-L107-#REF!,G107-L107-#REF!)</f>
        <v>#REF!</v>
      </c>
      <c r="N107" s="1119">
        <f t="shared" si="7"/>
        <v>0</v>
      </c>
      <c r="O107" s="972"/>
      <c r="P107" s="1120"/>
      <c r="Q107" s="974"/>
      <c r="R107" s="1147"/>
      <c r="S107" s="974"/>
      <c r="T107" s="976"/>
      <c r="U107" s="693"/>
    </row>
    <row r="108" spans="1:25" x14ac:dyDescent="0.25">
      <c r="B108" s="1187" t="s">
        <v>758</v>
      </c>
      <c r="C108" s="1117" t="s">
        <v>1220</v>
      </c>
      <c r="D108" s="976" t="s">
        <v>996</v>
      </c>
      <c r="E108" s="976" t="s">
        <v>980</v>
      </c>
      <c r="F108" s="973">
        <v>2000000</v>
      </c>
      <c r="G108" s="974"/>
      <c r="H108" s="974">
        <v>2000000</v>
      </c>
      <c r="I108" s="1115"/>
      <c r="J108" s="975"/>
      <c r="K108" s="974"/>
      <c r="L108" s="974">
        <f t="shared" si="8"/>
        <v>2000000</v>
      </c>
      <c r="M108" s="991" t="e">
        <f>IF(G108="",F108-L108-#REF!,G108-L108-#REF!)</f>
        <v>#REF!</v>
      </c>
      <c r="N108" s="1013">
        <f t="shared" si="7"/>
        <v>0</v>
      </c>
      <c r="O108" s="972"/>
      <c r="P108" s="1120"/>
      <c r="Q108" s="974"/>
      <c r="R108" s="1147"/>
      <c r="S108" s="974"/>
      <c r="T108" s="976"/>
      <c r="U108" s="693"/>
    </row>
    <row r="109" spans="1:25" x14ac:dyDescent="0.25">
      <c r="B109" s="1187" t="s">
        <v>758</v>
      </c>
      <c r="C109" s="1117" t="s">
        <v>1220</v>
      </c>
      <c r="D109" s="976" t="s">
        <v>1221</v>
      </c>
      <c r="E109" s="976" t="s">
        <v>385</v>
      </c>
      <c r="F109" s="973">
        <v>88400000</v>
      </c>
      <c r="G109" s="974"/>
      <c r="H109" s="974">
        <v>26520000</v>
      </c>
      <c r="I109" s="1115">
        <v>61880000</v>
      </c>
      <c r="J109" s="975"/>
      <c r="K109" s="974"/>
      <c r="L109" s="974">
        <f t="shared" si="8"/>
        <v>88400000</v>
      </c>
      <c r="M109" s="991" t="e">
        <f>IF(G109="",F109-L109-#REF!,G109-L109-#REF!)</f>
        <v>#REF!</v>
      </c>
      <c r="N109" s="1013">
        <f t="shared" si="7"/>
        <v>0</v>
      </c>
      <c r="O109" s="972"/>
      <c r="P109" s="1120"/>
      <c r="Q109" s="974"/>
      <c r="R109" s="1147"/>
      <c r="S109" s="974"/>
      <c r="T109" s="976"/>
      <c r="U109" s="693"/>
    </row>
    <row r="110" spans="1:25" x14ac:dyDescent="0.25">
      <c r="B110" s="1187" t="s">
        <v>758</v>
      </c>
      <c r="C110" s="1117" t="s">
        <v>1220</v>
      </c>
      <c r="D110" s="976" t="s">
        <v>947</v>
      </c>
      <c r="E110" s="976"/>
      <c r="F110" s="973"/>
      <c r="G110" s="974"/>
      <c r="H110" s="974">
        <f>W110</f>
        <v>0</v>
      </c>
      <c r="I110" s="974"/>
      <c r="J110" s="975"/>
      <c r="K110" s="974"/>
      <c r="L110" s="974">
        <f t="shared" si="8"/>
        <v>0</v>
      </c>
      <c r="M110" s="991" t="e">
        <f>IF(G110="",F110-L110-#REF!,G110-L110-#REF!)</f>
        <v>#REF!</v>
      </c>
      <c r="N110" s="1013">
        <f t="shared" si="7"/>
        <v>0</v>
      </c>
      <c r="O110" s="976"/>
      <c r="P110" s="977"/>
      <c r="Q110" s="974"/>
      <c r="R110" s="1147"/>
      <c r="S110" s="974"/>
      <c r="T110" s="976"/>
      <c r="U110" s="693"/>
      <c r="V110" s="687" t="s">
        <v>948</v>
      </c>
      <c r="W110" s="687">
        <f>SUM(W104:W105)</f>
        <v>0</v>
      </c>
    </row>
    <row r="111" spans="1:25" s="723" customFormat="1" ht="15.75" x14ac:dyDescent="0.25">
      <c r="B111" s="720" t="s">
        <v>997</v>
      </c>
      <c r="C111" s="720"/>
      <c r="D111" s="699" t="s">
        <v>998</v>
      </c>
      <c r="E111" s="700"/>
      <c r="F111" s="724"/>
      <c r="G111" s="702"/>
      <c r="H111" s="701"/>
      <c r="I111" s="702"/>
      <c r="J111" s="726"/>
      <c r="K111" s="702"/>
      <c r="L111" s="707">
        <f>SUM(L104:L110)</f>
        <v>597005397</v>
      </c>
      <c r="M111" s="707" t="e">
        <f>SUM(M104:M110)</f>
        <v>#REF!</v>
      </c>
      <c r="N111" s="869">
        <f>SUM(N104:N110)</f>
        <v>0</v>
      </c>
      <c r="O111" s="700"/>
      <c r="P111" s="704"/>
      <c r="Q111" s="742"/>
      <c r="R111" s="1148"/>
      <c r="S111" s="742"/>
      <c r="T111" s="705"/>
      <c r="U111" s="706"/>
      <c r="V111" s="722"/>
      <c r="W111" s="722"/>
      <c r="X111" s="722"/>
      <c r="Y111" s="722"/>
    </row>
    <row r="112" spans="1:25" x14ac:dyDescent="0.25">
      <c r="A112" s="686">
        <v>6</v>
      </c>
      <c r="B112" s="1187" t="s">
        <v>762</v>
      </c>
      <c r="C112" s="1187">
        <v>1014</v>
      </c>
      <c r="D112" s="976" t="s">
        <v>201</v>
      </c>
      <c r="E112" s="976" t="s">
        <v>200</v>
      </c>
      <c r="F112" s="973">
        <v>49280572</v>
      </c>
      <c r="G112" s="974">
        <v>49259836</v>
      </c>
      <c r="H112" s="974">
        <v>24640286</v>
      </c>
      <c r="I112" s="974">
        <v>19712229</v>
      </c>
      <c r="J112" s="975">
        <v>4907321</v>
      </c>
      <c r="K112" s="974"/>
      <c r="L112" s="974">
        <f>SUM(H112:K112)</f>
        <v>49259836</v>
      </c>
      <c r="M112" s="991" t="e">
        <f>IF(G112="",F112-L112-#REF!,G112-L112-#REF!)</f>
        <v>#REF!</v>
      </c>
      <c r="N112" s="1013">
        <f t="shared" si="7"/>
        <v>0</v>
      </c>
      <c r="O112" s="976"/>
      <c r="P112" s="977"/>
      <c r="Q112" s="974"/>
      <c r="R112" s="1147"/>
      <c r="S112" s="974"/>
      <c r="T112" s="976"/>
      <c r="U112" s="690" t="s">
        <v>957</v>
      </c>
      <c r="V112" s="687" t="s">
        <v>763</v>
      </c>
    </row>
    <row r="113" spans="2:23" x14ac:dyDescent="0.25">
      <c r="B113" s="1187" t="s">
        <v>762</v>
      </c>
      <c r="C113" s="1187">
        <v>1014</v>
      </c>
      <c r="D113" s="976" t="s">
        <v>764</v>
      </c>
      <c r="E113" s="976" t="s">
        <v>200</v>
      </c>
      <c r="F113" s="973">
        <v>20600000</v>
      </c>
      <c r="G113" s="974"/>
      <c r="H113" s="974">
        <v>20600000</v>
      </c>
      <c r="I113" s="974"/>
      <c r="J113" s="975"/>
      <c r="K113" s="974"/>
      <c r="L113" s="974">
        <f t="shared" ref="L113:L146" si="9">SUM(H113:K113)</f>
        <v>20600000</v>
      </c>
      <c r="M113" s="991" t="e">
        <f>IF(G113="",F113-L113-#REF!,G113-L113-#REF!)</f>
        <v>#REF!</v>
      </c>
      <c r="N113" s="1013">
        <f t="shared" si="7"/>
        <v>0</v>
      </c>
      <c r="O113" s="976"/>
      <c r="P113" s="977"/>
      <c r="Q113" s="974"/>
      <c r="R113" s="1147"/>
      <c r="S113" s="974"/>
      <c r="T113" s="976"/>
      <c r="U113" s="693" t="s">
        <v>957</v>
      </c>
      <c r="V113" s="687" t="s">
        <v>999</v>
      </c>
      <c r="W113" s="687">
        <v>1950000</v>
      </c>
    </row>
    <row r="114" spans="2:23" x14ac:dyDescent="0.25">
      <c r="B114" s="1187" t="s">
        <v>762</v>
      </c>
      <c r="C114" s="1187">
        <v>1014</v>
      </c>
      <c r="D114" s="976" t="s">
        <v>31</v>
      </c>
      <c r="E114" s="976" t="s">
        <v>385</v>
      </c>
      <c r="F114" s="973">
        <v>52050039</v>
      </c>
      <c r="G114" s="974">
        <v>68065463</v>
      </c>
      <c r="H114" s="974">
        <v>15615000</v>
      </c>
      <c r="I114" s="974">
        <v>52450463</v>
      </c>
      <c r="J114" s="975"/>
      <c r="K114" s="974"/>
      <c r="L114" s="974">
        <f t="shared" si="9"/>
        <v>68065463</v>
      </c>
      <c r="M114" s="991" t="e">
        <f>IF(G114="",F114-L114-#REF!,G114-L114-#REF!)</f>
        <v>#REF!</v>
      </c>
      <c r="N114" s="1013">
        <f t="shared" si="7"/>
        <v>0</v>
      </c>
      <c r="O114" s="976"/>
      <c r="P114" s="977"/>
      <c r="Q114" s="974"/>
      <c r="R114" s="1147"/>
      <c r="S114" s="974"/>
      <c r="T114" s="976"/>
      <c r="U114" s="693" t="s">
        <v>943</v>
      </c>
      <c r="V114" s="687" t="s">
        <v>1000</v>
      </c>
      <c r="W114" s="687">
        <v>4500000</v>
      </c>
    </row>
    <row r="115" spans="2:23" x14ac:dyDescent="0.25">
      <c r="B115" s="1187" t="s">
        <v>762</v>
      </c>
      <c r="C115" s="1187">
        <v>1014</v>
      </c>
      <c r="D115" s="976" t="s">
        <v>215</v>
      </c>
      <c r="E115" s="976" t="s">
        <v>216</v>
      </c>
      <c r="F115" s="973">
        <v>110176769</v>
      </c>
      <c r="G115" s="974"/>
      <c r="H115" s="974">
        <v>40064280</v>
      </c>
      <c r="I115" s="974">
        <v>40064280</v>
      </c>
      <c r="J115" s="975"/>
      <c r="K115" s="974"/>
      <c r="L115" s="974">
        <f t="shared" si="9"/>
        <v>80128560</v>
      </c>
      <c r="M115" s="991" t="e">
        <f>IF(G115="",F115-L115-#REF!,G115-L115-#REF!)</f>
        <v>#REF!</v>
      </c>
      <c r="N115" s="1013">
        <f t="shared" si="7"/>
        <v>30048209</v>
      </c>
      <c r="O115" s="976"/>
      <c r="P115" s="977"/>
      <c r="Q115" s="974"/>
      <c r="R115" s="1147"/>
      <c r="S115" s="974"/>
      <c r="T115" s="976"/>
      <c r="U115" s="693" t="s">
        <v>943</v>
      </c>
      <c r="V115" s="687" t="s">
        <v>1001</v>
      </c>
      <c r="W115" s="687">
        <v>5950000</v>
      </c>
    </row>
    <row r="116" spans="2:23" x14ac:dyDescent="0.25">
      <c r="B116" s="1187" t="s">
        <v>762</v>
      </c>
      <c r="C116" s="1187">
        <v>1014</v>
      </c>
      <c r="D116" s="976" t="s">
        <v>50</v>
      </c>
      <c r="E116" s="976" t="s">
        <v>323</v>
      </c>
      <c r="F116" s="973">
        <v>30676800</v>
      </c>
      <c r="G116" s="974"/>
      <c r="H116" s="974">
        <v>19521600</v>
      </c>
      <c r="I116" s="974">
        <v>11155200</v>
      </c>
      <c r="J116" s="975"/>
      <c r="K116" s="974"/>
      <c r="L116" s="974">
        <f t="shared" si="9"/>
        <v>30676800</v>
      </c>
      <c r="M116" s="991" t="e">
        <f>IF(G116="",F116-L116-#REF!,G116-L116-#REF!)</f>
        <v>#REF!</v>
      </c>
      <c r="N116" s="1013">
        <f t="shared" si="7"/>
        <v>0</v>
      </c>
      <c r="O116" s="976" t="s">
        <v>767</v>
      </c>
      <c r="P116" s="977">
        <v>43941</v>
      </c>
      <c r="Q116" s="974"/>
      <c r="R116" s="1147"/>
      <c r="S116" s="974"/>
      <c r="T116" s="976"/>
      <c r="U116" s="693" t="s">
        <v>943</v>
      </c>
      <c r="V116" s="687" t="s">
        <v>1002</v>
      </c>
      <c r="W116" s="687">
        <v>8550000</v>
      </c>
    </row>
    <row r="117" spans="2:23" x14ac:dyDescent="0.25">
      <c r="B117" s="1187" t="s">
        <v>762</v>
      </c>
      <c r="C117" s="1187">
        <v>1014</v>
      </c>
      <c r="D117" s="976" t="s">
        <v>99</v>
      </c>
      <c r="E117" s="976" t="s">
        <v>100</v>
      </c>
      <c r="F117" s="973">
        <v>230040000</v>
      </c>
      <c r="G117" s="974">
        <v>230330000</v>
      </c>
      <c r="H117" s="974">
        <v>69012000</v>
      </c>
      <c r="I117" s="974">
        <v>149801500</v>
      </c>
      <c r="J117" s="975"/>
      <c r="K117" s="974"/>
      <c r="L117" s="974">
        <f t="shared" si="9"/>
        <v>218813500</v>
      </c>
      <c r="M117" s="991" t="e">
        <f>IF(G117="",F117-L117-#REF!,G117-L117-#REF!)</f>
        <v>#REF!</v>
      </c>
      <c r="N117" s="1013">
        <f t="shared" si="7"/>
        <v>11516500</v>
      </c>
      <c r="O117" s="976"/>
      <c r="P117" s="977"/>
      <c r="Q117" s="974"/>
      <c r="R117" s="1147"/>
      <c r="S117" s="974"/>
      <c r="T117" s="976"/>
      <c r="U117" s="693" t="s">
        <v>943</v>
      </c>
      <c r="V117" s="687" t="s">
        <v>1003</v>
      </c>
      <c r="W117" s="687">
        <v>300000</v>
      </c>
    </row>
    <row r="118" spans="2:23" x14ac:dyDescent="0.25">
      <c r="B118" s="1187" t="s">
        <v>762</v>
      </c>
      <c r="C118" s="1187">
        <v>1014</v>
      </c>
      <c r="D118" s="976" t="s">
        <v>692</v>
      </c>
      <c r="E118" s="976" t="s">
        <v>176</v>
      </c>
      <c r="F118" s="973">
        <v>6845234</v>
      </c>
      <c r="G118" s="974"/>
      <c r="H118" s="974">
        <v>6845234</v>
      </c>
      <c r="I118" s="974"/>
      <c r="J118" s="975"/>
      <c r="K118" s="974"/>
      <c r="L118" s="974">
        <f t="shared" si="9"/>
        <v>6845234</v>
      </c>
      <c r="M118" s="991" t="e">
        <f>IF(G118="",F118-L118-#REF!,G118-L118-#REF!)</f>
        <v>#REF!</v>
      </c>
      <c r="N118" s="1013">
        <f t="shared" si="7"/>
        <v>0</v>
      </c>
      <c r="O118" s="976"/>
      <c r="P118" s="977"/>
      <c r="Q118" s="974"/>
      <c r="R118" s="1147"/>
      <c r="S118" s="974"/>
      <c r="T118" s="976"/>
      <c r="U118" s="693" t="s">
        <v>943</v>
      </c>
      <c r="V118" s="687" t="s">
        <v>1004</v>
      </c>
      <c r="W118" s="687">
        <v>1810000</v>
      </c>
    </row>
    <row r="119" spans="2:23" x14ac:dyDescent="0.25">
      <c r="B119" s="1187" t="s">
        <v>762</v>
      </c>
      <c r="C119" s="1187">
        <v>1014</v>
      </c>
      <c r="D119" s="976" t="s">
        <v>34</v>
      </c>
      <c r="E119" s="976" t="s">
        <v>204</v>
      </c>
      <c r="F119" s="973">
        <v>55505340</v>
      </c>
      <c r="G119" s="974">
        <v>52345480</v>
      </c>
      <c r="H119" s="974">
        <v>15137820</v>
      </c>
      <c r="I119" s="974">
        <v>20183760</v>
      </c>
      <c r="J119" s="975">
        <v>17023900</v>
      </c>
      <c r="K119" s="974"/>
      <c r="L119" s="974">
        <f t="shared" si="9"/>
        <v>52345480</v>
      </c>
      <c r="M119" s="991" t="e">
        <f>IF(G119="",F119-L119-#REF!,G119-L119-#REF!)</f>
        <v>#REF!</v>
      </c>
      <c r="N119" s="1013">
        <f t="shared" si="7"/>
        <v>0</v>
      </c>
      <c r="O119" s="976" t="s">
        <v>768</v>
      </c>
      <c r="P119" s="977">
        <v>43942</v>
      </c>
      <c r="Q119" s="974"/>
      <c r="R119" s="1147"/>
      <c r="S119" s="974"/>
      <c r="T119" s="976"/>
      <c r="U119" s="693" t="s">
        <v>943</v>
      </c>
      <c r="V119" s="687" t="s">
        <v>1005</v>
      </c>
      <c r="W119" s="687">
        <v>1118000</v>
      </c>
    </row>
    <row r="120" spans="2:23" x14ac:dyDescent="0.25">
      <c r="B120" s="1187" t="s">
        <v>762</v>
      </c>
      <c r="C120" s="1187">
        <v>1014</v>
      </c>
      <c r="D120" s="976" t="s">
        <v>118</v>
      </c>
      <c r="E120" s="976" t="s">
        <v>315</v>
      </c>
      <c r="F120" s="973">
        <v>28216000</v>
      </c>
      <c r="G120" s="974">
        <v>28286400</v>
      </c>
      <c r="H120" s="974">
        <v>11286400</v>
      </c>
      <c r="I120" s="974">
        <v>17000000</v>
      </c>
      <c r="J120" s="975"/>
      <c r="K120" s="974"/>
      <c r="L120" s="974">
        <f t="shared" si="9"/>
        <v>28286400</v>
      </c>
      <c r="M120" s="991" t="e">
        <f>IF(G120="",F120-L120-#REF!,G120-L120-#REF!)</f>
        <v>#REF!</v>
      </c>
      <c r="N120" s="1013">
        <f t="shared" si="7"/>
        <v>0</v>
      </c>
      <c r="O120" s="976"/>
      <c r="P120" s="977"/>
      <c r="Q120" s="974"/>
      <c r="R120" s="1147"/>
      <c r="S120" s="974"/>
      <c r="T120" s="976"/>
      <c r="U120" s="693" t="s">
        <v>957</v>
      </c>
      <c r="V120" s="687" t="s">
        <v>1006</v>
      </c>
      <c r="W120" s="687">
        <v>2138000</v>
      </c>
    </row>
    <row r="121" spans="2:23" x14ac:dyDescent="0.25">
      <c r="B121" s="1187" t="s">
        <v>762</v>
      </c>
      <c r="C121" s="1187">
        <v>1014</v>
      </c>
      <c r="D121" s="976" t="s">
        <v>1007</v>
      </c>
      <c r="E121" s="976" t="s">
        <v>229</v>
      </c>
      <c r="F121" s="973">
        <v>33258500</v>
      </c>
      <c r="G121" s="974">
        <v>30195000</v>
      </c>
      <c r="H121" s="974">
        <v>16629000</v>
      </c>
      <c r="I121" s="974"/>
      <c r="J121" s="975"/>
      <c r="K121" s="974"/>
      <c r="L121" s="974">
        <f t="shared" si="9"/>
        <v>16629000</v>
      </c>
      <c r="M121" s="991" t="e">
        <f>IF(G121="",F121-L121-#REF!,G121-L121-#REF!)</f>
        <v>#REF!</v>
      </c>
      <c r="N121" s="1013">
        <f t="shared" si="7"/>
        <v>13566000</v>
      </c>
      <c r="O121" s="976"/>
      <c r="P121" s="977"/>
      <c r="Q121" s="974"/>
      <c r="R121" s="1147"/>
      <c r="S121" s="974"/>
      <c r="T121" s="976"/>
      <c r="U121" s="693" t="s">
        <v>943</v>
      </c>
      <c r="V121" s="687" t="s">
        <v>1008</v>
      </c>
      <c r="W121" s="687">
        <v>3280000</v>
      </c>
    </row>
    <row r="122" spans="2:23" x14ac:dyDescent="0.25">
      <c r="B122" s="1187" t="s">
        <v>762</v>
      </c>
      <c r="C122" s="1187">
        <v>1014</v>
      </c>
      <c r="D122" s="976" t="s">
        <v>257</v>
      </c>
      <c r="E122" s="976" t="s">
        <v>286</v>
      </c>
      <c r="F122" s="1108">
        <f>L122</f>
        <v>6875000</v>
      </c>
      <c r="G122" s="974"/>
      <c r="H122" s="974">
        <v>6875000</v>
      </c>
      <c r="I122" s="974"/>
      <c r="J122" s="975"/>
      <c r="K122" s="974"/>
      <c r="L122" s="974">
        <f t="shared" si="9"/>
        <v>6875000</v>
      </c>
      <c r="M122" s="991"/>
      <c r="N122" s="1013">
        <f t="shared" si="7"/>
        <v>0</v>
      </c>
      <c r="O122" s="976"/>
      <c r="P122" s="977"/>
      <c r="Q122" s="974"/>
      <c r="R122" s="1147"/>
      <c r="S122" s="974"/>
      <c r="T122" s="976"/>
      <c r="U122" s="693"/>
      <c r="V122" s="687" t="s">
        <v>960</v>
      </c>
      <c r="W122" s="687">
        <v>2546000</v>
      </c>
    </row>
    <row r="123" spans="2:23" x14ac:dyDescent="0.25">
      <c r="B123" s="1187" t="s">
        <v>762</v>
      </c>
      <c r="C123" s="1187">
        <v>1014</v>
      </c>
      <c r="D123" s="976" t="s">
        <v>170</v>
      </c>
      <c r="E123" s="976" t="s">
        <v>171</v>
      </c>
      <c r="F123" s="973">
        <v>10220430</v>
      </c>
      <c r="G123" s="974"/>
      <c r="H123" s="974">
        <v>10220430</v>
      </c>
      <c r="I123" s="974"/>
      <c r="J123" s="975"/>
      <c r="K123" s="974"/>
      <c r="L123" s="974">
        <f t="shared" si="9"/>
        <v>10220430</v>
      </c>
      <c r="M123" s="991" t="e">
        <f>IF(G123="",F123-L123-#REF!,G123-L123-#REF!)</f>
        <v>#REF!</v>
      </c>
      <c r="N123" s="1013">
        <f t="shared" si="7"/>
        <v>0</v>
      </c>
      <c r="O123" s="976"/>
      <c r="P123" s="977"/>
      <c r="Q123" s="974"/>
      <c r="R123" s="1147"/>
      <c r="S123" s="974"/>
      <c r="T123" s="976"/>
      <c r="U123" s="693" t="s">
        <v>171</v>
      </c>
      <c r="V123" s="687" t="s">
        <v>953</v>
      </c>
      <c r="W123" s="687">
        <v>460000</v>
      </c>
    </row>
    <row r="124" spans="2:23" x14ac:dyDescent="0.25">
      <c r="B124" s="1187" t="s">
        <v>762</v>
      </c>
      <c r="C124" s="1187">
        <v>1014</v>
      </c>
      <c r="D124" s="976" t="s">
        <v>514</v>
      </c>
      <c r="E124" s="976" t="s">
        <v>114</v>
      </c>
      <c r="F124" s="973">
        <v>13612000</v>
      </c>
      <c r="G124" s="974"/>
      <c r="H124" s="974">
        <v>13612000</v>
      </c>
      <c r="I124" s="974"/>
      <c r="J124" s="975"/>
      <c r="K124" s="974"/>
      <c r="L124" s="974">
        <f t="shared" si="9"/>
        <v>13612000</v>
      </c>
      <c r="M124" s="991" t="e">
        <f>IF(G124="",F124-L124-#REF!,G124-L124-#REF!)</f>
        <v>#REF!</v>
      </c>
      <c r="N124" s="1013">
        <f t="shared" si="7"/>
        <v>0</v>
      </c>
      <c r="O124" s="976"/>
      <c r="P124" s="977"/>
      <c r="Q124" s="974"/>
      <c r="R124" s="1147"/>
      <c r="S124" s="974"/>
      <c r="T124" s="976"/>
      <c r="U124" s="693" t="s">
        <v>968</v>
      </c>
      <c r="V124" s="687" t="s">
        <v>964</v>
      </c>
      <c r="W124" s="687">
        <v>1600000</v>
      </c>
    </row>
    <row r="125" spans="2:23" x14ac:dyDescent="0.25">
      <c r="B125" s="1187" t="s">
        <v>762</v>
      </c>
      <c r="C125" s="1187">
        <v>1014</v>
      </c>
      <c r="D125" s="976" t="s">
        <v>50</v>
      </c>
      <c r="E125" s="976" t="s">
        <v>65</v>
      </c>
      <c r="F125" s="973">
        <v>7260000</v>
      </c>
      <c r="G125" s="974"/>
      <c r="H125" s="974">
        <v>2178000</v>
      </c>
      <c r="I125" s="974">
        <v>5082000</v>
      </c>
      <c r="J125" s="975"/>
      <c r="K125" s="974"/>
      <c r="L125" s="974">
        <f t="shared" si="9"/>
        <v>7260000</v>
      </c>
      <c r="M125" s="991" t="e">
        <f>IF(G125="",F125-L125-#REF!,G125-L125-#REF!)</f>
        <v>#REF!</v>
      </c>
      <c r="N125" s="1013">
        <f t="shared" si="7"/>
        <v>0</v>
      </c>
      <c r="O125" s="976"/>
      <c r="P125" s="977"/>
      <c r="Q125" s="974"/>
      <c r="R125" s="1147"/>
      <c r="S125" s="974"/>
      <c r="T125" s="976"/>
      <c r="U125" s="693" t="s">
        <v>957</v>
      </c>
    </row>
    <row r="126" spans="2:23" x14ac:dyDescent="0.25">
      <c r="B126" s="1187" t="s">
        <v>762</v>
      </c>
      <c r="C126" s="1187">
        <v>1014</v>
      </c>
      <c r="D126" s="976" t="s">
        <v>34</v>
      </c>
      <c r="E126" s="976" t="s">
        <v>695</v>
      </c>
      <c r="F126" s="973">
        <v>5115000</v>
      </c>
      <c r="G126" s="974"/>
      <c r="H126" s="974">
        <v>5115000</v>
      </c>
      <c r="I126" s="974"/>
      <c r="J126" s="975"/>
      <c r="K126" s="974"/>
      <c r="L126" s="974">
        <f t="shared" si="9"/>
        <v>5115000</v>
      </c>
      <c r="M126" s="991" t="e">
        <f>IF(G126="",F126-L126-#REF!,G126-L126-#REF!)</f>
        <v>#REF!</v>
      </c>
      <c r="N126" s="1013">
        <f t="shared" si="7"/>
        <v>0</v>
      </c>
      <c r="O126" s="976"/>
      <c r="P126" s="977"/>
      <c r="Q126" s="974"/>
      <c r="R126" s="1147"/>
      <c r="S126" s="974"/>
      <c r="T126" s="976"/>
      <c r="U126" s="693" t="s">
        <v>943</v>
      </c>
    </row>
    <row r="127" spans="2:23" x14ac:dyDescent="0.25">
      <c r="B127" s="1187" t="s">
        <v>762</v>
      </c>
      <c r="C127" s="1187">
        <v>1014</v>
      </c>
      <c r="D127" s="976" t="s">
        <v>107</v>
      </c>
      <c r="E127" s="976" t="s">
        <v>341</v>
      </c>
      <c r="F127" s="973"/>
      <c r="G127" s="974">
        <v>8640000</v>
      </c>
      <c r="H127" s="974">
        <v>4000000</v>
      </c>
      <c r="I127" s="974">
        <v>4640000</v>
      </c>
      <c r="J127" s="975"/>
      <c r="K127" s="974"/>
      <c r="L127" s="974">
        <f t="shared" si="9"/>
        <v>8640000</v>
      </c>
      <c r="M127" s="991" t="e">
        <f>IF(G127="",F127-L127-#REF!,G127-L127-#REF!)</f>
        <v>#REF!</v>
      </c>
      <c r="N127" s="1013">
        <f t="shared" si="7"/>
        <v>0</v>
      </c>
      <c r="O127" s="976"/>
      <c r="P127" s="977"/>
      <c r="Q127" s="974"/>
      <c r="R127" s="1147"/>
      <c r="S127" s="974"/>
      <c r="T127" s="976"/>
      <c r="U127" s="693"/>
    </row>
    <row r="128" spans="2:23" x14ac:dyDescent="0.25">
      <c r="B128" s="1187" t="s">
        <v>762</v>
      </c>
      <c r="C128" s="1187">
        <v>1014</v>
      </c>
      <c r="D128" s="976" t="s">
        <v>771</v>
      </c>
      <c r="E128" s="976" t="s">
        <v>772</v>
      </c>
      <c r="F128" s="973">
        <v>550000</v>
      </c>
      <c r="G128" s="974"/>
      <c r="H128" s="974">
        <v>550000</v>
      </c>
      <c r="I128" s="974"/>
      <c r="J128" s="975"/>
      <c r="K128" s="974"/>
      <c r="L128" s="974">
        <f t="shared" si="9"/>
        <v>550000</v>
      </c>
      <c r="M128" s="991" t="e">
        <f>IF(G128="",F128-L128-#REF!,G128-L128-#REF!)</f>
        <v>#REF!</v>
      </c>
      <c r="N128" s="1013">
        <f t="shared" si="7"/>
        <v>0</v>
      </c>
      <c r="O128" s="976"/>
      <c r="P128" s="977"/>
      <c r="Q128" s="974"/>
      <c r="R128" s="1147"/>
      <c r="S128" s="974"/>
      <c r="T128" s="976"/>
      <c r="U128" s="693" t="s">
        <v>943</v>
      </c>
    </row>
    <row r="129" spans="2:21" x14ac:dyDescent="0.25">
      <c r="B129" s="1187" t="s">
        <v>762</v>
      </c>
      <c r="C129" s="1187">
        <v>1014</v>
      </c>
      <c r="D129" s="976" t="s">
        <v>773</v>
      </c>
      <c r="E129" s="976"/>
      <c r="F129" s="973">
        <v>15480000</v>
      </c>
      <c r="G129" s="974"/>
      <c r="H129" s="974">
        <v>15480000</v>
      </c>
      <c r="I129" s="974"/>
      <c r="J129" s="975"/>
      <c r="K129" s="974"/>
      <c r="L129" s="974">
        <f t="shared" si="9"/>
        <v>15480000</v>
      </c>
      <c r="M129" s="991" t="e">
        <f>IF(G129="",F129-L129-#REF!,G129-L129-#REF!)</f>
        <v>#REF!</v>
      </c>
      <c r="N129" s="1013">
        <f t="shared" si="7"/>
        <v>0</v>
      </c>
      <c r="O129" s="976"/>
      <c r="P129" s="977"/>
      <c r="Q129" s="974"/>
      <c r="R129" s="1147"/>
      <c r="S129" s="974"/>
      <c r="T129" s="976"/>
      <c r="U129" s="693"/>
    </row>
    <row r="130" spans="2:21" x14ac:dyDescent="0.25">
      <c r="B130" s="1187" t="s">
        <v>762</v>
      </c>
      <c r="C130" s="1187">
        <v>1014</v>
      </c>
      <c r="D130" s="976" t="s">
        <v>158</v>
      </c>
      <c r="E130" s="976" t="s">
        <v>247</v>
      </c>
      <c r="F130" s="973">
        <v>4875000</v>
      </c>
      <c r="G130" s="974"/>
      <c r="H130" s="974">
        <v>4875000</v>
      </c>
      <c r="I130" s="974"/>
      <c r="J130" s="975"/>
      <c r="K130" s="974"/>
      <c r="L130" s="974">
        <f t="shared" si="9"/>
        <v>4875000</v>
      </c>
      <c r="M130" s="991" t="e">
        <f>IF(G130="",F130-L130-#REF!,G130-L130-#REF!)</f>
        <v>#REF!</v>
      </c>
      <c r="N130" s="1013">
        <f t="shared" si="7"/>
        <v>0</v>
      </c>
      <c r="O130" s="976"/>
      <c r="P130" s="977"/>
      <c r="Q130" s="974"/>
      <c r="R130" s="1147"/>
      <c r="S130" s="974"/>
      <c r="T130" s="976"/>
      <c r="U130" s="693" t="s">
        <v>943</v>
      </c>
    </row>
    <row r="131" spans="2:21" x14ac:dyDescent="0.25">
      <c r="B131" s="1187" t="s">
        <v>762</v>
      </c>
      <c r="C131" s="1187">
        <v>1014</v>
      </c>
      <c r="D131" s="976" t="s">
        <v>774</v>
      </c>
      <c r="E131" s="976" t="s">
        <v>229</v>
      </c>
      <c r="F131" s="973">
        <v>126060000</v>
      </c>
      <c r="G131" s="974"/>
      <c r="H131" s="974">
        <v>126060000</v>
      </c>
      <c r="I131" s="974"/>
      <c r="J131" s="975"/>
      <c r="K131" s="974"/>
      <c r="L131" s="974">
        <f t="shared" si="9"/>
        <v>126060000</v>
      </c>
      <c r="M131" s="991" t="e">
        <f>IF(G131="",F131-L131-#REF!,G131-L131-#REF!)</f>
        <v>#REF!</v>
      </c>
      <c r="N131" s="1013">
        <f t="shared" si="7"/>
        <v>0</v>
      </c>
      <c r="O131" s="976" t="s">
        <v>775</v>
      </c>
      <c r="P131" s="977">
        <v>43978</v>
      </c>
      <c r="Q131" s="974"/>
      <c r="R131" s="1147"/>
      <c r="S131" s="974"/>
      <c r="T131" s="976"/>
      <c r="U131" s="693" t="s">
        <v>943</v>
      </c>
    </row>
    <row r="132" spans="2:21" x14ac:dyDescent="0.25">
      <c r="B132" s="1187" t="s">
        <v>762</v>
      </c>
      <c r="C132" s="1187">
        <v>1014</v>
      </c>
      <c r="D132" s="976" t="s">
        <v>776</v>
      </c>
      <c r="E132" s="976" t="s">
        <v>229</v>
      </c>
      <c r="F132" s="973">
        <v>64878000</v>
      </c>
      <c r="G132" s="974">
        <v>63432000</v>
      </c>
      <c r="H132" s="974">
        <v>32439000</v>
      </c>
      <c r="I132" s="974">
        <v>30993000</v>
      </c>
      <c r="J132" s="975"/>
      <c r="K132" s="974"/>
      <c r="L132" s="974">
        <f t="shared" si="9"/>
        <v>63432000</v>
      </c>
      <c r="M132" s="991" t="e">
        <f>IF(G132="",F132-L132-#REF!,G132-L132-#REF!)</f>
        <v>#REF!</v>
      </c>
      <c r="N132" s="1013">
        <f t="shared" si="7"/>
        <v>0</v>
      </c>
      <c r="O132" s="976" t="s">
        <v>775</v>
      </c>
      <c r="P132" s="977">
        <v>43978</v>
      </c>
      <c r="Q132" s="974"/>
      <c r="R132" s="1147"/>
      <c r="S132" s="974"/>
      <c r="T132" s="976"/>
      <c r="U132" s="693" t="s">
        <v>943</v>
      </c>
    </row>
    <row r="133" spans="2:21" x14ac:dyDescent="0.25">
      <c r="B133" s="1187" t="s">
        <v>762</v>
      </c>
      <c r="C133" s="1187">
        <v>1014</v>
      </c>
      <c r="D133" s="976" t="s">
        <v>394</v>
      </c>
      <c r="E133" s="976" t="s">
        <v>162</v>
      </c>
      <c r="F133" s="973">
        <v>31600000</v>
      </c>
      <c r="G133" s="974"/>
      <c r="H133" s="974">
        <v>31600000</v>
      </c>
      <c r="I133" s="974"/>
      <c r="J133" s="975"/>
      <c r="K133" s="974"/>
      <c r="L133" s="974">
        <f t="shared" si="9"/>
        <v>31600000</v>
      </c>
      <c r="M133" s="991" t="e">
        <f>IF(G133="",F133-L133-#REF!,G133-L133-#REF!)</f>
        <v>#REF!</v>
      </c>
      <c r="N133" s="1013">
        <f t="shared" si="7"/>
        <v>0</v>
      </c>
      <c r="O133" s="976"/>
      <c r="P133" s="977"/>
      <c r="Q133" s="974"/>
      <c r="R133" s="1147"/>
      <c r="S133" s="974"/>
      <c r="T133" s="976"/>
      <c r="U133" s="693"/>
    </row>
    <row r="134" spans="2:21" x14ac:dyDescent="0.25">
      <c r="B134" s="1187" t="s">
        <v>762</v>
      </c>
      <c r="C134" s="1187">
        <v>1014</v>
      </c>
      <c r="D134" s="976" t="s">
        <v>777</v>
      </c>
      <c r="E134" s="976" t="s">
        <v>778</v>
      </c>
      <c r="F134" s="1108">
        <f>L134</f>
        <v>5328400</v>
      </c>
      <c r="G134" s="974"/>
      <c r="H134" s="974">
        <v>5328400</v>
      </c>
      <c r="I134" s="974"/>
      <c r="J134" s="975"/>
      <c r="K134" s="974"/>
      <c r="L134" s="974">
        <f t="shared" si="9"/>
        <v>5328400</v>
      </c>
      <c r="M134" s="991" t="e">
        <f>IF(G134="",F134-L134-#REF!,G134-L134-#REF!)</f>
        <v>#REF!</v>
      </c>
      <c r="N134" s="1013">
        <f t="shared" si="7"/>
        <v>0</v>
      </c>
      <c r="O134" s="976"/>
      <c r="P134" s="977"/>
      <c r="Q134" s="974"/>
      <c r="R134" s="1147"/>
      <c r="S134" s="974"/>
      <c r="T134" s="976"/>
      <c r="U134" s="693" t="s">
        <v>943</v>
      </c>
    </row>
    <row r="135" spans="2:21" x14ac:dyDescent="0.25">
      <c r="B135" s="1187" t="s">
        <v>762</v>
      </c>
      <c r="C135" s="1187">
        <v>1014</v>
      </c>
      <c r="D135" s="976" t="s">
        <v>966</v>
      </c>
      <c r="E135" s="972" t="s">
        <v>967</v>
      </c>
      <c r="F135" s="1108">
        <f>L135</f>
        <v>46500000</v>
      </c>
      <c r="G135" s="974"/>
      <c r="H135" s="974">
        <v>46500000</v>
      </c>
      <c r="I135" s="974"/>
      <c r="J135" s="975"/>
      <c r="K135" s="974"/>
      <c r="L135" s="974">
        <f t="shared" si="9"/>
        <v>46500000</v>
      </c>
      <c r="M135" s="991" t="e">
        <f>IF(G135="",F135-L135-#REF!,G135-L135-#REF!)</f>
        <v>#REF!</v>
      </c>
      <c r="N135" s="1013">
        <f t="shared" si="7"/>
        <v>0</v>
      </c>
      <c r="O135" s="976"/>
      <c r="P135" s="977"/>
      <c r="Q135" s="974"/>
      <c r="R135" s="1147"/>
      <c r="S135" s="974"/>
      <c r="T135" s="976"/>
      <c r="U135" s="693" t="s">
        <v>957</v>
      </c>
    </row>
    <row r="136" spans="2:21" x14ac:dyDescent="0.25">
      <c r="B136" s="1187" t="s">
        <v>762</v>
      </c>
      <c r="C136" s="1187">
        <v>1014</v>
      </c>
      <c r="D136" s="976" t="s">
        <v>1009</v>
      </c>
      <c r="E136" s="976" t="s">
        <v>229</v>
      </c>
      <c r="F136" s="1108">
        <v>29150000</v>
      </c>
      <c r="G136" s="974"/>
      <c r="H136" s="1115">
        <v>29150000</v>
      </c>
      <c r="I136" s="974"/>
      <c r="J136" s="975"/>
      <c r="K136" s="974"/>
      <c r="L136" s="974">
        <f t="shared" si="9"/>
        <v>29150000</v>
      </c>
      <c r="M136" s="991" t="e">
        <f>IF(G136="",F136-L136-#REF!,G136-L136-#REF!)</f>
        <v>#REF!</v>
      </c>
      <c r="N136" s="1013">
        <f t="shared" si="7"/>
        <v>0</v>
      </c>
      <c r="O136" s="976"/>
      <c r="P136" s="977"/>
      <c r="Q136" s="974"/>
      <c r="R136" s="1147"/>
      <c r="S136" s="974"/>
      <c r="T136" s="976"/>
      <c r="U136" s="693" t="s">
        <v>943</v>
      </c>
    </row>
    <row r="137" spans="2:21" x14ac:dyDescent="0.25">
      <c r="B137" s="1187" t="s">
        <v>762</v>
      </c>
      <c r="C137" s="1187">
        <v>1014</v>
      </c>
      <c r="D137" s="976" t="s">
        <v>1010</v>
      </c>
      <c r="E137" s="976" t="s">
        <v>1011</v>
      </c>
      <c r="F137" s="1108">
        <v>10000000</v>
      </c>
      <c r="G137" s="974">
        <v>11848000</v>
      </c>
      <c r="H137" s="1115">
        <v>7724000</v>
      </c>
      <c r="I137" s="974">
        <v>2276000</v>
      </c>
      <c r="J137" s="975">
        <v>1848000</v>
      </c>
      <c r="K137" s="974"/>
      <c r="L137" s="974">
        <f t="shared" si="9"/>
        <v>11848000</v>
      </c>
      <c r="M137" s="991" t="e">
        <f>IF(G137="",F137-L137-#REF!,G137-L137-#REF!)</f>
        <v>#REF!</v>
      </c>
      <c r="N137" s="1013">
        <f t="shared" si="7"/>
        <v>0</v>
      </c>
      <c r="O137" s="976"/>
      <c r="P137" s="977"/>
      <c r="Q137" s="974"/>
      <c r="R137" s="1147"/>
      <c r="S137" s="974"/>
      <c r="T137" s="976"/>
      <c r="U137" s="693"/>
    </row>
    <row r="138" spans="2:21" x14ac:dyDescent="0.25">
      <c r="B138" s="1187" t="s">
        <v>762</v>
      </c>
      <c r="C138" s="1187">
        <v>1014</v>
      </c>
      <c r="D138" s="976" t="s">
        <v>945</v>
      </c>
      <c r="E138" s="976" t="s">
        <v>1012</v>
      </c>
      <c r="F138" s="1108">
        <v>1500000</v>
      </c>
      <c r="G138" s="974"/>
      <c r="H138" s="1115">
        <v>1500000</v>
      </c>
      <c r="I138" s="974"/>
      <c r="J138" s="975"/>
      <c r="K138" s="974"/>
      <c r="L138" s="974">
        <f t="shared" si="9"/>
        <v>1500000</v>
      </c>
      <c r="M138" s="991" t="e">
        <f>IF(G138="",F138-L138-#REF!,G138-L138-#REF!)</f>
        <v>#REF!</v>
      </c>
      <c r="N138" s="1013">
        <f t="shared" si="7"/>
        <v>0</v>
      </c>
      <c r="O138" s="976"/>
      <c r="P138" s="977"/>
      <c r="Q138" s="974"/>
      <c r="R138" s="1147"/>
      <c r="S138" s="974"/>
      <c r="T138" s="976"/>
      <c r="U138" s="693"/>
    </row>
    <row r="139" spans="2:21" x14ac:dyDescent="0.25">
      <c r="B139" s="1187" t="s">
        <v>762</v>
      </c>
      <c r="C139" s="1187">
        <v>1014</v>
      </c>
      <c r="D139" s="976" t="s">
        <v>1013</v>
      </c>
      <c r="E139" s="976" t="s">
        <v>251</v>
      </c>
      <c r="F139" s="1108">
        <v>3753600</v>
      </c>
      <c r="G139" s="974"/>
      <c r="H139" s="1115">
        <v>3753600</v>
      </c>
      <c r="I139" s="974"/>
      <c r="J139" s="975"/>
      <c r="K139" s="974"/>
      <c r="L139" s="974">
        <f t="shared" si="9"/>
        <v>3753600</v>
      </c>
      <c r="M139" s="991" t="e">
        <f>IF(G139="",F139-L139-#REF!,G139-L139-#REF!)</f>
        <v>#REF!</v>
      </c>
      <c r="N139" s="1013">
        <f t="shared" si="7"/>
        <v>0</v>
      </c>
      <c r="O139" s="976"/>
      <c r="P139" s="977"/>
      <c r="Q139" s="974"/>
      <c r="R139" s="1147"/>
      <c r="S139" s="974"/>
      <c r="T139" s="976"/>
      <c r="U139" s="693"/>
    </row>
    <row r="140" spans="2:21" x14ac:dyDescent="0.25">
      <c r="B140" s="1187" t="s">
        <v>762</v>
      </c>
      <c r="C140" s="1187">
        <v>1014</v>
      </c>
      <c r="D140" s="976" t="s">
        <v>264</v>
      </c>
      <c r="E140" s="976" t="s">
        <v>704</v>
      </c>
      <c r="F140" s="1108">
        <v>17670000</v>
      </c>
      <c r="G140" s="974"/>
      <c r="H140" s="1115">
        <v>17670000</v>
      </c>
      <c r="I140" s="974"/>
      <c r="J140" s="975"/>
      <c r="K140" s="974"/>
      <c r="L140" s="974">
        <f t="shared" si="9"/>
        <v>17670000</v>
      </c>
      <c r="M140" s="991" t="e">
        <f>IF(G140="",F140-L140-#REF!,G140-L140-#REF!)</f>
        <v>#REF!</v>
      </c>
      <c r="N140" s="1013">
        <f t="shared" si="7"/>
        <v>0</v>
      </c>
      <c r="O140" s="976"/>
      <c r="P140" s="977"/>
      <c r="Q140" s="974"/>
      <c r="R140" s="1147"/>
      <c r="S140" s="974"/>
      <c r="T140" s="976"/>
      <c r="U140" s="693"/>
    </row>
    <row r="141" spans="2:21" x14ac:dyDescent="0.25">
      <c r="B141" s="1187" t="s">
        <v>762</v>
      </c>
      <c r="C141" s="1187">
        <v>1014</v>
      </c>
      <c r="D141" s="976" t="s">
        <v>1014</v>
      </c>
      <c r="E141" s="976" t="s">
        <v>980</v>
      </c>
      <c r="F141" s="1108">
        <v>3000000</v>
      </c>
      <c r="G141" s="974"/>
      <c r="H141" s="1115">
        <v>3000000</v>
      </c>
      <c r="I141" s="974"/>
      <c r="J141" s="975"/>
      <c r="K141" s="974"/>
      <c r="L141" s="974">
        <f t="shared" si="9"/>
        <v>3000000</v>
      </c>
      <c r="M141" s="991" t="e">
        <f>IF(G141="",F141-L141-#REF!,G141-L141-#REF!)</f>
        <v>#REF!</v>
      </c>
      <c r="N141" s="1013">
        <f t="shared" si="7"/>
        <v>0</v>
      </c>
      <c r="O141" s="976"/>
      <c r="P141" s="977"/>
      <c r="Q141" s="974"/>
      <c r="R141" s="1147"/>
      <c r="S141" s="974"/>
      <c r="T141" s="976"/>
      <c r="U141" s="693"/>
    </row>
    <row r="142" spans="2:21" x14ac:dyDescent="0.25">
      <c r="B142" s="1187" t="s">
        <v>762</v>
      </c>
      <c r="C142" s="1187">
        <v>1014</v>
      </c>
      <c r="D142" s="976" t="s">
        <v>215</v>
      </c>
      <c r="E142" s="976" t="s">
        <v>216</v>
      </c>
      <c r="F142" s="974">
        <v>34693395</v>
      </c>
      <c r="G142" s="974"/>
      <c r="H142" s="974">
        <v>34693395</v>
      </c>
      <c r="I142" s="974"/>
      <c r="J142" s="975"/>
      <c r="K142" s="974"/>
      <c r="L142" s="974">
        <f t="shared" si="9"/>
        <v>34693395</v>
      </c>
      <c r="M142" s="991" t="e">
        <f>IF(G142="",F142-L142-#REF!,G142-L142-#REF!)</f>
        <v>#REF!</v>
      </c>
      <c r="N142" s="1013">
        <f t="shared" si="7"/>
        <v>0</v>
      </c>
      <c r="O142" s="976"/>
      <c r="P142" s="977"/>
      <c r="Q142" s="974"/>
      <c r="R142" s="1147"/>
      <c r="S142" s="974"/>
      <c r="T142" s="976"/>
      <c r="U142" s="693"/>
    </row>
    <row r="143" spans="2:21" x14ac:dyDescent="0.25">
      <c r="B143" s="1187" t="s">
        <v>762</v>
      </c>
      <c r="C143" s="1187">
        <v>1014</v>
      </c>
      <c r="D143" s="976" t="s">
        <v>1222</v>
      </c>
      <c r="E143" s="976" t="s">
        <v>1223</v>
      </c>
      <c r="F143" s="974">
        <v>23500000</v>
      </c>
      <c r="G143" s="974">
        <v>9400000</v>
      </c>
      <c r="H143" s="974">
        <v>23500000</v>
      </c>
      <c r="I143" s="974"/>
      <c r="J143" s="975"/>
      <c r="K143" s="974"/>
      <c r="L143" s="974">
        <f t="shared" si="9"/>
        <v>23500000</v>
      </c>
      <c r="M143" s="991"/>
      <c r="N143" s="1013">
        <f t="shared" si="7"/>
        <v>-14100000</v>
      </c>
      <c r="O143" s="976"/>
      <c r="P143" s="977"/>
      <c r="Q143" s="974"/>
      <c r="R143" s="1147"/>
      <c r="S143" s="974"/>
      <c r="T143" s="976" t="s">
        <v>1224</v>
      </c>
      <c r="U143" s="693"/>
    </row>
    <row r="144" spans="2:21" x14ac:dyDescent="0.25">
      <c r="B144" s="1187" t="s">
        <v>762</v>
      </c>
      <c r="C144" s="1187">
        <v>1014</v>
      </c>
      <c r="D144" s="976" t="s">
        <v>1225</v>
      </c>
      <c r="E144" s="976" t="s">
        <v>341</v>
      </c>
      <c r="F144" s="974">
        <v>500000</v>
      </c>
      <c r="G144" s="974"/>
      <c r="H144" s="974">
        <v>500000</v>
      </c>
      <c r="I144" s="974"/>
      <c r="J144" s="975"/>
      <c r="K144" s="974"/>
      <c r="L144" s="974">
        <f t="shared" si="9"/>
        <v>500000</v>
      </c>
      <c r="M144" s="991"/>
      <c r="N144" s="1013">
        <f t="shared" si="7"/>
        <v>0</v>
      </c>
      <c r="O144" s="976"/>
      <c r="P144" s="977"/>
      <c r="Q144" s="974"/>
      <c r="R144" s="1147"/>
      <c r="S144" s="974"/>
      <c r="T144" s="976"/>
      <c r="U144" s="693"/>
    </row>
    <row r="145" spans="1:25" x14ac:dyDescent="0.25">
      <c r="B145" s="1187" t="s">
        <v>762</v>
      </c>
      <c r="C145" s="1187">
        <v>1014</v>
      </c>
      <c r="D145" s="976" t="s">
        <v>1195</v>
      </c>
      <c r="E145" s="976" t="s">
        <v>668</v>
      </c>
      <c r="F145" s="974">
        <v>5000000</v>
      </c>
      <c r="G145" s="974">
        <v>4937600</v>
      </c>
      <c r="H145" s="974">
        <v>5000000</v>
      </c>
      <c r="I145" s="974"/>
      <c r="J145" s="975"/>
      <c r="K145" s="974"/>
      <c r="L145" s="974">
        <f t="shared" si="9"/>
        <v>5000000</v>
      </c>
      <c r="M145" s="991"/>
      <c r="N145" s="1013">
        <f t="shared" si="7"/>
        <v>-62400</v>
      </c>
      <c r="O145" s="976"/>
      <c r="P145" s="977"/>
      <c r="Q145" s="974"/>
      <c r="R145" s="1147"/>
      <c r="S145" s="974"/>
      <c r="T145" s="976"/>
      <c r="U145" s="693"/>
    </row>
    <row r="146" spans="1:25" x14ac:dyDescent="0.25">
      <c r="B146" s="1187" t="s">
        <v>762</v>
      </c>
      <c r="C146" s="1187">
        <v>1014</v>
      </c>
      <c r="D146" s="976" t="s">
        <v>947</v>
      </c>
      <c r="E146" s="976"/>
      <c r="F146" s="973">
        <v>34202000</v>
      </c>
      <c r="G146" s="974"/>
      <c r="H146" s="974">
        <f>W146</f>
        <v>34202000</v>
      </c>
      <c r="I146" s="974"/>
      <c r="J146" s="975"/>
      <c r="K146" s="974"/>
      <c r="L146" s="974">
        <f t="shared" si="9"/>
        <v>34202000</v>
      </c>
      <c r="M146" s="991" t="e">
        <f>IF(G146="",F146-L146-#REF!,G146-L146-#REF!)</f>
        <v>#REF!</v>
      </c>
      <c r="N146" s="1013">
        <f t="shared" si="7"/>
        <v>0</v>
      </c>
      <c r="O146" s="976"/>
      <c r="P146" s="977"/>
      <c r="Q146" s="974"/>
      <c r="R146" s="1147"/>
      <c r="S146" s="974"/>
      <c r="T146" s="976"/>
      <c r="U146" s="693"/>
      <c r="V146" s="687" t="s">
        <v>948</v>
      </c>
      <c r="W146" s="687">
        <f>SUM(W113:W135)</f>
        <v>34202000</v>
      </c>
    </row>
    <row r="147" spans="1:25" s="723" customFormat="1" ht="15.75" x14ac:dyDescent="0.25">
      <c r="B147" s="720" t="s">
        <v>949</v>
      </c>
      <c r="C147" s="720"/>
      <c r="D147" s="699" t="s">
        <v>762</v>
      </c>
      <c r="E147" s="700"/>
      <c r="F147" s="724"/>
      <c r="G147" s="702"/>
      <c r="H147" s="701"/>
      <c r="I147" s="702"/>
      <c r="J147" s="726"/>
      <c r="K147" s="702"/>
      <c r="L147" s="707">
        <f>SUM(L112:L146)</f>
        <v>1082015098</v>
      </c>
      <c r="M147" s="707" t="e">
        <f>SUM(M112:M146)</f>
        <v>#REF!</v>
      </c>
      <c r="N147" s="869">
        <f>SUM(N112:N146)</f>
        <v>40968309</v>
      </c>
      <c r="O147" s="700"/>
      <c r="P147" s="704"/>
      <c r="Q147" s="742"/>
      <c r="R147" s="1148"/>
      <c r="S147" s="742"/>
      <c r="T147" s="705"/>
      <c r="U147" s="706"/>
      <c r="V147" s="722"/>
      <c r="W147" s="722"/>
      <c r="X147" s="722"/>
      <c r="Y147" s="722"/>
    </row>
    <row r="148" spans="1:25" x14ac:dyDescent="0.25">
      <c r="A148" s="686">
        <v>7</v>
      </c>
      <c r="B148" s="1117" t="s">
        <v>781</v>
      </c>
      <c r="C148" s="1117"/>
      <c r="D148" s="976" t="s">
        <v>340</v>
      </c>
      <c r="E148" s="976" t="s">
        <v>341</v>
      </c>
      <c r="F148" s="973">
        <v>500000</v>
      </c>
      <c r="G148" s="974"/>
      <c r="H148" s="974">
        <v>500000</v>
      </c>
      <c r="I148" s="974"/>
      <c r="J148" s="975"/>
      <c r="K148" s="974"/>
      <c r="L148" s="974">
        <f>SUM(H148:K148)</f>
        <v>500000</v>
      </c>
      <c r="M148" s="991" t="e">
        <f>IF(G148="",F148-L148-#REF!,G148-L148-#REF!)</f>
        <v>#REF!</v>
      </c>
      <c r="N148" s="1013">
        <f t="shared" si="7"/>
        <v>0</v>
      </c>
      <c r="O148" s="976"/>
      <c r="P148" s="977"/>
      <c r="Q148" s="974"/>
      <c r="R148" s="1147"/>
      <c r="S148" s="974"/>
      <c r="T148" s="976"/>
      <c r="U148" s="690"/>
      <c r="V148" s="687" t="s">
        <v>1015</v>
      </c>
    </row>
    <row r="149" spans="1:25" x14ac:dyDescent="0.25">
      <c r="B149" s="1187" t="s">
        <v>781</v>
      </c>
      <c r="C149" s="1187"/>
      <c r="D149" s="976" t="s">
        <v>99</v>
      </c>
      <c r="E149" s="976" t="s">
        <v>100</v>
      </c>
      <c r="F149" s="973">
        <v>14800000</v>
      </c>
      <c r="G149" s="974"/>
      <c r="H149" s="974">
        <v>14800000</v>
      </c>
      <c r="I149" s="974"/>
      <c r="J149" s="975"/>
      <c r="K149" s="974"/>
      <c r="L149" s="974">
        <f>SUM(H149:K149)</f>
        <v>14800000</v>
      </c>
      <c r="M149" s="991" t="e">
        <f>IF(G149="",F149-L149-#REF!,G149-L149-#REF!)</f>
        <v>#REF!</v>
      </c>
      <c r="N149" s="1013">
        <f t="shared" si="7"/>
        <v>0</v>
      </c>
      <c r="O149" s="976"/>
      <c r="P149" s="977"/>
      <c r="Q149" s="974"/>
      <c r="R149" s="1147"/>
      <c r="S149" s="974"/>
      <c r="T149" s="976"/>
      <c r="U149" s="693" t="s">
        <v>943</v>
      </c>
      <c r="V149" s="687" t="s">
        <v>565</v>
      </c>
      <c r="W149" s="687">
        <v>1350000</v>
      </c>
    </row>
    <row r="150" spans="1:25" x14ac:dyDescent="0.25">
      <c r="B150" s="1187" t="s">
        <v>781</v>
      </c>
      <c r="C150" s="1187"/>
      <c r="D150" s="976" t="s">
        <v>118</v>
      </c>
      <c r="E150" s="976" t="s">
        <v>301</v>
      </c>
      <c r="F150" s="973">
        <v>1259000</v>
      </c>
      <c r="G150" s="974"/>
      <c r="H150" s="974">
        <v>1259000</v>
      </c>
      <c r="I150" s="974"/>
      <c r="J150" s="975"/>
      <c r="K150" s="974"/>
      <c r="L150" s="974">
        <f>SUM(H150:K150)</f>
        <v>1259000</v>
      </c>
      <c r="M150" s="991" t="e">
        <f>IF(G150="",F150-L150-#REF!,G150-L150-#REF!)</f>
        <v>#REF!</v>
      </c>
      <c r="N150" s="1013">
        <f>IF($G150="",($F150-$L150),($G150-$L150))</f>
        <v>0</v>
      </c>
      <c r="O150" s="976"/>
      <c r="P150" s="977"/>
      <c r="Q150" s="974"/>
      <c r="R150" s="1147"/>
      <c r="S150" s="974"/>
      <c r="T150" s="976"/>
      <c r="U150" s="693"/>
      <c r="V150" s="687" t="s">
        <v>1016</v>
      </c>
      <c r="W150" s="687">
        <v>250000</v>
      </c>
    </row>
    <row r="151" spans="1:25" x14ac:dyDescent="0.25">
      <c r="B151" s="1187" t="s">
        <v>781</v>
      </c>
      <c r="C151" s="1187"/>
      <c r="D151" s="976" t="s">
        <v>947</v>
      </c>
      <c r="E151" s="976"/>
      <c r="F151" s="973">
        <v>1600000</v>
      </c>
      <c r="G151" s="974"/>
      <c r="H151" s="974">
        <f>W151</f>
        <v>1600000</v>
      </c>
      <c r="I151" s="974"/>
      <c r="J151" s="975"/>
      <c r="K151" s="974"/>
      <c r="L151" s="974">
        <f>SUM(H151:K151)</f>
        <v>1600000</v>
      </c>
      <c r="M151" s="991" t="e">
        <f>IF(G151="",F151-L151-#REF!,G151-L151-#REF!)</f>
        <v>#REF!</v>
      </c>
      <c r="N151" s="1013">
        <f>IF($G151="",($F151-$L151),($G151-$L151))</f>
        <v>0</v>
      </c>
      <c r="O151" s="976"/>
      <c r="P151" s="977"/>
      <c r="Q151" s="974"/>
      <c r="R151" s="1147"/>
      <c r="S151" s="974"/>
      <c r="T151" s="976"/>
      <c r="U151" s="693"/>
      <c r="V151" s="687" t="s">
        <v>948</v>
      </c>
      <c r="W151" s="687">
        <f>SUM(W148:W150)</f>
        <v>1600000</v>
      </c>
    </row>
    <row r="152" spans="1:25" s="723" customFormat="1" ht="15.75" x14ac:dyDescent="0.25">
      <c r="B152" s="720" t="s">
        <v>949</v>
      </c>
      <c r="C152" s="720"/>
      <c r="D152" s="699" t="s">
        <v>781</v>
      </c>
      <c r="E152" s="700"/>
      <c r="F152" s="724"/>
      <c r="G152" s="702"/>
      <c r="H152" s="701"/>
      <c r="I152" s="702"/>
      <c r="J152" s="726"/>
      <c r="K152" s="702"/>
      <c r="L152" s="707">
        <f>SUM(L148:L151)</f>
        <v>18159000</v>
      </c>
      <c r="M152" s="707" t="e">
        <f>SUM(M148:M151)</f>
        <v>#REF!</v>
      </c>
      <c r="N152" s="869">
        <f>SUM(N148:N151)</f>
        <v>0</v>
      </c>
      <c r="O152" s="700"/>
      <c r="P152" s="704"/>
      <c r="Q152" s="742"/>
      <c r="R152" s="1148"/>
      <c r="S152" s="742"/>
      <c r="T152" s="705"/>
      <c r="U152" s="706"/>
      <c r="V152" s="722"/>
      <c r="W152" s="722"/>
      <c r="X152" s="722"/>
      <c r="Y152" s="722"/>
    </row>
    <row r="153" spans="1:25" x14ac:dyDescent="0.25">
      <c r="A153" s="686">
        <v>8</v>
      </c>
      <c r="B153" s="1187" t="s">
        <v>1017</v>
      </c>
      <c r="C153" s="1187">
        <v>1003</v>
      </c>
      <c r="D153" s="976" t="s">
        <v>31</v>
      </c>
      <c r="E153" s="976" t="s">
        <v>168</v>
      </c>
      <c r="F153" s="973">
        <v>72650000</v>
      </c>
      <c r="G153" s="974">
        <v>86709000</v>
      </c>
      <c r="H153" s="974">
        <v>21795000</v>
      </c>
      <c r="I153" s="974">
        <v>29060000</v>
      </c>
      <c r="J153" s="975">
        <v>35854000</v>
      </c>
      <c r="K153" s="974"/>
      <c r="L153" s="974">
        <f>SUM(H153:K153)</f>
        <v>86709000</v>
      </c>
      <c r="M153" s="991" t="e">
        <f>IF(G153="",F153-L153-#REF!,G153-L153-#REF!)</f>
        <v>#REF!</v>
      </c>
      <c r="N153" s="1013">
        <f t="shared" ref="N153:N219" si="10">IF($G153="",($F153-$L153),($G153-$L153))</f>
        <v>0</v>
      </c>
      <c r="O153" s="976"/>
      <c r="P153" s="977"/>
      <c r="Q153" s="974"/>
      <c r="R153" s="1147"/>
      <c r="S153" s="974"/>
      <c r="T153" s="976"/>
      <c r="U153" s="690"/>
      <c r="V153" s="687" t="s">
        <v>783</v>
      </c>
    </row>
    <row r="154" spans="1:25" x14ac:dyDescent="0.25">
      <c r="B154" s="1187" t="s">
        <v>1017</v>
      </c>
      <c r="C154" s="1187">
        <v>1003</v>
      </c>
      <c r="D154" s="976" t="s">
        <v>492</v>
      </c>
      <c r="E154" s="976" t="s">
        <v>784</v>
      </c>
      <c r="F154" s="973">
        <v>174999000</v>
      </c>
      <c r="G154" s="974">
        <v>174999000</v>
      </c>
      <c r="H154" s="974">
        <v>122499300</v>
      </c>
      <c r="I154" s="974">
        <v>52499700</v>
      </c>
      <c r="J154" s="975"/>
      <c r="K154" s="974"/>
      <c r="L154" s="974">
        <f t="shared" ref="L154:L188" si="11">SUM(H154:K154)</f>
        <v>174999000</v>
      </c>
      <c r="M154" s="991" t="e">
        <f>IF(G154="",F154-L154-#REF!,G154-L154-#REF!)</f>
        <v>#REF!</v>
      </c>
      <c r="N154" s="1013">
        <f t="shared" si="10"/>
        <v>0</v>
      </c>
      <c r="O154" s="976"/>
      <c r="P154" s="977"/>
      <c r="Q154" s="974"/>
      <c r="R154" s="1147"/>
      <c r="S154" s="974"/>
      <c r="T154" s="976"/>
      <c r="U154" s="693" t="s">
        <v>943</v>
      </c>
      <c r="V154" s="687" t="s">
        <v>1018</v>
      </c>
      <c r="W154" s="687">
        <v>465000</v>
      </c>
    </row>
    <row r="155" spans="1:25" x14ac:dyDescent="0.25">
      <c r="B155" s="1187" t="s">
        <v>1017</v>
      </c>
      <c r="C155" s="1187">
        <v>1003</v>
      </c>
      <c r="D155" s="976" t="s">
        <v>257</v>
      </c>
      <c r="E155" s="976" t="s">
        <v>286</v>
      </c>
      <c r="F155" s="973"/>
      <c r="G155" s="974">
        <v>15068277</v>
      </c>
      <c r="H155" s="974">
        <v>15068277</v>
      </c>
      <c r="I155" s="974"/>
      <c r="J155" s="975"/>
      <c r="K155" s="974"/>
      <c r="L155" s="974">
        <f t="shared" si="11"/>
        <v>15068277</v>
      </c>
      <c r="M155" s="991" t="e">
        <f>IF(G155="",F155-L155-#REF!,G155-L155-#REF!)</f>
        <v>#REF!</v>
      </c>
      <c r="N155" s="1013">
        <f t="shared" si="10"/>
        <v>0</v>
      </c>
      <c r="O155" s="976"/>
      <c r="P155" s="977"/>
      <c r="Q155" s="974"/>
      <c r="R155" s="1147"/>
      <c r="S155" s="974"/>
      <c r="T155" s="976"/>
      <c r="U155" s="693"/>
      <c r="V155" s="687" t="s">
        <v>1019</v>
      </c>
      <c r="W155" s="687">
        <v>2100000</v>
      </c>
    </row>
    <row r="156" spans="1:25" x14ac:dyDescent="0.25">
      <c r="B156" s="1187" t="s">
        <v>1017</v>
      </c>
      <c r="C156" s="1187">
        <v>1003</v>
      </c>
      <c r="D156" s="976" t="s">
        <v>257</v>
      </c>
      <c r="E156" s="976" t="s">
        <v>286</v>
      </c>
      <c r="F156" s="973">
        <v>5000000</v>
      </c>
      <c r="G156" s="974">
        <v>4635000</v>
      </c>
      <c r="H156" s="974">
        <v>5000000</v>
      </c>
      <c r="I156" s="974"/>
      <c r="J156" s="975"/>
      <c r="K156" s="974"/>
      <c r="L156" s="974">
        <f t="shared" si="11"/>
        <v>5000000</v>
      </c>
      <c r="M156" s="991"/>
      <c r="N156" s="1013">
        <f t="shared" si="10"/>
        <v>-365000</v>
      </c>
      <c r="O156" s="976"/>
      <c r="P156" s="977"/>
      <c r="Q156" s="974"/>
      <c r="R156" s="1147"/>
      <c r="S156" s="974"/>
      <c r="T156" s="976"/>
      <c r="U156" s="693"/>
    </row>
    <row r="157" spans="1:25" x14ac:dyDescent="0.25">
      <c r="B157" s="1187" t="s">
        <v>1017</v>
      </c>
      <c r="C157" s="1187">
        <v>1003</v>
      </c>
      <c r="D157" s="976" t="s">
        <v>691</v>
      </c>
      <c r="E157" s="976"/>
      <c r="F157" s="973">
        <v>41434195</v>
      </c>
      <c r="G157" s="974"/>
      <c r="H157" s="974">
        <f>F157/2</f>
        <v>20717097.5</v>
      </c>
      <c r="I157" s="974"/>
      <c r="J157" s="975"/>
      <c r="K157" s="974"/>
      <c r="L157" s="974">
        <f t="shared" si="11"/>
        <v>20717097.5</v>
      </c>
      <c r="M157" s="991" t="e">
        <f>IF(G157="",F157-L157-#REF!,G157-L157-#REF!)</f>
        <v>#REF!</v>
      </c>
      <c r="N157" s="1013">
        <f t="shared" si="10"/>
        <v>20717097.5</v>
      </c>
      <c r="O157" s="976"/>
      <c r="P157" s="977"/>
      <c r="Q157" s="974"/>
      <c r="R157" s="1147"/>
      <c r="S157" s="974"/>
      <c r="T157" s="976"/>
      <c r="U157" s="693"/>
      <c r="V157" s="687" t="s">
        <v>1016</v>
      </c>
      <c r="W157" s="687">
        <v>2237500</v>
      </c>
    </row>
    <row r="158" spans="1:25" x14ac:dyDescent="0.25">
      <c r="B158" s="1187" t="s">
        <v>1017</v>
      </c>
      <c r="C158" s="1187">
        <v>1003</v>
      </c>
      <c r="D158" s="976" t="s">
        <v>785</v>
      </c>
      <c r="E158" s="976"/>
      <c r="F158" s="1108">
        <f>L158</f>
        <v>10000000</v>
      </c>
      <c r="G158" s="974"/>
      <c r="H158" s="974">
        <v>5000000</v>
      </c>
      <c r="I158" s="974">
        <v>5000000</v>
      </c>
      <c r="J158" s="975"/>
      <c r="K158" s="974"/>
      <c r="L158" s="974">
        <f t="shared" si="11"/>
        <v>10000000</v>
      </c>
      <c r="M158" s="991" t="e">
        <f>IF(G158="",F158-L158-#REF!,G158-L158-#REF!)</f>
        <v>#REF!</v>
      </c>
      <c r="N158" s="1013">
        <f t="shared" si="10"/>
        <v>0</v>
      </c>
      <c r="O158" s="976"/>
      <c r="P158" s="977"/>
      <c r="Q158" s="974"/>
      <c r="R158" s="1147"/>
      <c r="S158" s="974"/>
      <c r="T158" s="976"/>
      <c r="U158" s="693"/>
      <c r="V158" s="687" t="s">
        <v>1020</v>
      </c>
      <c r="W158" s="687">
        <v>1036000</v>
      </c>
    </row>
    <row r="159" spans="1:25" x14ac:dyDescent="0.25">
      <c r="B159" s="1187" t="s">
        <v>1017</v>
      </c>
      <c r="C159" s="1187">
        <v>1003</v>
      </c>
      <c r="D159" s="976" t="s">
        <v>34</v>
      </c>
      <c r="E159" s="976" t="s">
        <v>204</v>
      </c>
      <c r="F159" s="973">
        <v>146799840</v>
      </c>
      <c r="G159" s="974">
        <v>150106000</v>
      </c>
      <c r="H159" s="974">
        <v>40036320</v>
      </c>
      <c r="I159" s="974">
        <v>53381760</v>
      </c>
      <c r="J159" s="975">
        <v>56687920</v>
      </c>
      <c r="K159" s="974"/>
      <c r="L159" s="974">
        <f t="shared" si="11"/>
        <v>150106000</v>
      </c>
      <c r="M159" s="991" t="e">
        <f>IF(G159="",F159-L159-#REF!,G159-L159-#REF!)</f>
        <v>#REF!</v>
      </c>
      <c r="N159" s="1013">
        <f t="shared" si="10"/>
        <v>0</v>
      </c>
      <c r="O159" s="976" t="s">
        <v>768</v>
      </c>
      <c r="P159" s="977">
        <v>43913</v>
      </c>
      <c r="Q159" s="974"/>
      <c r="R159" s="1147"/>
      <c r="S159" s="974"/>
      <c r="T159" s="976"/>
      <c r="U159" s="693" t="s">
        <v>943</v>
      </c>
      <c r="V159" s="687" t="s">
        <v>1021</v>
      </c>
      <c r="W159" s="687">
        <v>1826000</v>
      </c>
    </row>
    <row r="160" spans="1:25" x14ac:dyDescent="0.25">
      <c r="B160" s="1187" t="s">
        <v>1017</v>
      </c>
      <c r="C160" s="1187">
        <v>1003</v>
      </c>
      <c r="D160" s="976" t="s">
        <v>723</v>
      </c>
      <c r="E160" s="976" t="s">
        <v>352</v>
      </c>
      <c r="F160" s="973">
        <v>29119200</v>
      </c>
      <c r="G160" s="974">
        <v>29442523</v>
      </c>
      <c r="H160" s="974">
        <v>13236000</v>
      </c>
      <c r="I160" s="974">
        <v>16206523</v>
      </c>
      <c r="J160" s="975"/>
      <c r="K160" s="974"/>
      <c r="L160" s="974">
        <f t="shared" si="11"/>
        <v>29442523</v>
      </c>
      <c r="M160" s="991" t="e">
        <f>IF(G160="",F160-L160-#REF!,G160-L160-#REF!)</f>
        <v>#REF!</v>
      </c>
      <c r="N160" s="1013">
        <f t="shared" si="10"/>
        <v>0</v>
      </c>
      <c r="O160" s="976" t="s">
        <v>788</v>
      </c>
      <c r="P160" s="977">
        <v>43915</v>
      </c>
      <c r="Q160" s="974"/>
      <c r="R160" s="1147"/>
      <c r="S160" s="974"/>
      <c r="T160" s="976"/>
      <c r="U160" s="693" t="s">
        <v>943</v>
      </c>
      <c r="V160" s="687" t="s">
        <v>1005</v>
      </c>
      <c r="W160" s="687">
        <v>1630000</v>
      </c>
    </row>
    <row r="161" spans="2:21" x14ac:dyDescent="0.25">
      <c r="B161" s="1187" t="s">
        <v>1017</v>
      </c>
      <c r="C161" s="1187">
        <v>1003</v>
      </c>
      <c r="D161" s="976" t="s">
        <v>769</v>
      </c>
      <c r="E161" s="976" t="s">
        <v>229</v>
      </c>
      <c r="F161" s="973"/>
      <c r="G161" s="974">
        <v>39602750</v>
      </c>
      <c r="H161" s="974">
        <v>35553650</v>
      </c>
      <c r="I161" s="974">
        <v>4049100</v>
      </c>
      <c r="J161" s="975"/>
      <c r="K161" s="974"/>
      <c r="L161" s="974">
        <f t="shared" si="11"/>
        <v>39602750</v>
      </c>
      <c r="M161" s="991" t="e">
        <f>IF(G161="",F161-L161-#REF!,G161-L161-#REF!)</f>
        <v>#REF!</v>
      </c>
      <c r="N161" s="1013">
        <f t="shared" si="10"/>
        <v>0</v>
      </c>
      <c r="O161" s="976"/>
      <c r="P161" s="977"/>
      <c r="Q161" s="974"/>
      <c r="R161" s="1147"/>
      <c r="S161" s="974"/>
      <c r="T161" s="976"/>
      <c r="U161" s="693" t="s">
        <v>943</v>
      </c>
    </row>
    <row r="162" spans="2:21" x14ac:dyDescent="0.25">
      <c r="B162" s="1187" t="s">
        <v>1017</v>
      </c>
      <c r="C162" s="1187">
        <v>1003</v>
      </c>
      <c r="D162" s="976" t="s">
        <v>791</v>
      </c>
      <c r="E162" s="976" t="s">
        <v>104</v>
      </c>
      <c r="F162" s="973">
        <v>8000000</v>
      </c>
      <c r="G162" s="974"/>
      <c r="H162" s="974">
        <v>8000000</v>
      </c>
      <c r="I162" s="974"/>
      <c r="J162" s="975"/>
      <c r="K162" s="974"/>
      <c r="L162" s="974">
        <f t="shared" si="11"/>
        <v>8000000</v>
      </c>
      <c r="M162" s="991" t="e">
        <f>IF(G162="",F162-L162-#REF!,G162-L162-#REF!)</f>
        <v>#REF!</v>
      </c>
      <c r="N162" s="1013">
        <f t="shared" si="10"/>
        <v>0</v>
      </c>
      <c r="O162" s="976"/>
      <c r="P162" s="977"/>
      <c r="Q162" s="974"/>
      <c r="R162" s="1147"/>
      <c r="S162" s="974"/>
      <c r="T162" s="976"/>
      <c r="U162" s="693"/>
    </row>
    <row r="163" spans="2:21" x14ac:dyDescent="0.25">
      <c r="B163" s="1187" t="s">
        <v>1017</v>
      </c>
      <c r="C163" s="1187">
        <v>1003</v>
      </c>
      <c r="D163" s="976" t="s">
        <v>239</v>
      </c>
      <c r="E163" s="976" t="s">
        <v>792</v>
      </c>
      <c r="F163" s="973">
        <v>2860000</v>
      </c>
      <c r="G163" s="974"/>
      <c r="H163" s="974">
        <v>1100000</v>
      </c>
      <c r="I163" s="974">
        <v>1760000</v>
      </c>
      <c r="J163" s="975"/>
      <c r="K163" s="974"/>
      <c r="L163" s="974">
        <f t="shared" si="11"/>
        <v>2860000</v>
      </c>
      <c r="M163" s="991" t="e">
        <f>IF(G163="",F163-L163-#REF!,G163-L163-#REF!)</f>
        <v>#REF!</v>
      </c>
      <c r="N163" s="1013">
        <f t="shared" si="10"/>
        <v>0</v>
      </c>
      <c r="O163" s="976"/>
      <c r="P163" s="977"/>
      <c r="Q163" s="974"/>
      <c r="R163" s="1147"/>
      <c r="S163" s="974"/>
      <c r="T163" s="976"/>
      <c r="U163" s="693" t="s">
        <v>943</v>
      </c>
    </row>
    <row r="164" spans="2:21" x14ac:dyDescent="0.25">
      <c r="B164" s="1187" t="s">
        <v>1017</v>
      </c>
      <c r="C164" s="1187">
        <v>1003</v>
      </c>
      <c r="D164" s="976" t="s">
        <v>99</v>
      </c>
      <c r="E164" s="976" t="s">
        <v>100</v>
      </c>
      <c r="F164" s="973"/>
      <c r="G164" s="974">
        <v>299315000</v>
      </c>
      <c r="H164" s="974">
        <v>86594970</v>
      </c>
      <c r="I164" s="974">
        <v>115459960</v>
      </c>
      <c r="J164" s="975">
        <v>82295570</v>
      </c>
      <c r="K164" s="974"/>
      <c r="L164" s="974">
        <f t="shared" si="11"/>
        <v>284350500</v>
      </c>
      <c r="M164" s="991" t="e">
        <f>IF(G164="",F164-L164-#REF!,G164-L164-#REF!)</f>
        <v>#REF!</v>
      </c>
      <c r="N164" s="1013">
        <f t="shared" si="10"/>
        <v>14964500</v>
      </c>
      <c r="O164" s="976"/>
      <c r="P164" s="977"/>
      <c r="Q164" s="974"/>
      <c r="R164" s="1147"/>
      <c r="S164" s="974"/>
      <c r="T164" s="976"/>
      <c r="U164" s="693" t="s">
        <v>943</v>
      </c>
    </row>
    <row r="165" spans="2:21" x14ac:dyDescent="0.25">
      <c r="B165" s="1187" t="s">
        <v>1017</v>
      </c>
      <c r="C165" s="1187">
        <v>1003</v>
      </c>
      <c r="D165" s="976" t="s">
        <v>514</v>
      </c>
      <c r="E165" s="976" t="s">
        <v>114</v>
      </c>
      <c r="F165" s="973">
        <v>20082000</v>
      </c>
      <c r="G165" s="974"/>
      <c r="H165" s="974">
        <v>20082000</v>
      </c>
      <c r="I165" s="974"/>
      <c r="J165" s="975"/>
      <c r="K165" s="974"/>
      <c r="L165" s="974">
        <f t="shared" si="11"/>
        <v>20082000</v>
      </c>
      <c r="M165" s="991" t="e">
        <f>IF(G165="",F165-L165-#REF!,G165-L165-#REF!)</f>
        <v>#REF!</v>
      </c>
      <c r="N165" s="1013">
        <f t="shared" si="10"/>
        <v>0</v>
      </c>
      <c r="O165" s="976"/>
      <c r="P165" s="977"/>
      <c r="Q165" s="974"/>
      <c r="R165" s="1147"/>
      <c r="S165" s="974"/>
      <c r="T165" s="976"/>
      <c r="U165" s="693" t="s">
        <v>114</v>
      </c>
    </row>
    <row r="166" spans="2:21" x14ac:dyDescent="0.25">
      <c r="B166" s="1187" t="s">
        <v>1017</v>
      </c>
      <c r="C166" s="1187">
        <v>1003</v>
      </c>
      <c r="D166" s="976" t="s">
        <v>795</v>
      </c>
      <c r="E166" s="976"/>
      <c r="F166" s="973">
        <v>600000</v>
      </c>
      <c r="G166" s="974"/>
      <c r="H166" s="974">
        <v>600000</v>
      </c>
      <c r="I166" s="974"/>
      <c r="J166" s="975"/>
      <c r="K166" s="974"/>
      <c r="L166" s="974">
        <f t="shared" si="11"/>
        <v>600000</v>
      </c>
      <c r="M166" s="991" t="e">
        <f>IF(G166="",F166-L166-#REF!,G166-L166-#REF!)</f>
        <v>#REF!</v>
      </c>
      <c r="N166" s="1013">
        <f t="shared" si="10"/>
        <v>0</v>
      </c>
      <c r="O166" s="976"/>
      <c r="P166" s="977"/>
      <c r="Q166" s="974"/>
      <c r="R166" s="1147"/>
      <c r="S166" s="974"/>
      <c r="T166" s="976"/>
      <c r="U166" s="693"/>
    </row>
    <row r="167" spans="2:21" x14ac:dyDescent="0.25">
      <c r="B167" s="1187" t="s">
        <v>1017</v>
      </c>
      <c r="C167" s="1187">
        <v>1003</v>
      </c>
      <c r="D167" s="976" t="s">
        <v>515</v>
      </c>
      <c r="E167" s="976" t="s">
        <v>229</v>
      </c>
      <c r="F167" s="973">
        <v>35160000</v>
      </c>
      <c r="G167" s="974">
        <v>38936700</v>
      </c>
      <c r="H167" s="974">
        <v>19338000</v>
      </c>
      <c r="I167" s="974">
        <v>19598700</v>
      </c>
      <c r="J167" s="975"/>
      <c r="K167" s="974"/>
      <c r="L167" s="974">
        <f t="shared" si="11"/>
        <v>38936700</v>
      </c>
      <c r="M167" s="991" t="e">
        <f>IF(G167="",F167-L167-#REF!,G167-L167-#REF!)</f>
        <v>#REF!</v>
      </c>
      <c r="N167" s="1013">
        <f t="shared" si="10"/>
        <v>0</v>
      </c>
      <c r="O167" s="976" t="s">
        <v>797</v>
      </c>
      <c r="P167" s="977"/>
      <c r="Q167" s="974"/>
      <c r="R167" s="1147"/>
      <c r="S167" s="974"/>
      <c r="T167" s="976"/>
      <c r="U167" s="693" t="s">
        <v>943</v>
      </c>
    </row>
    <row r="168" spans="2:21" x14ac:dyDescent="0.25">
      <c r="B168" s="1187" t="s">
        <v>1017</v>
      </c>
      <c r="C168" s="1187">
        <v>1003</v>
      </c>
      <c r="D168" s="976" t="s">
        <v>798</v>
      </c>
      <c r="E168" s="976" t="s">
        <v>225</v>
      </c>
      <c r="F168" s="973">
        <v>1980000</v>
      </c>
      <c r="G168" s="974"/>
      <c r="H168" s="974">
        <v>980000</v>
      </c>
      <c r="I168" s="974">
        <v>1000000</v>
      </c>
      <c r="J168" s="975"/>
      <c r="K168" s="974"/>
      <c r="L168" s="974">
        <f t="shared" si="11"/>
        <v>1980000</v>
      </c>
      <c r="M168" s="991" t="e">
        <f>IF(G168="",F168-L168-#REF!,G168-L168-#REF!)</f>
        <v>#REF!</v>
      </c>
      <c r="N168" s="1013">
        <f t="shared" si="10"/>
        <v>0</v>
      </c>
      <c r="O168" s="976"/>
      <c r="P168" s="977"/>
      <c r="Q168" s="974"/>
      <c r="R168" s="1147"/>
      <c r="S168" s="974"/>
      <c r="T168" s="976"/>
      <c r="U168" s="693" t="s">
        <v>943</v>
      </c>
    </row>
    <row r="169" spans="2:21" x14ac:dyDescent="0.25">
      <c r="B169" s="1187" t="s">
        <v>1017</v>
      </c>
      <c r="C169" s="1187">
        <v>1003</v>
      </c>
      <c r="D169" s="976" t="s">
        <v>132</v>
      </c>
      <c r="E169" s="976" t="s">
        <v>799</v>
      </c>
      <c r="F169" s="973">
        <v>6770000</v>
      </c>
      <c r="G169" s="974"/>
      <c r="H169" s="974">
        <v>2031000</v>
      </c>
      <c r="I169" s="974"/>
      <c r="J169" s="975"/>
      <c r="K169" s="974"/>
      <c r="L169" s="974">
        <f t="shared" si="11"/>
        <v>2031000</v>
      </c>
      <c r="M169" s="991" t="e">
        <f>IF(G169="",F169-L169-#REF!,G169-L169-#REF!)</f>
        <v>#REF!</v>
      </c>
      <c r="N169" s="1013">
        <f t="shared" si="10"/>
        <v>4739000</v>
      </c>
      <c r="O169" s="976"/>
      <c r="P169" s="977"/>
      <c r="Q169" s="974"/>
      <c r="R169" s="1147"/>
      <c r="S169" s="974"/>
      <c r="T169" s="976"/>
      <c r="U169" s="693" t="s">
        <v>943</v>
      </c>
    </row>
    <row r="170" spans="2:21" x14ac:dyDescent="0.25">
      <c r="B170" s="1187" t="s">
        <v>1017</v>
      </c>
      <c r="C170" s="1187">
        <v>1003</v>
      </c>
      <c r="D170" s="976" t="s">
        <v>394</v>
      </c>
      <c r="E170" s="976" t="s">
        <v>162</v>
      </c>
      <c r="F170" s="973">
        <v>72800000</v>
      </c>
      <c r="G170" s="974">
        <v>76000000</v>
      </c>
      <c r="H170" s="974">
        <v>36400000</v>
      </c>
      <c r="I170" s="974">
        <v>39600000</v>
      </c>
      <c r="J170" s="975"/>
      <c r="K170" s="974"/>
      <c r="L170" s="974">
        <f t="shared" si="11"/>
        <v>76000000</v>
      </c>
      <c r="M170" s="991" t="e">
        <f>IF(G170="",F170-L170-#REF!,G170-L170-#REF!)</f>
        <v>#REF!</v>
      </c>
      <c r="N170" s="1013">
        <f t="shared" si="10"/>
        <v>0</v>
      </c>
      <c r="O170" s="976" t="s">
        <v>801</v>
      </c>
      <c r="P170" s="977">
        <v>43876</v>
      </c>
      <c r="Q170" s="974"/>
      <c r="R170" s="1147"/>
      <c r="S170" s="974"/>
      <c r="T170" s="976"/>
      <c r="U170" s="693"/>
    </row>
    <row r="171" spans="2:21" x14ac:dyDescent="0.25">
      <c r="B171" s="1187" t="s">
        <v>1017</v>
      </c>
      <c r="C171" s="1187">
        <v>1003</v>
      </c>
      <c r="D171" s="976" t="s">
        <v>692</v>
      </c>
      <c r="E171" s="976" t="s">
        <v>416</v>
      </c>
      <c r="F171" s="973">
        <v>1367329</v>
      </c>
      <c r="G171" s="974"/>
      <c r="H171" s="974">
        <v>1367329</v>
      </c>
      <c r="I171" s="974"/>
      <c r="J171" s="975"/>
      <c r="K171" s="974"/>
      <c r="L171" s="974">
        <f t="shared" si="11"/>
        <v>1367329</v>
      </c>
      <c r="M171" s="991" t="e">
        <f>IF(G171="",F171-L171-#REF!,G171-L171-#REF!)</f>
        <v>#REF!</v>
      </c>
      <c r="N171" s="1013">
        <f t="shared" si="10"/>
        <v>0</v>
      </c>
      <c r="O171" s="976"/>
      <c r="P171" s="977"/>
      <c r="Q171" s="974"/>
      <c r="R171" s="1147"/>
      <c r="S171" s="974"/>
      <c r="T171" s="976"/>
      <c r="U171" s="693" t="s">
        <v>943</v>
      </c>
    </row>
    <row r="172" spans="2:21" x14ac:dyDescent="0.25">
      <c r="B172" s="1187" t="s">
        <v>1017</v>
      </c>
      <c r="C172" s="1187">
        <v>1003</v>
      </c>
      <c r="D172" s="976" t="s">
        <v>172</v>
      </c>
      <c r="E172" s="976" t="s">
        <v>173</v>
      </c>
      <c r="F172" s="973">
        <v>18080000</v>
      </c>
      <c r="G172" s="974">
        <v>31760000</v>
      </c>
      <c r="H172" s="974">
        <v>5424000</v>
      </c>
      <c r="I172" s="974">
        <v>26336000</v>
      </c>
      <c r="J172" s="975"/>
      <c r="K172" s="974"/>
      <c r="L172" s="974">
        <f t="shared" si="11"/>
        <v>31760000</v>
      </c>
      <c r="M172" s="991" t="e">
        <f>IF(G172="",F172-L172-#REF!,G172-L172-#REF!)</f>
        <v>#REF!</v>
      </c>
      <c r="N172" s="1013">
        <f t="shared" si="10"/>
        <v>0</v>
      </c>
      <c r="O172" s="976"/>
      <c r="P172" s="977"/>
      <c r="Q172" s="974"/>
      <c r="R172" s="1147"/>
      <c r="S172" s="974"/>
      <c r="T172" s="976"/>
      <c r="U172" s="693"/>
    </row>
    <row r="173" spans="2:21" x14ac:dyDescent="0.25">
      <c r="B173" s="1187" t="s">
        <v>1017</v>
      </c>
      <c r="C173" s="1187">
        <v>1003</v>
      </c>
      <c r="D173" s="976" t="s">
        <v>107</v>
      </c>
      <c r="E173" s="976" t="s">
        <v>341</v>
      </c>
      <c r="F173" s="973">
        <v>34805000</v>
      </c>
      <c r="G173" s="974">
        <v>34450000</v>
      </c>
      <c r="H173" s="974">
        <v>10000000</v>
      </c>
      <c r="I173" s="974">
        <v>15000000</v>
      </c>
      <c r="J173" s="975">
        <v>9450000</v>
      </c>
      <c r="K173" s="974"/>
      <c r="L173" s="974">
        <f t="shared" si="11"/>
        <v>34450000</v>
      </c>
      <c r="M173" s="991" t="e">
        <f>IF(G173="",F173-L173-#REF!,G173-L173-#REF!)</f>
        <v>#REF!</v>
      </c>
      <c r="N173" s="1013">
        <f t="shared" si="10"/>
        <v>0</v>
      </c>
      <c r="O173" s="976"/>
      <c r="P173" s="977"/>
      <c r="Q173" s="974"/>
      <c r="R173" s="1147"/>
      <c r="S173" s="974"/>
      <c r="T173" s="976"/>
      <c r="U173" s="693"/>
    </row>
    <row r="174" spans="2:21" x14ac:dyDescent="0.25">
      <c r="B174" s="1187" t="s">
        <v>1017</v>
      </c>
      <c r="C174" s="1187">
        <v>1003</v>
      </c>
      <c r="D174" s="976" t="s">
        <v>79</v>
      </c>
      <c r="E174" s="976" t="s">
        <v>804</v>
      </c>
      <c r="F174" s="973">
        <v>9300000</v>
      </c>
      <c r="G174" s="974"/>
      <c r="H174" s="974">
        <v>4650000</v>
      </c>
      <c r="I174" s="974">
        <v>4650000</v>
      </c>
      <c r="J174" s="975"/>
      <c r="K174" s="974"/>
      <c r="L174" s="974">
        <f t="shared" si="11"/>
        <v>9300000</v>
      </c>
      <c r="M174" s="991" t="e">
        <f>IF(G174="",F174-L174-#REF!,G174-L174-#REF!)</f>
        <v>#REF!</v>
      </c>
      <c r="N174" s="1013">
        <f t="shared" si="10"/>
        <v>0</v>
      </c>
      <c r="O174" s="976"/>
      <c r="P174" s="977"/>
      <c r="Q174" s="974"/>
      <c r="R174" s="1147"/>
      <c r="S174" s="974"/>
      <c r="T174" s="976"/>
      <c r="U174" s="693"/>
    </row>
    <row r="175" spans="2:21" x14ac:dyDescent="0.25">
      <c r="B175" s="1187" t="s">
        <v>1017</v>
      </c>
      <c r="C175" s="1187">
        <v>1003</v>
      </c>
      <c r="D175" s="976" t="s">
        <v>84</v>
      </c>
      <c r="E175" s="976" t="s">
        <v>799</v>
      </c>
      <c r="F175" s="973">
        <v>12658000</v>
      </c>
      <c r="G175" s="974"/>
      <c r="H175" s="974">
        <v>12658000</v>
      </c>
      <c r="I175" s="974"/>
      <c r="J175" s="975"/>
      <c r="K175" s="974"/>
      <c r="L175" s="974">
        <f t="shared" si="11"/>
        <v>12658000</v>
      </c>
      <c r="M175" s="991" t="e">
        <f>IF(G175="",F175-L175-#REF!,G175-L175-#REF!)</f>
        <v>#REF!</v>
      </c>
      <c r="N175" s="1013">
        <f t="shared" si="10"/>
        <v>0</v>
      </c>
      <c r="O175" s="976"/>
      <c r="P175" s="977"/>
      <c r="Q175" s="974"/>
      <c r="R175" s="1147"/>
      <c r="S175" s="974"/>
      <c r="T175" s="976"/>
      <c r="U175" s="693" t="s">
        <v>943</v>
      </c>
    </row>
    <row r="176" spans="2:21" x14ac:dyDescent="0.25">
      <c r="B176" s="1187" t="s">
        <v>1017</v>
      </c>
      <c r="C176" s="1187">
        <v>1003</v>
      </c>
      <c r="D176" s="976" t="s">
        <v>175</v>
      </c>
      <c r="E176" s="976" t="s">
        <v>416</v>
      </c>
      <c r="F176" s="973">
        <v>1367329</v>
      </c>
      <c r="G176" s="974"/>
      <c r="H176" s="974">
        <v>1367329</v>
      </c>
      <c r="I176" s="974"/>
      <c r="J176" s="975"/>
      <c r="K176" s="974"/>
      <c r="L176" s="974">
        <f t="shared" si="11"/>
        <v>1367329</v>
      </c>
      <c r="M176" s="991" t="e">
        <f>IF(G176="",F176-L176-#REF!,G176-L176-#REF!)</f>
        <v>#REF!</v>
      </c>
      <c r="N176" s="1013">
        <f t="shared" si="10"/>
        <v>0</v>
      </c>
      <c r="O176" s="976"/>
      <c r="P176" s="977"/>
      <c r="Q176" s="974"/>
      <c r="R176" s="1147"/>
      <c r="S176" s="974"/>
      <c r="T176" s="976"/>
      <c r="U176" s="693" t="s">
        <v>943</v>
      </c>
    </row>
    <row r="177" spans="1:25" x14ac:dyDescent="0.25">
      <c r="B177" s="1187" t="s">
        <v>1017</v>
      </c>
      <c r="C177" s="1187">
        <v>1003</v>
      </c>
      <c r="D177" s="976" t="s">
        <v>167</v>
      </c>
      <c r="E177" s="976" t="s">
        <v>708</v>
      </c>
      <c r="F177" s="973">
        <v>2050000</v>
      </c>
      <c r="G177" s="974"/>
      <c r="H177" s="974">
        <v>2050000</v>
      </c>
      <c r="I177" s="974"/>
      <c r="J177" s="975"/>
      <c r="K177" s="974"/>
      <c r="L177" s="974">
        <f t="shared" si="11"/>
        <v>2050000</v>
      </c>
      <c r="M177" s="991" t="e">
        <f>IF(G177="",F177-L177-#REF!,G177-L177-#REF!)</f>
        <v>#REF!</v>
      </c>
      <c r="N177" s="1013">
        <f t="shared" si="10"/>
        <v>0</v>
      </c>
      <c r="O177" s="976"/>
      <c r="P177" s="977"/>
      <c r="Q177" s="974"/>
      <c r="R177" s="1147"/>
      <c r="S177" s="974"/>
      <c r="T177" s="976"/>
      <c r="U177" s="693"/>
    </row>
    <row r="178" spans="1:25" x14ac:dyDescent="0.25">
      <c r="B178" s="1187" t="s">
        <v>1017</v>
      </c>
      <c r="C178" s="1187">
        <v>1003</v>
      </c>
      <c r="D178" s="976" t="s">
        <v>806</v>
      </c>
      <c r="E178" s="976" t="s">
        <v>807</v>
      </c>
      <c r="F178" s="973">
        <v>22076000</v>
      </c>
      <c r="G178" s="974"/>
      <c r="H178" s="974">
        <v>6622800</v>
      </c>
      <c r="I178" s="974">
        <v>15453200</v>
      </c>
      <c r="J178" s="975"/>
      <c r="K178" s="974"/>
      <c r="L178" s="974">
        <f t="shared" si="11"/>
        <v>22076000</v>
      </c>
      <c r="M178" s="991" t="e">
        <f>IF(G178="",F178-L178-#REF!,G178-L178-#REF!)</f>
        <v>#REF!</v>
      </c>
      <c r="N178" s="1013">
        <f t="shared" si="10"/>
        <v>0</v>
      </c>
      <c r="O178" s="976"/>
      <c r="P178" s="977"/>
      <c r="Q178" s="974"/>
      <c r="R178" s="1147"/>
      <c r="S178" s="974"/>
      <c r="T178" s="976"/>
      <c r="U178" s="693"/>
    </row>
    <row r="179" spans="1:25" x14ac:dyDescent="0.25">
      <c r="B179" s="1187" t="s">
        <v>1017</v>
      </c>
      <c r="C179" s="1187">
        <v>1003</v>
      </c>
      <c r="D179" s="976" t="s">
        <v>170</v>
      </c>
      <c r="E179" s="976" t="s">
        <v>171</v>
      </c>
      <c r="F179" s="973">
        <v>2820000</v>
      </c>
      <c r="G179" s="974"/>
      <c r="H179" s="974">
        <v>2820000</v>
      </c>
      <c r="I179" s="974"/>
      <c r="J179" s="975"/>
      <c r="K179" s="974"/>
      <c r="L179" s="974">
        <f t="shared" si="11"/>
        <v>2820000</v>
      </c>
      <c r="M179" s="991" t="e">
        <f>IF(G179="",F179-L179-#REF!,G179-L179-#REF!)</f>
        <v>#REF!</v>
      </c>
      <c r="N179" s="1013">
        <f t="shared" si="10"/>
        <v>0</v>
      </c>
      <c r="O179" s="976"/>
      <c r="P179" s="977"/>
      <c r="Q179" s="974"/>
      <c r="R179" s="1147"/>
      <c r="S179" s="974"/>
      <c r="T179" s="976"/>
      <c r="U179" s="693" t="s">
        <v>171</v>
      </c>
    </row>
    <row r="180" spans="1:25" x14ac:dyDescent="0.25">
      <c r="B180" s="1187" t="s">
        <v>1017</v>
      </c>
      <c r="C180" s="1187">
        <v>1003</v>
      </c>
      <c r="D180" s="976" t="s">
        <v>170</v>
      </c>
      <c r="E180" s="976" t="s">
        <v>171</v>
      </c>
      <c r="F180" s="973"/>
      <c r="G180" s="974">
        <v>128392000</v>
      </c>
      <c r="H180" s="974">
        <v>128392000</v>
      </c>
      <c r="I180" s="974"/>
      <c r="J180" s="975"/>
      <c r="K180" s="974"/>
      <c r="L180" s="974">
        <f t="shared" si="11"/>
        <v>128392000</v>
      </c>
      <c r="M180" s="991" t="e">
        <f>IF(G180="",F180-L180-#REF!,G180-L180-#REF!)</f>
        <v>#REF!</v>
      </c>
      <c r="N180" s="1013">
        <f t="shared" si="10"/>
        <v>0</v>
      </c>
      <c r="O180" s="976"/>
      <c r="P180" s="977"/>
      <c r="Q180" s="974"/>
      <c r="R180" s="1147"/>
      <c r="S180" s="974"/>
      <c r="T180" s="976"/>
      <c r="U180" s="693" t="s">
        <v>171</v>
      </c>
    </row>
    <row r="181" spans="1:25" x14ac:dyDescent="0.25">
      <c r="B181" s="1187" t="s">
        <v>1017</v>
      </c>
      <c r="C181" s="1187">
        <v>1003</v>
      </c>
      <c r="D181" s="976" t="s">
        <v>118</v>
      </c>
      <c r="E181" s="976" t="s">
        <v>301</v>
      </c>
      <c r="F181" s="973">
        <v>77970000</v>
      </c>
      <c r="G181" s="974">
        <v>75707000</v>
      </c>
      <c r="H181" s="974">
        <v>54579000</v>
      </c>
      <c r="I181" s="974">
        <v>21128000</v>
      </c>
      <c r="J181" s="975"/>
      <c r="K181" s="974"/>
      <c r="L181" s="974">
        <f t="shared" si="11"/>
        <v>75707000</v>
      </c>
      <c r="M181" s="991" t="e">
        <f>IF(G181="",F181-L181-#REF!,G181-L181-#REF!)</f>
        <v>#REF!</v>
      </c>
      <c r="N181" s="1013">
        <f t="shared" si="10"/>
        <v>0</v>
      </c>
      <c r="O181" s="976"/>
      <c r="P181" s="977"/>
      <c r="Q181" s="974"/>
      <c r="R181" s="1147"/>
      <c r="S181" s="974"/>
      <c r="T181" s="976"/>
      <c r="U181" s="693"/>
    </row>
    <row r="182" spans="1:25" x14ac:dyDescent="0.25">
      <c r="B182" s="1187" t="s">
        <v>1017</v>
      </c>
      <c r="C182" s="1187">
        <v>1003</v>
      </c>
      <c r="D182" s="976" t="s">
        <v>247</v>
      </c>
      <c r="E182" s="976" t="s">
        <v>808</v>
      </c>
      <c r="F182" s="973">
        <v>5830000</v>
      </c>
      <c r="G182" s="974"/>
      <c r="H182" s="974">
        <v>5830000</v>
      </c>
      <c r="I182" s="974"/>
      <c r="J182" s="975"/>
      <c r="K182" s="974"/>
      <c r="L182" s="974">
        <f t="shared" si="11"/>
        <v>5830000</v>
      </c>
      <c r="M182" s="991" t="e">
        <f>IF(G182="",F182-L182-#REF!,G182-L182-#REF!)</f>
        <v>#REF!</v>
      </c>
      <c r="N182" s="1013">
        <f t="shared" si="10"/>
        <v>0</v>
      </c>
      <c r="O182" s="976"/>
      <c r="P182" s="977"/>
      <c r="Q182" s="974"/>
      <c r="R182" s="1147"/>
      <c r="S182" s="974"/>
      <c r="T182" s="976"/>
      <c r="U182" s="693" t="s">
        <v>943</v>
      </c>
    </row>
    <row r="183" spans="1:25" x14ac:dyDescent="0.25">
      <c r="B183" s="1187" t="s">
        <v>1017</v>
      </c>
      <c r="C183" s="1187">
        <v>1003</v>
      </c>
      <c r="D183" s="976" t="s">
        <v>809</v>
      </c>
      <c r="E183" s="976" t="s">
        <v>65</v>
      </c>
      <c r="F183" s="973">
        <v>880000</v>
      </c>
      <c r="G183" s="974"/>
      <c r="H183" s="974">
        <v>880000</v>
      </c>
      <c r="I183" s="974"/>
      <c r="J183" s="975"/>
      <c r="K183" s="974"/>
      <c r="L183" s="974">
        <f t="shared" si="11"/>
        <v>880000</v>
      </c>
      <c r="M183" s="991" t="e">
        <f>IF(G183="",F183-L183-#REF!,G183-L183-#REF!)</f>
        <v>#REF!</v>
      </c>
      <c r="N183" s="1013">
        <f t="shared" si="10"/>
        <v>0</v>
      </c>
      <c r="O183" s="976"/>
      <c r="P183" s="977"/>
      <c r="Q183" s="974"/>
      <c r="R183" s="1147"/>
      <c r="S183" s="974"/>
      <c r="T183" s="976"/>
      <c r="U183" s="693" t="s">
        <v>957</v>
      </c>
    </row>
    <row r="184" spans="1:25" x14ac:dyDescent="0.25">
      <c r="B184" s="1187" t="s">
        <v>1017</v>
      </c>
      <c r="C184" s="1187">
        <v>1003</v>
      </c>
      <c r="D184" s="976" t="s">
        <v>715</v>
      </c>
      <c r="E184" s="976" t="s">
        <v>810</v>
      </c>
      <c r="F184" s="973">
        <v>5313000</v>
      </c>
      <c r="G184" s="974"/>
      <c r="H184" s="974">
        <v>5313000</v>
      </c>
      <c r="I184" s="974"/>
      <c r="J184" s="975"/>
      <c r="K184" s="974"/>
      <c r="L184" s="974">
        <f t="shared" si="11"/>
        <v>5313000</v>
      </c>
      <c r="M184" s="991" t="e">
        <f>IF(G184="",F184-L184-#REF!,G184-L184-#REF!)</f>
        <v>#REF!</v>
      </c>
      <c r="N184" s="1013">
        <f t="shared" si="10"/>
        <v>0</v>
      </c>
      <c r="O184" s="976"/>
      <c r="P184" s="977"/>
      <c r="Q184" s="974"/>
      <c r="R184" s="1147"/>
      <c r="S184" s="974"/>
      <c r="T184" s="976"/>
      <c r="U184" s="693" t="s">
        <v>810</v>
      </c>
    </row>
    <row r="185" spans="1:25" x14ac:dyDescent="0.25">
      <c r="B185" s="1187" t="s">
        <v>1017</v>
      </c>
      <c r="C185" s="1187">
        <v>1003</v>
      </c>
      <c r="D185" s="976" t="s">
        <v>257</v>
      </c>
      <c r="E185" s="976" t="s">
        <v>693</v>
      </c>
      <c r="F185" s="1108">
        <v>5000000</v>
      </c>
      <c r="G185" s="974">
        <v>8116000</v>
      </c>
      <c r="H185" s="974">
        <v>5000000</v>
      </c>
      <c r="I185" s="974">
        <v>3116000</v>
      </c>
      <c r="J185" s="975"/>
      <c r="K185" s="974"/>
      <c r="L185" s="974">
        <f t="shared" si="11"/>
        <v>8116000</v>
      </c>
      <c r="M185" s="991" t="e">
        <f>IF(G185="",F185-L185-#REF!,G185-L185-#REF!)</f>
        <v>#REF!</v>
      </c>
      <c r="N185" s="1013">
        <f t="shared" si="10"/>
        <v>0</v>
      </c>
      <c r="O185" s="976"/>
      <c r="P185" s="977"/>
      <c r="Q185" s="974"/>
      <c r="R185" s="1147"/>
      <c r="S185" s="974"/>
      <c r="T185" s="976"/>
      <c r="U185" s="693"/>
    </row>
    <row r="186" spans="1:25" x14ac:dyDescent="0.25">
      <c r="B186" s="1187" t="s">
        <v>1017</v>
      </c>
      <c r="C186" s="1187">
        <v>1003</v>
      </c>
      <c r="D186" s="976" t="s">
        <v>811</v>
      </c>
      <c r="E186" s="976" t="s">
        <v>142</v>
      </c>
      <c r="F186" s="973">
        <v>374000</v>
      </c>
      <c r="G186" s="974"/>
      <c r="H186" s="974">
        <v>374000</v>
      </c>
      <c r="I186" s="974"/>
      <c r="J186" s="975"/>
      <c r="K186" s="974"/>
      <c r="L186" s="974">
        <f t="shared" si="11"/>
        <v>374000</v>
      </c>
      <c r="M186" s="991" t="e">
        <f>IF(G186="",F186-L186-#REF!,G186-L186-#REF!)</f>
        <v>#REF!</v>
      </c>
      <c r="N186" s="1013">
        <f t="shared" si="10"/>
        <v>0</v>
      </c>
      <c r="O186" s="976"/>
      <c r="P186" s="977"/>
      <c r="Q186" s="974"/>
      <c r="R186" s="1147"/>
      <c r="S186" s="974"/>
      <c r="T186" s="976"/>
      <c r="U186" s="693" t="s">
        <v>957</v>
      </c>
    </row>
    <row r="187" spans="1:25" x14ac:dyDescent="0.25">
      <c r="B187" s="1187" t="s">
        <v>1017</v>
      </c>
      <c r="C187" s="1187">
        <v>1003</v>
      </c>
      <c r="D187" s="976" t="s">
        <v>1022</v>
      </c>
      <c r="E187" s="976" t="s">
        <v>1023</v>
      </c>
      <c r="F187" s="973">
        <v>1650000</v>
      </c>
      <c r="G187" s="974"/>
      <c r="H187" s="974">
        <v>1650000</v>
      </c>
      <c r="I187" s="974"/>
      <c r="J187" s="975"/>
      <c r="K187" s="974"/>
      <c r="L187" s="974">
        <f t="shared" si="11"/>
        <v>1650000</v>
      </c>
      <c r="M187" s="991" t="e">
        <f>IF(G187="",F187-L187-#REF!,G187-L187-#REF!)</f>
        <v>#REF!</v>
      </c>
      <c r="N187" s="1013">
        <f t="shared" si="10"/>
        <v>0</v>
      </c>
      <c r="O187" s="976"/>
      <c r="P187" s="977"/>
      <c r="Q187" s="974"/>
      <c r="R187" s="1147"/>
      <c r="S187" s="974"/>
      <c r="T187" s="976"/>
      <c r="U187" s="693"/>
    </row>
    <row r="188" spans="1:25" x14ac:dyDescent="0.25">
      <c r="B188" s="1187" t="s">
        <v>1017</v>
      </c>
      <c r="C188" s="1187">
        <v>1003</v>
      </c>
      <c r="D188" s="976" t="s">
        <v>691</v>
      </c>
      <c r="E188" s="976" t="s">
        <v>1226</v>
      </c>
      <c r="F188" s="973">
        <v>21288900</v>
      </c>
      <c r="G188" s="974"/>
      <c r="H188" s="1116">
        <v>10358549</v>
      </c>
      <c r="I188" s="974">
        <v>10930351</v>
      </c>
      <c r="J188" s="975"/>
      <c r="K188" s="974"/>
      <c r="L188" s="974">
        <f t="shared" si="11"/>
        <v>21288900</v>
      </c>
      <c r="M188" s="991" t="e">
        <f>IF(G188="",F188-L188-#REF!,G188-L188-#REF!)</f>
        <v>#REF!</v>
      </c>
      <c r="N188" s="1013">
        <f t="shared" si="10"/>
        <v>0</v>
      </c>
      <c r="O188" s="976"/>
      <c r="P188" s="977"/>
      <c r="Q188" s="974"/>
      <c r="R188" s="1147"/>
      <c r="S188" s="974"/>
      <c r="T188" s="976"/>
      <c r="U188" s="693"/>
    </row>
    <row r="189" spans="1:25" x14ac:dyDescent="0.25">
      <c r="B189" s="1187" t="s">
        <v>1017</v>
      </c>
      <c r="C189" s="1187">
        <v>1003</v>
      </c>
      <c r="D189" s="976" t="s">
        <v>947</v>
      </c>
      <c r="E189" s="976"/>
      <c r="F189" s="973">
        <v>9294500</v>
      </c>
      <c r="G189" s="974"/>
      <c r="H189" s="974">
        <f>W189</f>
        <v>9294500</v>
      </c>
      <c r="I189" s="974"/>
      <c r="J189" s="975"/>
      <c r="K189" s="974"/>
      <c r="L189" s="974">
        <f>SUM(H189:K189)</f>
        <v>9294500</v>
      </c>
      <c r="M189" s="991" t="e">
        <f>IF(G189="",F189-L189-#REF!,G189-L189-#REF!)</f>
        <v>#REF!</v>
      </c>
      <c r="N189" s="1013">
        <f t="shared" si="10"/>
        <v>0</v>
      </c>
      <c r="O189" s="976"/>
      <c r="P189" s="977"/>
      <c r="Q189" s="974"/>
      <c r="R189" s="1147"/>
      <c r="S189" s="974"/>
      <c r="T189" s="976"/>
      <c r="U189" s="693"/>
      <c r="V189" s="687" t="s">
        <v>948</v>
      </c>
      <c r="W189" s="687">
        <f>SUM(W154:W186)</f>
        <v>9294500</v>
      </c>
    </row>
    <row r="190" spans="1:25" s="723" customFormat="1" ht="15.75" x14ac:dyDescent="0.25">
      <c r="B190" s="720" t="s">
        <v>949</v>
      </c>
      <c r="C190" s="720"/>
      <c r="D190" s="699" t="s">
        <v>1025</v>
      </c>
      <c r="E190" s="700"/>
      <c r="F190" s="724"/>
      <c r="G190" s="702"/>
      <c r="H190" s="701"/>
      <c r="I190" s="702"/>
      <c r="J190" s="726"/>
      <c r="K190" s="702"/>
      <c r="L190" s="707">
        <f>SUM(L153:L189)</f>
        <v>1341178905.5</v>
      </c>
      <c r="M190" s="707" t="e">
        <f>SUM(M153:M189)</f>
        <v>#REF!</v>
      </c>
      <c r="N190" s="869">
        <f>SUM(N153:N189)</f>
        <v>40055597.5</v>
      </c>
      <c r="O190" s="700"/>
      <c r="P190" s="704"/>
      <c r="Q190" s="742"/>
      <c r="R190" s="1148"/>
      <c r="S190" s="742"/>
      <c r="T190" s="705"/>
      <c r="U190" s="706"/>
      <c r="V190" s="722"/>
      <c r="W190" s="722"/>
      <c r="X190" s="722"/>
      <c r="Y190" s="722"/>
    </row>
    <row r="191" spans="1:25" x14ac:dyDescent="0.25">
      <c r="A191" s="686">
        <v>9</v>
      </c>
      <c r="B191" s="1187" t="s">
        <v>1026</v>
      </c>
      <c r="C191" s="1187" t="s">
        <v>1220</v>
      </c>
      <c r="D191" s="976" t="s">
        <v>31</v>
      </c>
      <c r="E191" s="976" t="s">
        <v>195</v>
      </c>
      <c r="F191" s="973">
        <v>88673800</v>
      </c>
      <c r="G191" s="974">
        <v>76418000</v>
      </c>
      <c r="H191" s="974">
        <v>50000000</v>
      </c>
      <c r="I191" s="974">
        <v>26418000</v>
      </c>
      <c r="J191" s="975"/>
      <c r="K191" s="974"/>
      <c r="L191" s="974">
        <f>SUM(H191:K191)</f>
        <v>76418000</v>
      </c>
      <c r="M191" s="991" t="e">
        <f>IF(G191="",F191-L191-#REF!,G191-L191-#REF!)</f>
        <v>#REF!</v>
      </c>
      <c r="N191" s="1013">
        <f t="shared" si="10"/>
        <v>0</v>
      </c>
      <c r="O191" s="976"/>
      <c r="P191" s="977"/>
      <c r="Q191" s="974"/>
      <c r="R191" s="1147"/>
      <c r="S191" s="974"/>
      <c r="T191" s="976"/>
      <c r="U191" s="690"/>
      <c r="V191" s="687" t="s">
        <v>813</v>
      </c>
    </row>
    <row r="192" spans="1:25" x14ac:dyDescent="0.25">
      <c r="B192" s="1187" t="s">
        <v>1026</v>
      </c>
      <c r="C192" s="1187" t="s">
        <v>1220</v>
      </c>
      <c r="D192" s="976" t="s">
        <v>215</v>
      </c>
      <c r="E192" s="976" t="s">
        <v>216</v>
      </c>
      <c r="F192" s="973">
        <v>48612698</v>
      </c>
      <c r="G192" s="974">
        <v>48612698</v>
      </c>
      <c r="H192" s="974">
        <v>22096681</v>
      </c>
      <c r="I192" s="974">
        <v>26516017</v>
      </c>
      <c r="J192" s="975"/>
      <c r="K192" s="974"/>
      <c r="L192" s="974">
        <f t="shared" ref="L192:L206" si="12">SUM(H192:K192)</f>
        <v>48612698</v>
      </c>
      <c r="M192" s="991" t="e">
        <f>IF(G192="",F192-L192-#REF!,G192-L192-#REF!)</f>
        <v>#REF!</v>
      </c>
      <c r="N192" s="1013">
        <f t="shared" si="10"/>
        <v>0</v>
      </c>
      <c r="O192" s="976" t="s">
        <v>814</v>
      </c>
      <c r="P192" s="977">
        <v>43900</v>
      </c>
      <c r="Q192" s="974"/>
      <c r="R192" s="1147"/>
      <c r="S192" s="974"/>
      <c r="T192" s="976"/>
      <c r="U192" s="693" t="s">
        <v>957</v>
      </c>
      <c r="V192" s="687" t="s">
        <v>1018</v>
      </c>
      <c r="W192" s="687">
        <v>3325000</v>
      </c>
    </row>
    <row r="193" spans="2:25" x14ac:dyDescent="0.25">
      <c r="B193" s="1187" t="s">
        <v>1026</v>
      </c>
      <c r="C193" s="1187" t="s">
        <v>1220</v>
      </c>
      <c r="D193" s="976" t="s">
        <v>175</v>
      </c>
      <c r="E193" s="976" t="s">
        <v>176</v>
      </c>
      <c r="F193" s="973">
        <v>5981800</v>
      </c>
      <c r="G193" s="974">
        <v>5981800</v>
      </c>
      <c r="H193" s="974">
        <v>5981800</v>
      </c>
      <c r="I193" s="974"/>
      <c r="J193" s="975"/>
      <c r="K193" s="974"/>
      <c r="L193" s="974">
        <f t="shared" si="12"/>
        <v>5981800</v>
      </c>
      <c r="M193" s="991" t="e">
        <f>IF(G193="",F193-L193-#REF!,G193-L193-#REF!)</f>
        <v>#REF!</v>
      </c>
      <c r="N193" s="1013">
        <f t="shared" si="10"/>
        <v>0</v>
      </c>
      <c r="O193" s="976"/>
      <c r="P193" s="977"/>
      <c r="Q193" s="974"/>
      <c r="R193" s="1147"/>
      <c r="S193" s="974"/>
      <c r="T193" s="976"/>
      <c r="U193" s="693" t="s">
        <v>943</v>
      </c>
      <c r="V193" s="687" t="s">
        <v>1019</v>
      </c>
      <c r="W193" s="687">
        <v>1373000</v>
      </c>
    </row>
    <row r="194" spans="2:25" x14ac:dyDescent="0.25">
      <c r="B194" s="1187" t="s">
        <v>1026</v>
      </c>
      <c r="C194" s="1187" t="s">
        <v>1220</v>
      </c>
      <c r="D194" s="976" t="s">
        <v>175</v>
      </c>
      <c r="E194" s="976" t="s">
        <v>416</v>
      </c>
      <c r="F194" s="973">
        <v>1100000</v>
      </c>
      <c r="G194" s="974">
        <v>1100000</v>
      </c>
      <c r="H194" s="974">
        <v>1100000</v>
      </c>
      <c r="I194" s="974"/>
      <c r="J194" s="975"/>
      <c r="K194" s="974"/>
      <c r="L194" s="974">
        <f t="shared" si="12"/>
        <v>1100000</v>
      </c>
      <c r="M194" s="991" t="e">
        <f>IF(G194="",F194-L194-#REF!,G194-L194-#REF!)</f>
        <v>#REF!</v>
      </c>
      <c r="N194" s="1013">
        <f t="shared" si="10"/>
        <v>0</v>
      </c>
      <c r="O194" s="976"/>
      <c r="P194" s="977"/>
      <c r="Q194" s="974"/>
      <c r="R194" s="1147"/>
      <c r="S194" s="974"/>
      <c r="T194" s="976"/>
      <c r="U194" s="693" t="s">
        <v>943</v>
      </c>
      <c r="V194" s="687" t="s">
        <v>1016</v>
      </c>
      <c r="W194" s="687">
        <v>2864500</v>
      </c>
    </row>
    <row r="195" spans="2:25" x14ac:dyDescent="0.25">
      <c r="B195" s="1187" t="s">
        <v>1026</v>
      </c>
      <c r="C195" s="1187" t="s">
        <v>1220</v>
      </c>
      <c r="D195" s="976" t="s">
        <v>769</v>
      </c>
      <c r="E195" s="976" t="s">
        <v>301</v>
      </c>
      <c r="F195" s="973">
        <v>27588000</v>
      </c>
      <c r="G195" s="974">
        <v>27588000</v>
      </c>
      <c r="H195" s="974">
        <v>11275000</v>
      </c>
      <c r="I195" s="974">
        <v>16313000</v>
      </c>
      <c r="J195" s="975"/>
      <c r="K195" s="974"/>
      <c r="L195" s="974">
        <f t="shared" si="12"/>
        <v>27588000</v>
      </c>
      <c r="M195" s="991" t="e">
        <f>IF(G195="",F195-L195-#REF!,G195-L195-#REF!)</f>
        <v>#REF!</v>
      </c>
      <c r="N195" s="1013">
        <f t="shared" si="10"/>
        <v>0</v>
      </c>
      <c r="O195" s="976"/>
      <c r="P195" s="977"/>
      <c r="Q195" s="974"/>
      <c r="R195" s="1147"/>
      <c r="S195" s="974"/>
      <c r="T195" s="976"/>
      <c r="U195" s="693"/>
      <c r="V195" s="687" t="s">
        <v>1020</v>
      </c>
      <c r="W195" s="687">
        <v>500000</v>
      </c>
    </row>
    <row r="196" spans="2:25" x14ac:dyDescent="0.25">
      <c r="B196" s="1187" t="s">
        <v>1026</v>
      </c>
      <c r="C196" s="1187" t="s">
        <v>1220</v>
      </c>
      <c r="D196" s="976" t="s">
        <v>769</v>
      </c>
      <c r="E196" s="976" t="s">
        <v>229</v>
      </c>
      <c r="F196" s="973">
        <v>6255000</v>
      </c>
      <c r="G196" s="974"/>
      <c r="H196" s="974">
        <v>6255000</v>
      </c>
      <c r="I196" s="974"/>
      <c r="J196" s="975"/>
      <c r="K196" s="974"/>
      <c r="L196" s="974">
        <f t="shared" si="12"/>
        <v>6255000</v>
      </c>
      <c r="M196" s="991" t="e">
        <f>IF(G196="",F196-L196-#REF!,G196-L196-#REF!)</f>
        <v>#REF!</v>
      </c>
      <c r="N196" s="1013">
        <f t="shared" si="10"/>
        <v>0</v>
      </c>
      <c r="O196" s="976"/>
      <c r="P196" s="977"/>
      <c r="Q196" s="974"/>
      <c r="R196" s="1147"/>
      <c r="S196" s="974"/>
      <c r="T196" s="976"/>
      <c r="U196" s="693" t="s">
        <v>943</v>
      </c>
    </row>
    <row r="197" spans="2:25" x14ac:dyDescent="0.25">
      <c r="B197" s="1187" t="s">
        <v>1026</v>
      </c>
      <c r="C197" s="1187" t="s">
        <v>1220</v>
      </c>
      <c r="D197" s="976" t="s">
        <v>816</v>
      </c>
      <c r="E197" s="976" t="s">
        <v>778</v>
      </c>
      <c r="F197" s="973">
        <v>7084000</v>
      </c>
      <c r="G197" s="974"/>
      <c r="H197" s="974">
        <v>7084000</v>
      </c>
      <c r="I197" s="974"/>
      <c r="J197" s="975"/>
      <c r="K197" s="974"/>
      <c r="L197" s="974">
        <f t="shared" si="12"/>
        <v>7084000</v>
      </c>
      <c r="M197" s="991" t="e">
        <f>IF(G197="",F197-L197-#REF!,G197-L197-#REF!)</f>
        <v>#REF!</v>
      </c>
      <c r="N197" s="1013">
        <f t="shared" si="10"/>
        <v>0</v>
      </c>
      <c r="O197" s="976"/>
      <c r="P197" s="977"/>
      <c r="Q197" s="974"/>
      <c r="R197" s="1147"/>
      <c r="S197" s="974"/>
      <c r="T197" s="976"/>
      <c r="U197" s="693" t="s">
        <v>943</v>
      </c>
    </row>
    <row r="198" spans="2:25" x14ac:dyDescent="0.25">
      <c r="B198" s="1187" t="s">
        <v>1026</v>
      </c>
      <c r="C198" s="1187" t="s">
        <v>1220</v>
      </c>
      <c r="D198" s="976" t="s">
        <v>247</v>
      </c>
      <c r="E198" s="976" t="s">
        <v>247</v>
      </c>
      <c r="F198" s="973">
        <v>4000000</v>
      </c>
      <c r="G198" s="974">
        <v>6500000</v>
      </c>
      <c r="H198" s="974">
        <v>4000000</v>
      </c>
      <c r="I198" s="974">
        <v>2500000</v>
      </c>
      <c r="J198" s="975"/>
      <c r="K198" s="974"/>
      <c r="L198" s="974">
        <f t="shared" si="12"/>
        <v>6500000</v>
      </c>
      <c r="M198" s="991" t="e">
        <f>IF(G198="",F198-L198-#REF!,G198-L198-#REF!)</f>
        <v>#REF!</v>
      </c>
      <c r="N198" s="1013">
        <f t="shared" si="10"/>
        <v>0</v>
      </c>
      <c r="O198" s="976"/>
      <c r="P198" s="977"/>
      <c r="Q198" s="974"/>
      <c r="R198" s="1147"/>
      <c r="S198" s="974"/>
      <c r="T198" s="976"/>
      <c r="U198" s="693" t="s">
        <v>943</v>
      </c>
    </row>
    <row r="199" spans="2:25" x14ac:dyDescent="0.25">
      <c r="B199" s="1187" t="s">
        <v>1026</v>
      </c>
      <c r="C199" s="1187" t="s">
        <v>1220</v>
      </c>
      <c r="D199" s="976" t="s">
        <v>818</v>
      </c>
      <c r="E199" s="976" t="s">
        <v>127</v>
      </c>
      <c r="F199" s="973">
        <v>2500000</v>
      </c>
      <c r="G199" s="974"/>
      <c r="H199" s="974">
        <v>2500000</v>
      </c>
      <c r="I199" s="974"/>
      <c r="J199" s="975"/>
      <c r="K199" s="974"/>
      <c r="L199" s="974">
        <f t="shared" si="12"/>
        <v>2500000</v>
      </c>
      <c r="M199" s="991" t="e">
        <f>IF(G199="",F199-L199-#REF!,G199-L199-#REF!)</f>
        <v>#REF!</v>
      </c>
      <c r="N199" s="1013">
        <f t="shared" si="10"/>
        <v>0</v>
      </c>
      <c r="O199" s="976"/>
      <c r="P199" s="977"/>
      <c r="Q199" s="974"/>
      <c r="R199" s="1147"/>
      <c r="S199" s="974"/>
      <c r="T199" s="976"/>
      <c r="U199" s="693"/>
    </row>
    <row r="200" spans="2:25" x14ac:dyDescent="0.25">
      <c r="B200" s="1187" t="s">
        <v>1026</v>
      </c>
      <c r="C200" s="1187" t="s">
        <v>1220</v>
      </c>
      <c r="D200" s="976" t="s">
        <v>170</v>
      </c>
      <c r="E200" s="976" t="s">
        <v>171</v>
      </c>
      <c r="F200" s="973"/>
      <c r="G200" s="974">
        <v>2267500</v>
      </c>
      <c r="H200" s="974">
        <v>2267500</v>
      </c>
      <c r="I200" s="974"/>
      <c r="J200" s="975"/>
      <c r="K200" s="974"/>
      <c r="L200" s="974">
        <f t="shared" si="12"/>
        <v>2267500</v>
      </c>
      <c r="M200" s="991" t="e">
        <f>IF(G200="",F200-L200-#REF!,G200-L200-#REF!)</f>
        <v>#REF!</v>
      </c>
      <c r="N200" s="1013">
        <f t="shared" si="10"/>
        <v>0</v>
      </c>
      <c r="O200" s="976"/>
      <c r="P200" s="977"/>
      <c r="Q200" s="974"/>
      <c r="R200" s="1147"/>
      <c r="S200" s="974"/>
      <c r="T200" s="976"/>
      <c r="U200" s="693" t="s">
        <v>171</v>
      </c>
    </row>
    <row r="201" spans="2:25" x14ac:dyDescent="0.25">
      <c r="B201" s="1187" t="s">
        <v>1026</v>
      </c>
      <c r="C201" s="1187" t="s">
        <v>1220</v>
      </c>
      <c r="D201" s="976" t="s">
        <v>107</v>
      </c>
      <c r="E201" s="976" t="s">
        <v>108</v>
      </c>
      <c r="F201" s="973">
        <v>11280000</v>
      </c>
      <c r="G201" s="974"/>
      <c r="H201" s="974">
        <v>11280000</v>
      </c>
      <c r="I201" s="974"/>
      <c r="J201" s="975"/>
      <c r="K201" s="974"/>
      <c r="L201" s="974">
        <f t="shared" si="12"/>
        <v>11280000</v>
      </c>
      <c r="M201" s="991" t="e">
        <f>IF(G201="",F201-L201-#REF!,G201-L201-#REF!)</f>
        <v>#REF!</v>
      </c>
      <c r="N201" s="1013">
        <f t="shared" si="10"/>
        <v>0</v>
      </c>
      <c r="O201" s="976"/>
      <c r="P201" s="977"/>
      <c r="Q201" s="974"/>
      <c r="R201" s="1147"/>
      <c r="S201" s="974"/>
      <c r="T201" s="976"/>
      <c r="U201" s="693"/>
    </row>
    <row r="202" spans="2:25" x14ac:dyDescent="0.25">
      <c r="B202" s="1187" t="s">
        <v>1026</v>
      </c>
      <c r="C202" s="1187" t="s">
        <v>1220</v>
      </c>
      <c r="D202" s="976" t="s">
        <v>261</v>
      </c>
      <c r="E202" s="976" t="s">
        <v>695</v>
      </c>
      <c r="F202" s="973">
        <v>43659000</v>
      </c>
      <c r="G202" s="974">
        <v>41283000</v>
      </c>
      <c r="H202" s="974">
        <v>27783000</v>
      </c>
      <c r="I202" s="974">
        <v>13500000</v>
      </c>
      <c r="J202" s="975"/>
      <c r="K202" s="974"/>
      <c r="L202" s="974">
        <f t="shared" si="12"/>
        <v>41283000</v>
      </c>
      <c r="M202" s="991" t="e">
        <f>IF(G202="",F202-L202-#REF!,G202-L202-#REF!)</f>
        <v>#REF!</v>
      </c>
      <c r="N202" s="1013">
        <f t="shared" si="10"/>
        <v>0</v>
      </c>
      <c r="O202" s="976" t="s">
        <v>819</v>
      </c>
      <c r="P202" s="977">
        <v>43906</v>
      </c>
      <c r="Q202" s="974"/>
      <c r="R202" s="1147"/>
      <c r="S202" s="974"/>
      <c r="T202" s="976"/>
      <c r="U202" s="693" t="s">
        <v>943</v>
      </c>
    </row>
    <row r="203" spans="2:25" x14ac:dyDescent="0.25">
      <c r="B203" s="1187" t="s">
        <v>1026</v>
      </c>
      <c r="C203" s="1187" t="s">
        <v>1220</v>
      </c>
      <c r="D203" s="976" t="s">
        <v>394</v>
      </c>
      <c r="E203" s="976" t="s">
        <v>162</v>
      </c>
      <c r="F203" s="973">
        <v>13000000</v>
      </c>
      <c r="G203" s="974"/>
      <c r="H203" s="974">
        <v>13000000</v>
      </c>
      <c r="I203" s="974"/>
      <c r="J203" s="975"/>
      <c r="K203" s="974"/>
      <c r="L203" s="974">
        <f t="shared" si="12"/>
        <v>13000000</v>
      </c>
      <c r="M203" s="991" t="e">
        <f>IF(G203="",F203-L203-#REF!,G203-L203-#REF!)</f>
        <v>#REF!</v>
      </c>
      <c r="N203" s="1013">
        <f t="shared" si="10"/>
        <v>0</v>
      </c>
      <c r="O203" s="976"/>
      <c r="P203" s="977"/>
      <c r="Q203" s="974"/>
      <c r="R203" s="1147"/>
      <c r="S203" s="974"/>
      <c r="T203" s="976"/>
      <c r="U203" s="693"/>
    </row>
    <row r="204" spans="2:25" x14ac:dyDescent="0.25">
      <c r="B204" s="1187" t="s">
        <v>1026</v>
      </c>
      <c r="C204" s="1187" t="s">
        <v>1220</v>
      </c>
      <c r="D204" s="976" t="s">
        <v>1027</v>
      </c>
      <c r="E204" s="976" t="s">
        <v>1028</v>
      </c>
      <c r="F204" s="973">
        <v>3675266</v>
      </c>
      <c r="G204" s="974"/>
      <c r="H204" s="974">
        <v>3675266</v>
      </c>
      <c r="I204" s="974"/>
      <c r="J204" s="975"/>
      <c r="K204" s="974"/>
      <c r="L204" s="974">
        <f t="shared" si="12"/>
        <v>3675266</v>
      </c>
      <c r="M204" s="991" t="e">
        <f>IF(G204="",F204-L204-#REF!,G204-L204-#REF!)</f>
        <v>#REF!</v>
      </c>
      <c r="N204" s="1013">
        <f t="shared" si="10"/>
        <v>0</v>
      </c>
      <c r="O204" s="976"/>
      <c r="P204" s="977"/>
      <c r="Q204" s="974"/>
      <c r="R204" s="1147"/>
      <c r="S204" s="974"/>
      <c r="T204" s="976"/>
      <c r="U204" s="693"/>
    </row>
    <row r="205" spans="2:25" x14ac:dyDescent="0.25">
      <c r="B205" s="1187" t="s">
        <v>1026</v>
      </c>
      <c r="C205" s="1187" t="s">
        <v>1220</v>
      </c>
      <c r="D205" s="976" t="s">
        <v>1029</v>
      </c>
      <c r="E205" s="976" t="s">
        <v>1030</v>
      </c>
      <c r="F205" s="973">
        <v>1250000</v>
      </c>
      <c r="G205" s="974"/>
      <c r="H205" s="974">
        <v>1250000</v>
      </c>
      <c r="I205" s="974"/>
      <c r="J205" s="975"/>
      <c r="K205" s="974"/>
      <c r="L205" s="974">
        <f t="shared" si="12"/>
        <v>1250000</v>
      </c>
      <c r="M205" s="991" t="e">
        <f>IF(G205="",F205-L205-#REF!,G205-L205-#REF!)</f>
        <v>#REF!</v>
      </c>
      <c r="N205" s="1013">
        <f t="shared" si="10"/>
        <v>0</v>
      </c>
      <c r="O205" s="976"/>
      <c r="P205" s="977"/>
      <c r="Q205" s="974"/>
      <c r="R205" s="1147"/>
      <c r="S205" s="974"/>
      <c r="T205" s="976"/>
      <c r="U205" s="693"/>
    </row>
    <row r="206" spans="2:25" x14ac:dyDescent="0.25">
      <c r="B206" s="1187" t="s">
        <v>1026</v>
      </c>
      <c r="C206" s="1187" t="s">
        <v>1220</v>
      </c>
      <c r="D206" s="976" t="s">
        <v>1227</v>
      </c>
      <c r="E206" s="976" t="s">
        <v>1228</v>
      </c>
      <c r="F206" s="973">
        <v>5152000</v>
      </c>
      <c r="G206" s="974">
        <v>5153500</v>
      </c>
      <c r="H206" s="974">
        <v>5152000</v>
      </c>
      <c r="I206" s="974">
        <v>1500</v>
      </c>
      <c r="J206" s="975"/>
      <c r="K206" s="974"/>
      <c r="L206" s="974">
        <f t="shared" si="12"/>
        <v>5153500</v>
      </c>
      <c r="M206" s="991" t="e">
        <f>IF(G206="",F206-L206-#REF!,G206-L206-#REF!)</f>
        <v>#REF!</v>
      </c>
      <c r="N206" s="1013">
        <f t="shared" si="10"/>
        <v>0</v>
      </c>
      <c r="O206" s="976"/>
      <c r="P206" s="977"/>
      <c r="Q206" s="974"/>
      <c r="R206" s="1147"/>
      <c r="S206" s="974"/>
      <c r="T206" s="976"/>
      <c r="U206" s="693"/>
    </row>
    <row r="207" spans="2:25" x14ac:dyDescent="0.25">
      <c r="B207" s="1187" t="s">
        <v>1026</v>
      </c>
      <c r="C207" s="1187" t="s">
        <v>1220</v>
      </c>
      <c r="D207" s="976" t="s">
        <v>947</v>
      </c>
      <c r="E207" s="976"/>
      <c r="F207" s="973">
        <v>8062500</v>
      </c>
      <c r="G207" s="974"/>
      <c r="H207" s="974">
        <f>W207</f>
        <v>8062500</v>
      </c>
      <c r="I207" s="974"/>
      <c r="J207" s="975"/>
      <c r="K207" s="974"/>
      <c r="L207" s="974">
        <f>SUM(H207:K207)</f>
        <v>8062500</v>
      </c>
      <c r="M207" s="991" t="e">
        <f>IF(G207="",F207-L207-#REF!,G207-L207-#REF!)</f>
        <v>#REF!</v>
      </c>
      <c r="N207" s="1013">
        <f t="shared" si="10"/>
        <v>0</v>
      </c>
      <c r="O207" s="976"/>
      <c r="P207" s="977"/>
      <c r="Q207" s="974"/>
      <c r="R207" s="1147"/>
      <c r="S207" s="974"/>
      <c r="T207" s="976"/>
      <c r="U207" s="693"/>
      <c r="V207" s="687" t="s">
        <v>948</v>
      </c>
      <c r="W207" s="687">
        <f>SUM(W192:W203)</f>
        <v>8062500</v>
      </c>
    </row>
    <row r="208" spans="2:25" s="723" customFormat="1" ht="15.75" x14ac:dyDescent="0.25">
      <c r="B208" s="720" t="s">
        <v>997</v>
      </c>
      <c r="C208" s="720"/>
      <c r="D208" s="710" t="s">
        <v>1031</v>
      </c>
      <c r="E208" s="700"/>
      <c r="F208" s="724"/>
      <c r="G208" s="702"/>
      <c r="H208" s="701"/>
      <c r="I208" s="702"/>
      <c r="J208" s="726"/>
      <c r="K208" s="702"/>
      <c r="L208" s="707">
        <f>SUM(L191:L207)</f>
        <v>268011264</v>
      </c>
      <c r="M208" s="707" t="e">
        <f>SUM(M191:M207)</f>
        <v>#REF!</v>
      </c>
      <c r="N208" s="869">
        <f>SUM(N191:N207)</f>
        <v>0</v>
      </c>
      <c r="O208" s="700"/>
      <c r="P208" s="704"/>
      <c r="Q208" s="742"/>
      <c r="R208" s="1148"/>
      <c r="S208" s="742"/>
      <c r="T208" s="705"/>
      <c r="U208" s="706"/>
      <c r="V208" s="722"/>
      <c r="W208" s="722"/>
      <c r="X208" s="722"/>
      <c r="Y208" s="722"/>
    </row>
    <row r="209" spans="1:23" x14ac:dyDescent="0.25">
      <c r="A209" s="686">
        <v>10</v>
      </c>
      <c r="B209" s="1187" t="s">
        <v>1032</v>
      </c>
      <c r="C209" s="1187">
        <v>1009</v>
      </c>
      <c r="D209" s="976" t="s">
        <v>175</v>
      </c>
      <c r="E209" s="976" t="s">
        <v>416</v>
      </c>
      <c r="F209" s="973">
        <v>1100000</v>
      </c>
      <c r="G209" s="974">
        <v>1100000</v>
      </c>
      <c r="H209" s="974">
        <v>1100000</v>
      </c>
      <c r="I209" s="974"/>
      <c r="J209" s="975"/>
      <c r="K209" s="974"/>
      <c r="L209" s="974">
        <f>SUM(H209:K209)</f>
        <v>1100000</v>
      </c>
      <c r="M209" s="991" t="e">
        <f>IF(G209="",F209-L209-#REF!,G209-L209-#REF!)</f>
        <v>#REF!</v>
      </c>
      <c r="N209" s="1013">
        <f t="shared" si="10"/>
        <v>0</v>
      </c>
      <c r="O209" s="976"/>
      <c r="P209" s="977"/>
      <c r="Q209" s="974"/>
      <c r="R209" s="1147"/>
      <c r="S209" s="974"/>
      <c r="T209" s="976"/>
      <c r="U209" s="693" t="s">
        <v>943</v>
      </c>
      <c r="V209" s="687" t="s">
        <v>822</v>
      </c>
    </row>
    <row r="210" spans="1:23" x14ac:dyDescent="0.25">
      <c r="B210" s="1187" t="s">
        <v>1032</v>
      </c>
      <c r="C210" s="1187">
        <v>1009</v>
      </c>
      <c r="D210" s="976" t="s">
        <v>823</v>
      </c>
      <c r="E210" s="976" t="s">
        <v>416</v>
      </c>
      <c r="F210" s="973">
        <v>1904000</v>
      </c>
      <c r="G210" s="974"/>
      <c r="H210" s="974">
        <v>1904000</v>
      </c>
      <c r="I210" s="974"/>
      <c r="J210" s="975"/>
      <c r="K210" s="974"/>
      <c r="L210" s="974">
        <f t="shared" ref="L210:L239" si="13">SUM(H210:K210)</f>
        <v>1904000</v>
      </c>
      <c r="M210" s="991" t="e">
        <f>IF(G210="",F210-L210-#REF!,G210-L210-#REF!)</f>
        <v>#REF!</v>
      </c>
      <c r="N210" s="1013">
        <f t="shared" si="10"/>
        <v>0</v>
      </c>
      <c r="O210" s="976"/>
      <c r="P210" s="977"/>
      <c r="Q210" s="974"/>
      <c r="R210" s="1147"/>
      <c r="S210" s="974"/>
      <c r="T210" s="976"/>
      <c r="U210" s="693" t="s">
        <v>943</v>
      </c>
      <c r="V210" s="687" t="s">
        <v>1003</v>
      </c>
      <c r="W210" s="687">
        <v>900000</v>
      </c>
    </row>
    <row r="211" spans="1:23" x14ac:dyDescent="0.25">
      <c r="B211" s="1187" t="s">
        <v>1032</v>
      </c>
      <c r="C211" s="1187">
        <v>1009</v>
      </c>
      <c r="D211" s="976" t="s">
        <v>394</v>
      </c>
      <c r="E211" s="976" t="s">
        <v>824</v>
      </c>
      <c r="F211" s="973">
        <v>21600000</v>
      </c>
      <c r="G211" s="974"/>
      <c r="H211" s="974">
        <v>16600000</v>
      </c>
      <c r="I211" s="974">
        <v>5000000</v>
      </c>
      <c r="J211" s="975"/>
      <c r="K211" s="974"/>
      <c r="L211" s="974">
        <f t="shared" si="13"/>
        <v>21600000</v>
      </c>
      <c r="M211" s="991" t="e">
        <f>IF(G211="",F211-L211-#REF!,G211-L211-#REF!)</f>
        <v>#REF!</v>
      </c>
      <c r="N211" s="1013">
        <f t="shared" si="10"/>
        <v>0</v>
      </c>
      <c r="O211" s="976"/>
      <c r="P211" s="977"/>
      <c r="Q211" s="974"/>
      <c r="R211" s="1147"/>
      <c r="S211" s="974"/>
      <c r="T211" s="976"/>
      <c r="U211" s="693"/>
      <c r="V211" s="687" t="s">
        <v>1004</v>
      </c>
      <c r="W211" s="687">
        <v>2400000</v>
      </c>
    </row>
    <row r="212" spans="1:23" x14ac:dyDescent="0.25">
      <c r="B212" s="1187" t="s">
        <v>1032</v>
      </c>
      <c r="C212" s="1187">
        <v>1009</v>
      </c>
      <c r="D212" s="976" t="s">
        <v>31</v>
      </c>
      <c r="E212" s="976" t="s">
        <v>825</v>
      </c>
      <c r="F212" s="973">
        <v>7140000</v>
      </c>
      <c r="G212" s="974">
        <v>19774000</v>
      </c>
      <c r="H212" s="974">
        <v>7140000</v>
      </c>
      <c r="I212" s="974">
        <v>12634000</v>
      </c>
      <c r="J212" s="975"/>
      <c r="K212" s="974"/>
      <c r="L212" s="974">
        <f t="shared" si="13"/>
        <v>19774000</v>
      </c>
      <c r="M212" s="991" t="e">
        <f>IF(G212="",F212-L212-#REF!,G212-L212-#REF!)</f>
        <v>#REF!</v>
      </c>
      <c r="N212" s="1013">
        <f t="shared" si="10"/>
        <v>0</v>
      </c>
      <c r="O212" s="976"/>
      <c r="P212" s="977"/>
      <c r="Q212" s="974"/>
      <c r="R212" s="1147"/>
      <c r="S212" s="974"/>
      <c r="T212" s="976"/>
      <c r="U212" s="693"/>
      <c r="V212" s="687" t="s">
        <v>1018</v>
      </c>
      <c r="W212" s="687">
        <v>2700000</v>
      </c>
    </row>
    <row r="213" spans="1:23" x14ac:dyDescent="0.25">
      <c r="B213" s="1187" t="s">
        <v>1032</v>
      </c>
      <c r="C213" s="1187">
        <v>1009</v>
      </c>
      <c r="D213" s="976" t="s">
        <v>50</v>
      </c>
      <c r="E213" s="976" t="s">
        <v>61</v>
      </c>
      <c r="F213" s="973">
        <v>78936000</v>
      </c>
      <c r="G213" s="974"/>
      <c r="H213" s="974">
        <v>38918000</v>
      </c>
      <c r="I213" s="974">
        <v>40018000</v>
      </c>
      <c r="J213" s="975"/>
      <c r="K213" s="974"/>
      <c r="L213" s="974">
        <f t="shared" si="13"/>
        <v>78936000</v>
      </c>
      <c r="M213" s="991" t="e">
        <f>IF(G213="",F213-L213-#REF!,G213-L213-#REF!)</f>
        <v>#REF!</v>
      </c>
      <c r="N213" s="1013">
        <f t="shared" si="10"/>
        <v>0</v>
      </c>
      <c r="O213" s="976"/>
      <c r="P213" s="977"/>
      <c r="Q213" s="974"/>
      <c r="R213" s="1147"/>
      <c r="S213" s="974"/>
      <c r="T213" s="976"/>
      <c r="U213" s="693" t="s">
        <v>943</v>
      </c>
      <c r="V213" s="687" t="s">
        <v>1019</v>
      </c>
      <c r="W213" s="687">
        <v>1800000</v>
      </c>
    </row>
    <row r="214" spans="1:23" x14ac:dyDescent="0.25">
      <c r="B214" s="1187" t="s">
        <v>1032</v>
      </c>
      <c r="C214" s="1187">
        <v>1009</v>
      </c>
      <c r="D214" s="976" t="s">
        <v>50</v>
      </c>
      <c r="E214" s="976" t="s">
        <v>323</v>
      </c>
      <c r="F214" s="973">
        <v>24472800</v>
      </c>
      <c r="G214" s="974"/>
      <c r="H214" s="974">
        <v>17130960</v>
      </c>
      <c r="I214" s="974">
        <v>7341840</v>
      </c>
      <c r="J214" s="975"/>
      <c r="K214" s="974"/>
      <c r="L214" s="974">
        <f t="shared" si="13"/>
        <v>24472800</v>
      </c>
      <c r="M214" s="991" t="e">
        <f>IF(G214="",F214-L214-#REF!,G214-L214-#REF!)</f>
        <v>#REF!</v>
      </c>
      <c r="N214" s="1013">
        <f t="shared" si="10"/>
        <v>0</v>
      </c>
      <c r="O214" s="976" t="s">
        <v>827</v>
      </c>
      <c r="P214" s="977"/>
      <c r="Q214" s="974"/>
      <c r="R214" s="1147"/>
      <c r="S214" s="974"/>
      <c r="T214" s="976"/>
      <c r="U214" s="693" t="s">
        <v>943</v>
      </c>
      <c r="V214" s="687" t="s">
        <v>1016</v>
      </c>
      <c r="W214" s="687">
        <v>1032000</v>
      </c>
    </row>
    <row r="215" spans="1:23" x14ac:dyDescent="0.25">
      <c r="B215" s="1187" t="s">
        <v>1032</v>
      </c>
      <c r="C215" s="1187">
        <v>1009</v>
      </c>
      <c r="D215" s="976" t="s">
        <v>828</v>
      </c>
      <c r="E215" s="976" t="s">
        <v>829</v>
      </c>
      <c r="F215" s="1108">
        <f>L215</f>
        <v>294525</v>
      </c>
      <c r="G215" s="974"/>
      <c r="H215" s="974">
        <v>294525</v>
      </c>
      <c r="I215" s="974"/>
      <c r="J215" s="975"/>
      <c r="K215" s="974"/>
      <c r="L215" s="974">
        <f t="shared" si="13"/>
        <v>294525</v>
      </c>
      <c r="M215" s="991" t="e">
        <f>IF(G215="",F215-L215-#REF!,G215-L215-#REF!)</f>
        <v>#REF!</v>
      </c>
      <c r="N215" s="1013">
        <f t="shared" si="10"/>
        <v>0</v>
      </c>
      <c r="O215" s="976"/>
      <c r="P215" s="977"/>
      <c r="Q215" s="974"/>
      <c r="R215" s="1147"/>
      <c r="S215" s="974"/>
      <c r="T215" s="976"/>
      <c r="U215" s="693"/>
      <c r="V215" s="687" t="s">
        <v>1020</v>
      </c>
      <c r="W215" s="687">
        <v>300000</v>
      </c>
    </row>
    <row r="216" spans="1:23" x14ac:dyDescent="0.25">
      <c r="B216" s="1187" t="s">
        <v>1032</v>
      </c>
      <c r="C216" s="1187">
        <v>1009</v>
      </c>
      <c r="D216" s="976" t="s">
        <v>831</v>
      </c>
      <c r="E216" s="976" t="s">
        <v>526</v>
      </c>
      <c r="F216" s="1108">
        <f>L216</f>
        <v>2000000</v>
      </c>
      <c r="G216" s="974"/>
      <c r="H216" s="974">
        <v>2000000</v>
      </c>
      <c r="I216" s="974"/>
      <c r="J216" s="975"/>
      <c r="K216" s="974"/>
      <c r="L216" s="974">
        <f t="shared" si="13"/>
        <v>2000000</v>
      </c>
      <c r="M216" s="991" t="e">
        <f>IF(G216="",F216-L216-#REF!,G216-L216-#REF!)</f>
        <v>#REF!</v>
      </c>
      <c r="N216" s="1013">
        <f t="shared" si="10"/>
        <v>0</v>
      </c>
      <c r="O216" s="976"/>
      <c r="P216" s="977"/>
      <c r="Q216" s="974"/>
      <c r="R216" s="1147"/>
      <c r="S216" s="974"/>
      <c r="T216" s="976"/>
      <c r="U216" s="693"/>
      <c r="V216" s="687" t="s">
        <v>1021</v>
      </c>
      <c r="W216" s="687">
        <v>1248000</v>
      </c>
    </row>
    <row r="217" spans="1:23" x14ac:dyDescent="0.25">
      <c r="B217" s="1187" t="s">
        <v>1032</v>
      </c>
      <c r="C217" s="1187">
        <v>1009</v>
      </c>
      <c r="D217" s="976" t="s">
        <v>607</v>
      </c>
      <c r="E217" s="976" t="s">
        <v>1229</v>
      </c>
      <c r="F217" s="1108">
        <v>6000000</v>
      </c>
      <c r="G217" s="974">
        <v>7685000</v>
      </c>
      <c r="H217" s="974">
        <v>3000000</v>
      </c>
      <c r="I217" s="974">
        <v>3000000</v>
      </c>
      <c r="J217" s="975">
        <v>1685000</v>
      </c>
      <c r="K217" s="974"/>
      <c r="L217" s="974">
        <f t="shared" si="13"/>
        <v>7685000</v>
      </c>
      <c r="M217" s="991"/>
      <c r="N217" s="1013">
        <f t="shared" si="10"/>
        <v>0</v>
      </c>
      <c r="O217" s="976"/>
      <c r="P217" s="977"/>
      <c r="Q217" s="974"/>
      <c r="R217" s="1147"/>
      <c r="S217" s="974"/>
      <c r="T217" s="976"/>
      <c r="U217" s="693"/>
    </row>
    <row r="218" spans="1:23" x14ac:dyDescent="0.25">
      <c r="B218" s="1187" t="s">
        <v>1032</v>
      </c>
      <c r="C218" s="1187">
        <v>1009</v>
      </c>
      <c r="D218" s="976" t="s">
        <v>92</v>
      </c>
      <c r="E218" s="976" t="s">
        <v>204</v>
      </c>
      <c r="F218" s="973">
        <v>56045000</v>
      </c>
      <c r="G218" s="974">
        <v>69982000</v>
      </c>
      <c r="H218" s="974">
        <v>15285000</v>
      </c>
      <c r="I218" s="974">
        <v>20380000</v>
      </c>
      <c r="J218" s="975">
        <v>34317000</v>
      </c>
      <c r="K218" s="974"/>
      <c r="L218" s="974">
        <f t="shared" si="13"/>
        <v>69982000</v>
      </c>
      <c r="M218" s="991" t="e">
        <f>IF(G218="",F218-L218-#REF!,G218-L218-#REF!)</f>
        <v>#REF!</v>
      </c>
      <c r="N218" s="1013">
        <f t="shared" si="10"/>
        <v>0</v>
      </c>
      <c r="O218" s="976" t="s">
        <v>725</v>
      </c>
      <c r="P218" s="977"/>
      <c r="Q218" s="974"/>
      <c r="R218" s="1147"/>
      <c r="S218" s="974"/>
      <c r="T218" s="976"/>
      <c r="U218" s="693" t="s">
        <v>943</v>
      </c>
    </row>
    <row r="219" spans="1:23" x14ac:dyDescent="0.25">
      <c r="B219" s="1187" t="s">
        <v>1032</v>
      </c>
      <c r="C219" s="1187">
        <v>1009</v>
      </c>
      <c r="D219" s="976" t="s">
        <v>99</v>
      </c>
      <c r="E219" s="976" t="s">
        <v>100</v>
      </c>
      <c r="F219" s="973">
        <v>139717600</v>
      </c>
      <c r="G219" s="974">
        <v>139717600</v>
      </c>
      <c r="H219" s="974">
        <v>41915280</v>
      </c>
      <c r="I219" s="974">
        <v>97802320</v>
      </c>
      <c r="J219" s="975"/>
      <c r="K219" s="974"/>
      <c r="L219" s="974">
        <f t="shared" si="13"/>
        <v>139717600</v>
      </c>
      <c r="M219" s="991" t="e">
        <f>IF(G219="",F219-L219-#REF!,G219-L219-#REF!)</f>
        <v>#REF!</v>
      </c>
      <c r="N219" s="1013">
        <f t="shared" si="10"/>
        <v>0</v>
      </c>
      <c r="O219" s="976"/>
      <c r="P219" s="977"/>
      <c r="Q219" s="974"/>
      <c r="R219" s="1147"/>
      <c r="S219" s="974"/>
      <c r="T219" s="976"/>
      <c r="U219" s="693" t="s">
        <v>943</v>
      </c>
    </row>
    <row r="220" spans="1:23" x14ac:dyDescent="0.25">
      <c r="B220" s="1187" t="s">
        <v>1032</v>
      </c>
      <c r="C220" s="1187">
        <v>1009</v>
      </c>
      <c r="D220" s="976" t="s">
        <v>514</v>
      </c>
      <c r="E220" s="976" t="s">
        <v>114</v>
      </c>
      <c r="F220" s="973">
        <v>6714000</v>
      </c>
      <c r="G220" s="974"/>
      <c r="H220" s="974">
        <v>6714000</v>
      </c>
      <c r="I220" s="974"/>
      <c r="J220" s="975"/>
      <c r="K220" s="974"/>
      <c r="L220" s="974">
        <f t="shared" si="13"/>
        <v>6714000</v>
      </c>
      <c r="M220" s="991" t="e">
        <f>IF(G220="",F220-L220-#REF!,G220-L220-#REF!)</f>
        <v>#REF!</v>
      </c>
      <c r="N220" s="1013">
        <f t="shared" ref="N220:N284" si="14">IF($G220="",($F220-$L220),($G220-$L220))</f>
        <v>0</v>
      </c>
      <c r="O220" s="976"/>
      <c r="P220" s="977"/>
      <c r="Q220" s="974"/>
      <c r="R220" s="1147"/>
      <c r="S220" s="974"/>
      <c r="T220" s="976"/>
      <c r="U220" s="693" t="s">
        <v>957</v>
      </c>
    </row>
    <row r="221" spans="1:23" x14ac:dyDescent="0.25">
      <c r="B221" s="1187" t="s">
        <v>1032</v>
      </c>
      <c r="C221" s="1187">
        <v>1009</v>
      </c>
      <c r="D221" s="976" t="s">
        <v>107</v>
      </c>
      <c r="E221" s="976" t="s">
        <v>341</v>
      </c>
      <c r="F221" s="973">
        <v>4800000</v>
      </c>
      <c r="G221" s="974">
        <v>4800000</v>
      </c>
      <c r="H221" s="974">
        <v>2800000</v>
      </c>
      <c r="I221" s="974">
        <v>2000000</v>
      </c>
      <c r="J221" s="975"/>
      <c r="K221" s="974"/>
      <c r="L221" s="974">
        <f t="shared" si="13"/>
        <v>4800000</v>
      </c>
      <c r="M221" s="991" t="e">
        <f>IF(G221="",F221-L221-#REF!,G221-L221-#REF!)</f>
        <v>#REF!</v>
      </c>
      <c r="N221" s="1013">
        <f t="shared" si="14"/>
        <v>0</v>
      </c>
      <c r="O221" s="976"/>
      <c r="P221" s="977"/>
      <c r="Q221" s="974"/>
      <c r="R221" s="1147"/>
      <c r="S221" s="974"/>
      <c r="T221" s="976"/>
      <c r="U221" s="693"/>
    </row>
    <row r="222" spans="1:23" x14ac:dyDescent="0.25">
      <c r="B222" s="1187" t="s">
        <v>1032</v>
      </c>
      <c r="C222" s="1187">
        <v>1009</v>
      </c>
      <c r="D222" s="976" t="s">
        <v>834</v>
      </c>
      <c r="E222" s="976" t="s">
        <v>273</v>
      </c>
      <c r="F222" s="973">
        <v>8566950</v>
      </c>
      <c r="G222" s="974">
        <v>20546400</v>
      </c>
      <c r="H222" s="974">
        <v>8566950</v>
      </c>
      <c r="I222" s="974">
        <v>11980400</v>
      </c>
      <c r="J222" s="975">
        <v>-950</v>
      </c>
      <c r="K222" s="974"/>
      <c r="L222" s="974">
        <f t="shared" si="13"/>
        <v>20546400</v>
      </c>
      <c r="M222" s="991" t="e">
        <f>IF(G222="",F222-L222-#REF!,G222-L222-#REF!)</f>
        <v>#REF!</v>
      </c>
      <c r="N222" s="1013">
        <f t="shared" si="14"/>
        <v>0</v>
      </c>
      <c r="O222" s="976"/>
      <c r="P222" s="977"/>
      <c r="Q222" s="974"/>
      <c r="R222" s="1147"/>
      <c r="S222" s="974"/>
      <c r="T222" s="976"/>
      <c r="U222" s="693"/>
    </row>
    <row r="223" spans="1:23" x14ac:dyDescent="0.25">
      <c r="B223" s="1187" t="s">
        <v>1032</v>
      </c>
      <c r="C223" s="1187">
        <v>1009</v>
      </c>
      <c r="D223" s="976" t="s">
        <v>835</v>
      </c>
      <c r="E223" s="976" t="s">
        <v>836</v>
      </c>
      <c r="F223" s="973">
        <v>3696000</v>
      </c>
      <c r="G223" s="974"/>
      <c r="H223" s="974">
        <v>3696000</v>
      </c>
      <c r="I223" s="974"/>
      <c r="J223" s="975"/>
      <c r="K223" s="974"/>
      <c r="L223" s="974">
        <f t="shared" si="13"/>
        <v>3696000</v>
      </c>
      <c r="M223" s="991" t="e">
        <f>IF(G223="",F223-L223-#REF!,G223-L223-#REF!)</f>
        <v>#REF!</v>
      </c>
      <c r="N223" s="1013">
        <f t="shared" si="14"/>
        <v>0</v>
      </c>
      <c r="O223" s="976"/>
      <c r="P223" s="977"/>
      <c r="Q223" s="974"/>
      <c r="R223" s="1147"/>
      <c r="S223" s="974"/>
      <c r="T223" s="976"/>
      <c r="U223" s="693" t="s">
        <v>1033</v>
      </c>
    </row>
    <row r="224" spans="1:23" x14ac:dyDescent="0.25">
      <c r="B224" s="1187" t="s">
        <v>1032</v>
      </c>
      <c r="C224" s="1187">
        <v>1009</v>
      </c>
      <c r="D224" s="976" t="s">
        <v>838</v>
      </c>
      <c r="E224" s="976"/>
      <c r="F224" s="973">
        <v>1440750</v>
      </c>
      <c r="G224" s="974"/>
      <c r="H224" s="974">
        <v>1440750</v>
      </c>
      <c r="I224" s="974"/>
      <c r="J224" s="975"/>
      <c r="K224" s="974"/>
      <c r="L224" s="974">
        <f t="shared" si="13"/>
        <v>1440750</v>
      </c>
      <c r="M224" s="991" t="e">
        <f>IF(G224="",F224-L224-#REF!,G224-L224-#REF!)</f>
        <v>#REF!</v>
      </c>
      <c r="N224" s="1013">
        <f t="shared" si="14"/>
        <v>0</v>
      </c>
      <c r="O224" s="976"/>
      <c r="P224" s="977"/>
      <c r="Q224" s="974"/>
      <c r="R224" s="1147"/>
      <c r="S224" s="974"/>
      <c r="T224" s="976"/>
      <c r="U224" s="693"/>
    </row>
    <row r="225" spans="2:23" x14ac:dyDescent="0.25">
      <c r="B225" s="1187" t="s">
        <v>1032</v>
      </c>
      <c r="C225" s="1187">
        <v>1009</v>
      </c>
      <c r="D225" s="976" t="s">
        <v>839</v>
      </c>
      <c r="E225" s="976" t="s">
        <v>840</v>
      </c>
      <c r="F225" s="973"/>
      <c r="G225" s="974">
        <v>3824000</v>
      </c>
      <c r="H225" s="974">
        <v>3824000</v>
      </c>
      <c r="I225" s="974"/>
      <c r="J225" s="975"/>
      <c r="K225" s="974"/>
      <c r="L225" s="974">
        <f t="shared" si="13"/>
        <v>3824000</v>
      </c>
      <c r="M225" s="991" t="e">
        <f>IF(G225="",F225-L225-#REF!,G225-L225-#REF!)</f>
        <v>#REF!</v>
      </c>
      <c r="N225" s="1013">
        <f t="shared" si="14"/>
        <v>0</v>
      </c>
      <c r="O225" s="976"/>
      <c r="P225" s="977"/>
      <c r="Q225" s="974"/>
      <c r="R225" s="1147"/>
      <c r="S225" s="974"/>
      <c r="T225" s="976"/>
      <c r="U225" s="693" t="s">
        <v>943</v>
      </c>
    </row>
    <row r="226" spans="2:23" x14ac:dyDescent="0.25">
      <c r="B226" s="1187" t="s">
        <v>1032</v>
      </c>
      <c r="C226" s="1187">
        <v>1009</v>
      </c>
      <c r="D226" s="976" t="s">
        <v>257</v>
      </c>
      <c r="E226" s="976" t="s">
        <v>286</v>
      </c>
      <c r="F226" s="973"/>
      <c r="G226" s="974">
        <v>3859649</v>
      </c>
      <c r="H226" s="974">
        <v>3859649</v>
      </c>
      <c r="I226" s="974"/>
      <c r="J226" s="975"/>
      <c r="K226" s="974"/>
      <c r="L226" s="974">
        <f t="shared" si="13"/>
        <v>3859649</v>
      </c>
      <c r="M226" s="991" t="e">
        <f>IF(G226="",F226-L226-#REF!,G226-L226-#REF!)</f>
        <v>#REF!</v>
      </c>
      <c r="N226" s="1013">
        <f t="shared" si="14"/>
        <v>0</v>
      </c>
      <c r="O226" s="976"/>
      <c r="P226" s="977"/>
      <c r="Q226" s="974"/>
      <c r="R226" s="1147"/>
      <c r="S226" s="974"/>
      <c r="T226" s="976"/>
      <c r="U226" s="693"/>
    </row>
    <row r="227" spans="2:23" x14ac:dyDescent="0.25">
      <c r="B227" s="1187" t="s">
        <v>1032</v>
      </c>
      <c r="C227" s="1187">
        <v>1009</v>
      </c>
      <c r="D227" s="976" t="s">
        <v>769</v>
      </c>
      <c r="E227" s="976" t="s">
        <v>229</v>
      </c>
      <c r="F227" s="973">
        <v>14018000</v>
      </c>
      <c r="G227" s="974"/>
      <c r="H227" s="974">
        <v>14018000</v>
      </c>
      <c r="I227" s="974"/>
      <c r="J227" s="975"/>
      <c r="K227" s="974"/>
      <c r="L227" s="974">
        <f t="shared" si="13"/>
        <v>14018000</v>
      </c>
      <c r="M227" s="991" t="e">
        <f>IF(G227="",F227-L227-#REF!,G227-L227-#REF!)</f>
        <v>#REF!</v>
      </c>
      <c r="N227" s="1013">
        <f t="shared" si="14"/>
        <v>0</v>
      </c>
      <c r="O227" s="976" t="s">
        <v>844</v>
      </c>
      <c r="P227" s="977">
        <v>43915</v>
      </c>
      <c r="Q227" s="974"/>
      <c r="R227" s="1147"/>
      <c r="S227" s="974"/>
      <c r="T227" s="976"/>
      <c r="U227" s="693" t="s">
        <v>943</v>
      </c>
    </row>
    <row r="228" spans="2:23" x14ac:dyDescent="0.25">
      <c r="B228" s="1187" t="s">
        <v>1032</v>
      </c>
      <c r="C228" s="1187">
        <v>1009</v>
      </c>
      <c r="D228" s="976" t="s">
        <v>845</v>
      </c>
      <c r="E228" s="976" t="s">
        <v>846</v>
      </c>
      <c r="F228" s="973">
        <v>13352000</v>
      </c>
      <c r="G228" s="974"/>
      <c r="H228" s="974">
        <v>13352000</v>
      </c>
      <c r="I228" s="974"/>
      <c r="J228" s="975"/>
      <c r="K228" s="974"/>
      <c r="L228" s="974">
        <f t="shared" si="13"/>
        <v>13352000</v>
      </c>
      <c r="M228" s="991" t="e">
        <f>IF(G228="",F228-L228-#REF!,G228-L228-#REF!)</f>
        <v>#REF!</v>
      </c>
      <c r="N228" s="1013">
        <f t="shared" si="14"/>
        <v>0</v>
      </c>
      <c r="O228" s="976"/>
      <c r="P228" s="977"/>
      <c r="Q228" s="974"/>
      <c r="R228" s="1147"/>
      <c r="S228" s="974"/>
      <c r="T228" s="976"/>
      <c r="U228" s="693" t="s">
        <v>1033</v>
      </c>
    </row>
    <row r="229" spans="2:23" x14ac:dyDescent="0.25">
      <c r="B229" s="1187" t="s">
        <v>1032</v>
      </c>
      <c r="C229" s="1187">
        <v>1009</v>
      </c>
      <c r="D229" s="976" t="s">
        <v>158</v>
      </c>
      <c r="E229" s="976" t="s">
        <v>441</v>
      </c>
      <c r="F229" s="973">
        <v>3542000</v>
      </c>
      <c r="G229" s="974"/>
      <c r="H229" s="974">
        <v>3542000</v>
      </c>
      <c r="I229" s="974"/>
      <c r="J229" s="975"/>
      <c r="K229" s="974"/>
      <c r="L229" s="974">
        <f t="shared" si="13"/>
        <v>3542000</v>
      </c>
      <c r="M229" s="991" t="e">
        <f>IF(G229="",F229-L229-#REF!,G229-L229-#REF!)</f>
        <v>#REF!</v>
      </c>
      <c r="N229" s="1013">
        <f t="shared" si="14"/>
        <v>0</v>
      </c>
      <c r="O229" s="976"/>
      <c r="P229" s="977"/>
      <c r="Q229" s="974"/>
      <c r="R229" s="1147"/>
      <c r="S229" s="974"/>
      <c r="T229" s="976"/>
      <c r="U229" s="693"/>
    </row>
    <row r="230" spans="2:23" x14ac:dyDescent="0.25">
      <c r="B230" s="1187" t="s">
        <v>1032</v>
      </c>
      <c r="C230" s="1187">
        <v>1009</v>
      </c>
      <c r="D230" s="976" t="s">
        <v>118</v>
      </c>
      <c r="E230" s="976" t="s">
        <v>301</v>
      </c>
      <c r="F230" s="973">
        <v>44855950</v>
      </c>
      <c r="G230" s="974"/>
      <c r="H230" s="974">
        <v>34855950</v>
      </c>
      <c r="I230" s="974">
        <v>10000000</v>
      </c>
      <c r="J230" s="975"/>
      <c r="K230" s="974"/>
      <c r="L230" s="974">
        <f t="shared" si="13"/>
        <v>44855950</v>
      </c>
      <c r="M230" s="991" t="e">
        <f>IF(G230="",F230-L230-#REF!,G230-L230-#REF!)</f>
        <v>#REF!</v>
      </c>
      <c r="N230" s="1013">
        <f t="shared" si="14"/>
        <v>0</v>
      </c>
      <c r="O230" s="976"/>
      <c r="P230" s="977"/>
      <c r="Q230" s="974"/>
      <c r="R230" s="1147"/>
      <c r="S230" s="974"/>
      <c r="T230" s="976"/>
      <c r="U230" s="693"/>
    </row>
    <row r="231" spans="2:23" x14ac:dyDescent="0.25">
      <c r="B231" s="1187" t="s">
        <v>1032</v>
      </c>
      <c r="C231" s="1187">
        <v>1009</v>
      </c>
      <c r="D231" s="976" t="s">
        <v>254</v>
      </c>
      <c r="E231" s="976" t="s">
        <v>299</v>
      </c>
      <c r="F231" s="973">
        <v>660000</v>
      </c>
      <c r="G231" s="974"/>
      <c r="H231" s="974">
        <v>660000</v>
      </c>
      <c r="I231" s="974"/>
      <c r="J231" s="975"/>
      <c r="K231" s="974"/>
      <c r="L231" s="974">
        <f t="shared" si="13"/>
        <v>660000</v>
      </c>
      <c r="M231" s="991" t="e">
        <f>IF(G231="",F231-L231-#REF!,G231-L231-#REF!)</f>
        <v>#REF!</v>
      </c>
      <c r="N231" s="1013">
        <f t="shared" si="14"/>
        <v>0</v>
      </c>
      <c r="O231" s="976"/>
      <c r="P231" s="977"/>
      <c r="Q231" s="974"/>
      <c r="R231" s="1147"/>
      <c r="S231" s="974"/>
      <c r="T231" s="976"/>
      <c r="U231" s="693"/>
    </row>
    <row r="232" spans="2:23" x14ac:dyDescent="0.25">
      <c r="B232" s="1187" t="s">
        <v>1032</v>
      </c>
      <c r="C232" s="1187">
        <v>1009</v>
      </c>
      <c r="D232" s="976" t="s">
        <v>170</v>
      </c>
      <c r="E232" s="976" t="s">
        <v>171</v>
      </c>
      <c r="F232" s="973"/>
      <c r="G232" s="974">
        <v>33332000</v>
      </c>
      <c r="H232" s="974">
        <v>33332000</v>
      </c>
      <c r="I232" s="974"/>
      <c r="J232" s="975"/>
      <c r="K232" s="974"/>
      <c r="L232" s="974">
        <f t="shared" si="13"/>
        <v>33332000</v>
      </c>
      <c r="M232" s="991" t="e">
        <f>IF(G232="",F232-L232-#REF!,G232-L232-#REF!)</f>
        <v>#REF!</v>
      </c>
      <c r="N232" s="1013">
        <f t="shared" si="14"/>
        <v>0</v>
      </c>
      <c r="O232" s="976"/>
      <c r="P232" s="977"/>
      <c r="Q232" s="974"/>
      <c r="R232" s="1147"/>
      <c r="S232" s="974"/>
      <c r="T232" s="976"/>
      <c r="U232" s="693" t="s">
        <v>171</v>
      </c>
    </row>
    <row r="233" spans="2:23" x14ac:dyDescent="0.25">
      <c r="B233" s="1187" t="s">
        <v>1032</v>
      </c>
      <c r="C233" s="1187">
        <v>1009</v>
      </c>
      <c r="D233" s="976" t="s">
        <v>250</v>
      </c>
      <c r="E233" s="976" t="s">
        <v>251</v>
      </c>
      <c r="F233" s="973">
        <v>5280000</v>
      </c>
      <c r="G233" s="974"/>
      <c r="H233" s="974">
        <v>5280000</v>
      </c>
      <c r="I233" s="974"/>
      <c r="J233" s="975"/>
      <c r="K233" s="974"/>
      <c r="L233" s="974">
        <f t="shared" si="13"/>
        <v>5280000</v>
      </c>
      <c r="M233" s="991" t="e">
        <f>IF(G233="",F233-L233-#REF!,G233-L233-#REF!)</f>
        <v>#REF!</v>
      </c>
      <c r="N233" s="1013">
        <f t="shared" si="14"/>
        <v>0</v>
      </c>
      <c r="O233" s="976"/>
      <c r="P233" s="977"/>
      <c r="Q233" s="974"/>
      <c r="R233" s="1147"/>
      <c r="S233" s="974"/>
      <c r="T233" s="976"/>
      <c r="U233" s="693" t="s">
        <v>943</v>
      </c>
    </row>
    <row r="234" spans="2:23" x14ac:dyDescent="0.25">
      <c r="B234" s="1187" t="s">
        <v>1032</v>
      </c>
      <c r="C234" s="1187">
        <v>1009</v>
      </c>
      <c r="D234" s="976" t="s">
        <v>849</v>
      </c>
      <c r="E234" s="976" t="s">
        <v>195</v>
      </c>
      <c r="F234" s="973">
        <v>2060000</v>
      </c>
      <c r="G234" s="974"/>
      <c r="H234" s="974">
        <v>2060000</v>
      </c>
      <c r="I234" s="974"/>
      <c r="J234" s="975"/>
      <c r="K234" s="974"/>
      <c r="L234" s="974">
        <f t="shared" si="13"/>
        <v>2060000</v>
      </c>
      <c r="M234" s="991" t="e">
        <f>IF(G234="",F234-L234-#REF!,G234-L234-#REF!)</f>
        <v>#REF!</v>
      </c>
      <c r="N234" s="1013">
        <f t="shared" si="14"/>
        <v>0</v>
      </c>
      <c r="O234" s="976"/>
      <c r="P234" s="977"/>
      <c r="Q234" s="974"/>
      <c r="R234" s="1147"/>
      <c r="S234" s="974"/>
      <c r="T234" s="976"/>
      <c r="U234" s="693"/>
    </row>
    <row r="235" spans="2:23" x14ac:dyDescent="0.25">
      <c r="B235" s="1187" t="s">
        <v>1032</v>
      </c>
      <c r="C235" s="1187">
        <v>1009</v>
      </c>
      <c r="D235" s="976" t="s">
        <v>257</v>
      </c>
      <c r="E235" s="976" t="s">
        <v>526</v>
      </c>
      <c r="F235" s="1108">
        <f>L235</f>
        <v>8635500</v>
      </c>
      <c r="G235" s="974"/>
      <c r="H235" s="974">
        <v>7685000</v>
      </c>
      <c r="I235" s="974">
        <v>950500</v>
      </c>
      <c r="J235" s="975"/>
      <c r="K235" s="974"/>
      <c r="L235" s="974">
        <f t="shared" si="13"/>
        <v>8635500</v>
      </c>
      <c r="M235" s="991" t="e">
        <f>IF(G235="",F235-L235-#REF!,G235-L235-#REF!)</f>
        <v>#REF!</v>
      </c>
      <c r="N235" s="1013">
        <f t="shared" si="14"/>
        <v>0</v>
      </c>
      <c r="O235" s="976"/>
      <c r="P235" s="977"/>
      <c r="Q235" s="974"/>
      <c r="R235" s="1147"/>
      <c r="S235" s="974"/>
      <c r="T235" s="976"/>
      <c r="U235" s="693"/>
    </row>
    <row r="236" spans="2:23" x14ac:dyDescent="0.25">
      <c r="B236" s="1187" t="s">
        <v>1032</v>
      </c>
      <c r="C236" s="1187">
        <v>1009</v>
      </c>
      <c r="D236" s="976" t="s">
        <v>712</v>
      </c>
      <c r="E236" s="976" t="s">
        <v>956</v>
      </c>
      <c r="F236" s="973">
        <v>7568000</v>
      </c>
      <c r="G236" s="974"/>
      <c r="H236" s="1115">
        <f>19004000-11436000</f>
        <v>7568000</v>
      </c>
      <c r="I236" s="974"/>
      <c r="J236" s="975"/>
      <c r="K236" s="974"/>
      <c r="L236" s="974">
        <f t="shared" si="13"/>
        <v>7568000</v>
      </c>
      <c r="M236" s="991" t="e">
        <f>IF(G236="",F236-L236-#REF!,G236-L236-#REF!)</f>
        <v>#REF!</v>
      </c>
      <c r="N236" s="1013">
        <f t="shared" si="14"/>
        <v>0</v>
      </c>
      <c r="O236" s="976"/>
      <c r="P236" s="977"/>
      <c r="Q236" s="974"/>
      <c r="R236" s="1147"/>
      <c r="S236" s="974"/>
      <c r="T236" s="976"/>
      <c r="U236" s="693"/>
    </row>
    <row r="237" spans="2:23" x14ac:dyDescent="0.25">
      <c r="B237" s="1187" t="s">
        <v>1032</v>
      </c>
      <c r="C237" s="1187">
        <v>1009</v>
      </c>
      <c r="D237" s="976" t="s">
        <v>1034</v>
      </c>
      <c r="E237" s="976" t="s">
        <v>1035</v>
      </c>
      <c r="F237" s="973">
        <v>1300000</v>
      </c>
      <c r="G237" s="974"/>
      <c r="H237" s="1115">
        <v>1300000</v>
      </c>
      <c r="I237" s="974"/>
      <c r="J237" s="975"/>
      <c r="K237" s="974"/>
      <c r="L237" s="974">
        <f t="shared" si="13"/>
        <v>1300000</v>
      </c>
      <c r="M237" s="991" t="e">
        <f>IF(G237="",F237-L237-#REF!,G237-L237-#REF!)</f>
        <v>#REF!</v>
      </c>
      <c r="N237" s="1013">
        <f t="shared" si="14"/>
        <v>0</v>
      </c>
      <c r="O237" s="976"/>
      <c r="P237" s="977"/>
      <c r="Q237" s="974"/>
      <c r="R237" s="1147"/>
      <c r="S237" s="974"/>
      <c r="T237" s="976"/>
      <c r="U237" s="693"/>
    </row>
    <row r="238" spans="2:23" x14ac:dyDescent="0.25">
      <c r="B238" s="1187" t="s">
        <v>1032</v>
      </c>
      <c r="C238" s="1187">
        <v>1009</v>
      </c>
      <c r="D238" s="976" t="s">
        <v>1036</v>
      </c>
      <c r="E238" s="976" t="s">
        <v>1035</v>
      </c>
      <c r="F238" s="973">
        <v>9540000</v>
      </c>
      <c r="G238" s="974"/>
      <c r="H238" s="1115">
        <v>9540000</v>
      </c>
      <c r="I238" s="974"/>
      <c r="J238" s="975"/>
      <c r="K238" s="974"/>
      <c r="L238" s="974">
        <f t="shared" si="13"/>
        <v>9540000</v>
      </c>
      <c r="M238" s="991" t="e">
        <f>IF(G238="",F238-L238-#REF!,G238-L238-#REF!)</f>
        <v>#REF!</v>
      </c>
      <c r="N238" s="1013">
        <f t="shared" si="14"/>
        <v>0</v>
      </c>
      <c r="O238" s="976"/>
      <c r="P238" s="977"/>
      <c r="Q238" s="974"/>
      <c r="R238" s="1147"/>
      <c r="S238" s="974"/>
      <c r="T238" s="976"/>
      <c r="U238" s="693"/>
    </row>
    <row r="239" spans="2:23" x14ac:dyDescent="0.25">
      <c r="B239" s="1187" t="s">
        <v>1032</v>
      </c>
      <c r="C239" s="1187">
        <v>1009</v>
      </c>
      <c r="D239" s="976" t="s">
        <v>1230</v>
      </c>
      <c r="E239" s="976" t="s">
        <v>1231</v>
      </c>
      <c r="F239" s="973">
        <v>2100000</v>
      </c>
      <c r="G239" s="974"/>
      <c r="H239" s="1115">
        <v>2100000</v>
      </c>
      <c r="I239" s="974"/>
      <c r="J239" s="975"/>
      <c r="K239" s="974"/>
      <c r="L239" s="974">
        <f t="shared" si="13"/>
        <v>2100000</v>
      </c>
      <c r="M239" s="991" t="e">
        <f>IF(G239="",F239-L239-#REF!,G239-L239-#REF!)</f>
        <v>#REF!</v>
      </c>
      <c r="N239" s="1013">
        <f t="shared" si="14"/>
        <v>0</v>
      </c>
      <c r="O239" s="976"/>
      <c r="P239" s="977"/>
      <c r="Q239" s="974"/>
      <c r="R239" s="1147"/>
      <c r="S239" s="974"/>
      <c r="T239" s="976"/>
      <c r="U239" s="693"/>
    </row>
    <row r="240" spans="2:23" x14ac:dyDescent="0.25">
      <c r="B240" s="1187" t="s">
        <v>1032</v>
      </c>
      <c r="C240" s="1187">
        <v>1009</v>
      </c>
      <c r="D240" s="976" t="s">
        <v>947</v>
      </c>
      <c r="E240" s="976"/>
      <c r="F240" s="973">
        <v>10380000</v>
      </c>
      <c r="G240" s="974"/>
      <c r="H240" s="974">
        <f>W240</f>
        <v>10380000</v>
      </c>
      <c r="I240" s="974"/>
      <c r="J240" s="975"/>
      <c r="K240" s="974"/>
      <c r="L240" s="974">
        <f>SUM(H240:K240)</f>
        <v>10380000</v>
      </c>
      <c r="M240" s="991" t="e">
        <f>IF(G240="",F240-L240-#REF!,G240-L240-#REF!)</f>
        <v>#REF!</v>
      </c>
      <c r="N240" s="1013">
        <f t="shared" si="14"/>
        <v>0</v>
      </c>
      <c r="O240" s="976"/>
      <c r="P240" s="977"/>
      <c r="Q240" s="974"/>
      <c r="R240" s="1147"/>
      <c r="S240" s="974"/>
      <c r="T240" s="976"/>
      <c r="U240" s="693"/>
      <c r="V240" s="687" t="s">
        <v>948</v>
      </c>
      <c r="W240" s="687">
        <f>SUM(W210:W236)</f>
        <v>10380000</v>
      </c>
    </row>
    <row r="241" spans="1:25" s="723" customFormat="1" ht="15.75" x14ac:dyDescent="0.25">
      <c r="B241" s="720" t="s">
        <v>949</v>
      </c>
      <c r="C241" s="720"/>
      <c r="D241" s="699" t="s">
        <v>1032</v>
      </c>
      <c r="E241" s="700"/>
      <c r="F241" s="724"/>
      <c r="G241" s="702"/>
      <c r="H241" s="701"/>
      <c r="I241" s="702"/>
      <c r="J241" s="726"/>
      <c r="K241" s="702"/>
      <c r="L241" s="707">
        <f>SUM(L209:L240)</f>
        <v>568970174</v>
      </c>
      <c r="M241" s="707" t="e">
        <f>SUM(M209:M240)</f>
        <v>#REF!</v>
      </c>
      <c r="N241" s="869">
        <f>SUM(N209:N240)</f>
        <v>0</v>
      </c>
      <c r="O241" s="700"/>
      <c r="P241" s="704"/>
      <c r="Q241" s="742"/>
      <c r="R241" s="1148"/>
      <c r="S241" s="742"/>
      <c r="T241" s="705"/>
      <c r="U241" s="706"/>
      <c r="V241" s="722"/>
      <c r="W241" s="722"/>
      <c r="X241" s="722"/>
      <c r="Y241" s="722"/>
    </row>
    <row r="242" spans="1:25" x14ac:dyDescent="0.25">
      <c r="A242" s="686">
        <v>11</v>
      </c>
      <c r="B242" s="1187" t="s">
        <v>1037</v>
      </c>
      <c r="C242" s="1187">
        <v>1002</v>
      </c>
      <c r="D242" s="976" t="s">
        <v>175</v>
      </c>
      <c r="E242" s="976" t="s">
        <v>416</v>
      </c>
      <c r="F242" s="973">
        <v>1777333</v>
      </c>
      <c r="G242" s="974">
        <v>1777333</v>
      </c>
      <c r="H242" s="974">
        <v>1777333</v>
      </c>
      <c r="I242" s="974"/>
      <c r="J242" s="975"/>
      <c r="K242" s="974"/>
      <c r="L242" s="974">
        <f>SUM(H242:K242)</f>
        <v>1777333</v>
      </c>
      <c r="M242" s="991" t="e">
        <f>IF(G242="",F242-L242-#REF!,G242-L242-#REF!)</f>
        <v>#REF!</v>
      </c>
      <c r="N242" s="1013">
        <f t="shared" si="14"/>
        <v>0</v>
      </c>
      <c r="O242" s="976"/>
      <c r="P242" s="977"/>
      <c r="Q242" s="974"/>
      <c r="R242" s="1147"/>
      <c r="S242" s="974"/>
      <c r="T242" s="976"/>
      <c r="U242" s="693" t="s">
        <v>943</v>
      </c>
      <c r="V242" s="687" t="s">
        <v>852</v>
      </c>
    </row>
    <row r="243" spans="1:25" x14ac:dyDescent="0.25">
      <c r="B243" s="1187" t="s">
        <v>1037</v>
      </c>
      <c r="C243" s="1187">
        <v>1002</v>
      </c>
      <c r="D243" s="976" t="s">
        <v>257</v>
      </c>
      <c r="E243" s="976" t="s">
        <v>286</v>
      </c>
      <c r="F243" s="1108">
        <f>L243</f>
        <v>17548000</v>
      </c>
      <c r="G243" s="974"/>
      <c r="H243" s="974">
        <v>17548000</v>
      </c>
      <c r="I243" s="974"/>
      <c r="J243" s="975"/>
      <c r="K243" s="974"/>
      <c r="L243" s="974">
        <f>SUM(H243:K243)</f>
        <v>17548000</v>
      </c>
      <c r="M243" s="991" t="e">
        <f>IF(G243="",F243-L243-#REF!,G243-L243-#REF!)</f>
        <v>#REF!</v>
      </c>
      <c r="N243" s="1013">
        <f t="shared" si="14"/>
        <v>0</v>
      </c>
      <c r="O243" s="976"/>
      <c r="P243" s="977"/>
      <c r="Q243" s="974"/>
      <c r="R243" s="1147"/>
      <c r="S243" s="974"/>
      <c r="T243" s="976"/>
      <c r="U243" s="693"/>
      <c r="V243" s="687" t="s">
        <v>1003</v>
      </c>
      <c r="W243" s="687">
        <v>3660000</v>
      </c>
    </row>
    <row r="244" spans="1:25" x14ac:dyDescent="0.25">
      <c r="B244" s="1187" t="s">
        <v>1037</v>
      </c>
      <c r="C244" s="1187">
        <v>1002</v>
      </c>
      <c r="D244" s="976" t="s">
        <v>31</v>
      </c>
      <c r="E244" s="976" t="s">
        <v>195</v>
      </c>
      <c r="F244" s="973">
        <v>123474500</v>
      </c>
      <c r="G244" s="974">
        <v>143590000</v>
      </c>
      <c r="H244" s="974">
        <v>30000000</v>
      </c>
      <c r="I244" s="974">
        <v>50000000</v>
      </c>
      <c r="J244" s="975">
        <v>63590000</v>
      </c>
      <c r="K244" s="974"/>
      <c r="L244" s="974">
        <f t="shared" ref="L244:L275" si="15">SUM(H244:K244)</f>
        <v>143590000</v>
      </c>
      <c r="M244" s="991" t="e">
        <f>IF(G244="",F244-L244-#REF!,G244-L244-#REF!)</f>
        <v>#REF!</v>
      </c>
      <c r="N244" s="1013">
        <f t="shared" si="14"/>
        <v>0</v>
      </c>
      <c r="O244" s="976"/>
      <c r="P244" s="977"/>
      <c r="Q244" s="974"/>
      <c r="R244" s="1147"/>
      <c r="S244" s="974"/>
      <c r="T244" s="976"/>
      <c r="U244" s="693"/>
      <c r="V244" s="687" t="s">
        <v>1004</v>
      </c>
      <c r="W244" s="687">
        <v>6160000</v>
      </c>
    </row>
    <row r="245" spans="1:25" x14ac:dyDescent="0.25">
      <c r="B245" s="1187" t="s">
        <v>1037</v>
      </c>
      <c r="C245" s="1187">
        <v>1002</v>
      </c>
      <c r="D245" s="976" t="s">
        <v>215</v>
      </c>
      <c r="E245" s="976" t="s">
        <v>853</v>
      </c>
      <c r="F245" s="973">
        <v>159541961</v>
      </c>
      <c r="G245" s="974">
        <v>173442227</v>
      </c>
      <c r="H245" s="974">
        <v>79770980</v>
      </c>
      <c r="I245" s="974">
        <v>93671247</v>
      </c>
      <c r="J245" s="975"/>
      <c r="K245" s="974"/>
      <c r="L245" s="974">
        <f t="shared" si="15"/>
        <v>173442227</v>
      </c>
      <c r="M245" s="991" t="e">
        <f>IF(G245="",F245-L245-#REF!,G245-L245-#REF!)</f>
        <v>#REF!</v>
      </c>
      <c r="N245" s="1013">
        <f t="shared" si="14"/>
        <v>0</v>
      </c>
      <c r="O245" s="976"/>
      <c r="P245" s="977"/>
      <c r="Q245" s="974"/>
      <c r="R245" s="1147"/>
      <c r="S245" s="974"/>
      <c r="T245" s="976"/>
      <c r="U245" s="693" t="s">
        <v>943</v>
      </c>
      <c r="V245" s="687" t="s">
        <v>1018</v>
      </c>
      <c r="W245" s="687">
        <v>4185000</v>
      </c>
    </row>
    <row r="246" spans="1:25" x14ac:dyDescent="0.25">
      <c r="B246" s="1187" t="s">
        <v>1037</v>
      </c>
      <c r="C246" s="1187">
        <v>1002</v>
      </c>
      <c r="D246" s="976" t="s">
        <v>427</v>
      </c>
      <c r="E246" s="976" t="s">
        <v>855</v>
      </c>
      <c r="F246" s="973">
        <v>106370000</v>
      </c>
      <c r="G246" s="974">
        <v>126164500</v>
      </c>
      <c r="H246" s="974">
        <v>31911000</v>
      </c>
      <c r="I246" s="974">
        <v>55844250</v>
      </c>
      <c r="J246" s="975">
        <v>38409250</v>
      </c>
      <c r="K246" s="974"/>
      <c r="L246" s="974">
        <f t="shared" si="15"/>
        <v>126164500</v>
      </c>
      <c r="M246" s="991" t="e">
        <f>IF(G246="",F246-L246-#REF!,G246-L246-#REF!)</f>
        <v>#REF!</v>
      </c>
      <c r="N246" s="1013">
        <f t="shared" si="14"/>
        <v>0</v>
      </c>
      <c r="O246" s="976" t="s">
        <v>856</v>
      </c>
      <c r="P246" s="977">
        <v>43908</v>
      </c>
      <c r="Q246" s="974"/>
      <c r="R246" s="1147"/>
      <c r="S246" s="974"/>
      <c r="T246" s="976"/>
      <c r="U246" s="693" t="s">
        <v>943</v>
      </c>
      <c r="V246" s="687" t="s">
        <v>1019</v>
      </c>
      <c r="W246" s="687">
        <v>4060000</v>
      </c>
    </row>
    <row r="247" spans="1:25" x14ac:dyDescent="0.25">
      <c r="B247" s="1187" t="s">
        <v>1037</v>
      </c>
      <c r="C247" s="1187">
        <v>1002</v>
      </c>
      <c r="D247" s="976" t="s">
        <v>155</v>
      </c>
      <c r="E247" s="976" t="s">
        <v>156</v>
      </c>
      <c r="F247" s="973"/>
      <c r="G247" s="974">
        <v>51683600</v>
      </c>
      <c r="H247" s="974">
        <v>4080000</v>
      </c>
      <c r="I247" s="974">
        <v>17200000</v>
      </c>
      <c r="J247" s="975">
        <v>30403600</v>
      </c>
      <c r="K247" s="974"/>
      <c r="L247" s="974">
        <f t="shared" si="15"/>
        <v>51683600</v>
      </c>
      <c r="M247" s="991" t="e">
        <f>IF(G247="",F247-L247-#REF!,G247-L247-#REF!)</f>
        <v>#REF!</v>
      </c>
      <c r="N247" s="1013">
        <f t="shared" si="14"/>
        <v>0</v>
      </c>
      <c r="O247" s="976"/>
      <c r="P247" s="977"/>
      <c r="Q247" s="974"/>
      <c r="R247" s="1147"/>
      <c r="S247" s="974"/>
      <c r="T247" s="976"/>
      <c r="U247" s="693"/>
      <c r="V247" s="687" t="s">
        <v>1016</v>
      </c>
      <c r="W247" s="687">
        <v>3031500</v>
      </c>
    </row>
    <row r="248" spans="1:25" x14ac:dyDescent="0.25">
      <c r="B248" s="1187" t="s">
        <v>1037</v>
      </c>
      <c r="C248" s="1187">
        <v>1002</v>
      </c>
      <c r="D248" s="976" t="s">
        <v>164</v>
      </c>
      <c r="E248" s="976" t="s">
        <v>165</v>
      </c>
      <c r="F248" s="973">
        <v>114900000</v>
      </c>
      <c r="G248" s="974">
        <v>174295000</v>
      </c>
      <c r="H248" s="974">
        <v>45960000</v>
      </c>
      <c r="I248" s="974">
        <v>71904000</v>
      </c>
      <c r="J248" s="975">
        <v>56431000</v>
      </c>
      <c r="K248" s="974"/>
      <c r="L248" s="974">
        <f t="shared" si="15"/>
        <v>174295000</v>
      </c>
      <c r="M248" s="991" t="e">
        <f>IF(G248="",F248-L248-#REF!,G248-L248-#REF!)</f>
        <v>#REF!</v>
      </c>
      <c r="N248" s="1013">
        <f t="shared" si="14"/>
        <v>0</v>
      </c>
      <c r="O248" s="976"/>
      <c r="P248" s="977"/>
      <c r="Q248" s="974"/>
      <c r="R248" s="1147"/>
      <c r="S248" s="974"/>
      <c r="T248" s="976"/>
      <c r="U248" s="693" t="s">
        <v>165</v>
      </c>
      <c r="V248" s="687" t="s">
        <v>1020</v>
      </c>
      <c r="W248" s="687">
        <v>2720000</v>
      </c>
    </row>
    <row r="249" spans="1:25" x14ac:dyDescent="0.25">
      <c r="B249" s="1187" t="s">
        <v>1037</v>
      </c>
      <c r="C249" s="1187">
        <v>1002</v>
      </c>
      <c r="D249" s="976" t="s">
        <v>167</v>
      </c>
      <c r="E249" s="976" t="s">
        <v>708</v>
      </c>
      <c r="F249" s="973">
        <v>3970000</v>
      </c>
      <c r="G249" s="974"/>
      <c r="H249" s="974">
        <v>3970000</v>
      </c>
      <c r="I249" s="974"/>
      <c r="J249" s="975"/>
      <c r="K249" s="974"/>
      <c r="L249" s="974">
        <f t="shared" si="15"/>
        <v>3970000</v>
      </c>
      <c r="M249" s="991" t="e">
        <f>IF(G249="",F249-L249-#REF!,G249-L249-#REF!)</f>
        <v>#REF!</v>
      </c>
      <c r="N249" s="1013">
        <f t="shared" si="14"/>
        <v>0</v>
      </c>
      <c r="O249" s="976"/>
      <c r="P249" s="977"/>
      <c r="Q249" s="974"/>
      <c r="R249" s="1147"/>
      <c r="S249" s="974"/>
      <c r="T249" s="976"/>
      <c r="U249" s="693" t="s">
        <v>708</v>
      </c>
      <c r="V249" s="687" t="s">
        <v>1021</v>
      </c>
      <c r="W249" s="687">
        <v>4158000</v>
      </c>
    </row>
    <row r="250" spans="1:25" x14ac:dyDescent="0.25">
      <c r="B250" s="1187" t="s">
        <v>1037</v>
      </c>
      <c r="C250" s="1187">
        <v>1002</v>
      </c>
      <c r="D250" s="976" t="s">
        <v>394</v>
      </c>
      <c r="E250" s="976" t="s">
        <v>162</v>
      </c>
      <c r="F250" s="973">
        <v>144000000</v>
      </c>
      <c r="G250" s="974">
        <v>144000000</v>
      </c>
      <c r="H250" s="974">
        <v>72000000</v>
      </c>
      <c r="I250" s="974">
        <v>72000000</v>
      </c>
      <c r="J250" s="975"/>
      <c r="K250" s="974"/>
      <c r="L250" s="974">
        <f t="shared" si="15"/>
        <v>144000000</v>
      </c>
      <c r="M250" s="991" t="e">
        <f>IF(G250="",F250-L250-#REF!,G250-L250-#REF!)</f>
        <v>#REF!</v>
      </c>
      <c r="N250" s="1013">
        <f t="shared" si="14"/>
        <v>0</v>
      </c>
      <c r="O250" s="976" t="s">
        <v>801</v>
      </c>
      <c r="P250" s="977">
        <v>43876</v>
      </c>
      <c r="Q250" s="974"/>
      <c r="R250" s="1147"/>
      <c r="S250" s="974"/>
      <c r="T250" s="976"/>
      <c r="U250" s="693"/>
      <c r="V250" s="687" t="s">
        <v>1005</v>
      </c>
      <c r="W250" s="687">
        <v>4236000</v>
      </c>
    </row>
    <row r="251" spans="1:25" x14ac:dyDescent="0.25">
      <c r="B251" s="1187" t="s">
        <v>1037</v>
      </c>
      <c r="C251" s="1187">
        <v>1002</v>
      </c>
      <c r="D251" s="976" t="s">
        <v>346</v>
      </c>
      <c r="E251" s="976" t="s">
        <v>857</v>
      </c>
      <c r="F251" s="973">
        <v>80787830</v>
      </c>
      <c r="G251" s="974"/>
      <c r="H251" s="974">
        <v>40393915</v>
      </c>
      <c r="I251" s="974"/>
      <c r="J251" s="975"/>
      <c r="K251" s="974"/>
      <c r="L251" s="974">
        <f t="shared" si="15"/>
        <v>40393915</v>
      </c>
      <c r="M251" s="991" t="e">
        <f>IF(G251="",F251-L251-#REF!,G251-L251-#REF!)</f>
        <v>#REF!</v>
      </c>
      <c r="N251" s="1013">
        <f t="shared" si="14"/>
        <v>40393915</v>
      </c>
      <c r="O251" s="976"/>
      <c r="P251" s="977"/>
      <c r="Q251" s="974"/>
      <c r="R251" s="1147"/>
      <c r="S251" s="974"/>
      <c r="T251" s="976"/>
      <c r="U251" s="693"/>
      <c r="V251" s="687" t="s">
        <v>1006</v>
      </c>
      <c r="W251" s="687">
        <v>3692000</v>
      </c>
    </row>
    <row r="252" spans="1:25" x14ac:dyDescent="0.25">
      <c r="B252" s="1187" t="s">
        <v>1037</v>
      </c>
      <c r="C252" s="1187">
        <v>1002</v>
      </c>
      <c r="D252" s="976" t="s">
        <v>858</v>
      </c>
      <c r="E252" s="976" t="s">
        <v>859</v>
      </c>
      <c r="F252" s="1108">
        <v>135000000</v>
      </c>
      <c r="G252" s="974"/>
      <c r="H252" s="974">
        <v>40500000</v>
      </c>
      <c r="I252" s="974">
        <v>54000000</v>
      </c>
      <c r="J252" s="975"/>
      <c r="K252" s="974"/>
      <c r="L252" s="974">
        <f t="shared" si="15"/>
        <v>94500000</v>
      </c>
      <c r="M252" s="991" t="e">
        <f>IF(G252="",F252-L252-#REF!,G252-L252-#REF!)</f>
        <v>#REF!</v>
      </c>
      <c r="N252" s="1013">
        <f t="shared" si="14"/>
        <v>40500000</v>
      </c>
      <c r="O252" s="976" t="s">
        <v>860</v>
      </c>
      <c r="P252" s="977">
        <v>43909</v>
      </c>
      <c r="Q252" s="974"/>
      <c r="R252" s="1147"/>
      <c r="S252" s="974"/>
      <c r="T252" s="976"/>
      <c r="U252" s="693"/>
      <c r="V252" s="687" t="s">
        <v>1008</v>
      </c>
      <c r="W252" s="687">
        <v>940000</v>
      </c>
    </row>
    <row r="253" spans="1:25" x14ac:dyDescent="0.25">
      <c r="B253" s="1187" t="s">
        <v>1037</v>
      </c>
      <c r="C253" s="1187">
        <v>1002</v>
      </c>
      <c r="D253" s="976" t="s">
        <v>257</v>
      </c>
      <c r="E253" s="976" t="s">
        <v>286</v>
      </c>
      <c r="F253" s="1108"/>
      <c r="G253" s="974">
        <v>29114267</v>
      </c>
      <c r="H253" s="974">
        <v>29114267</v>
      </c>
      <c r="I253" s="974"/>
      <c r="J253" s="975"/>
      <c r="K253" s="974"/>
      <c r="L253" s="974">
        <f t="shared" si="15"/>
        <v>29114267</v>
      </c>
      <c r="M253" s="991" t="e">
        <f>IF(G253="",F253-L253-#REF!,G253-L253-#REF!)</f>
        <v>#REF!</v>
      </c>
      <c r="N253" s="1013">
        <f t="shared" si="14"/>
        <v>0</v>
      </c>
      <c r="O253" s="976"/>
      <c r="P253" s="977"/>
      <c r="Q253" s="974"/>
      <c r="R253" s="1147"/>
      <c r="S253" s="974"/>
      <c r="T253" s="976"/>
      <c r="U253" s="693"/>
      <c r="V253" s="687" t="s">
        <v>960</v>
      </c>
      <c r="W253" s="687">
        <v>1290000</v>
      </c>
    </row>
    <row r="254" spans="1:25" x14ac:dyDescent="0.25">
      <c r="B254" s="1187" t="s">
        <v>1037</v>
      </c>
      <c r="C254" s="1187">
        <v>1002</v>
      </c>
      <c r="D254" s="976" t="s">
        <v>861</v>
      </c>
      <c r="E254" s="976" t="s">
        <v>526</v>
      </c>
      <c r="F254" s="1108">
        <f>L254</f>
        <v>50000</v>
      </c>
      <c r="G254" s="974"/>
      <c r="H254" s="974">
        <v>50000</v>
      </c>
      <c r="I254" s="974"/>
      <c r="J254" s="975"/>
      <c r="K254" s="974"/>
      <c r="L254" s="974">
        <f t="shared" si="15"/>
        <v>50000</v>
      </c>
      <c r="M254" s="991" t="e">
        <f>IF(G254="",F254-L254-#REF!,G254-L254-#REF!)</f>
        <v>#REF!</v>
      </c>
      <c r="N254" s="1013">
        <f t="shared" si="14"/>
        <v>0</v>
      </c>
      <c r="O254" s="976"/>
      <c r="P254" s="977"/>
      <c r="Q254" s="974"/>
      <c r="R254" s="1147"/>
      <c r="S254" s="974"/>
      <c r="T254" s="976"/>
      <c r="U254" s="693"/>
      <c r="V254" s="687" t="s">
        <v>953</v>
      </c>
      <c r="W254" s="687">
        <v>500000</v>
      </c>
    </row>
    <row r="255" spans="1:25" x14ac:dyDescent="0.25">
      <c r="B255" s="1187" t="s">
        <v>1037</v>
      </c>
      <c r="C255" s="1187">
        <v>1002</v>
      </c>
      <c r="D255" s="976" t="s">
        <v>828</v>
      </c>
      <c r="E255" s="976" t="s">
        <v>863</v>
      </c>
      <c r="F255" s="1108">
        <f>L255</f>
        <v>180000</v>
      </c>
      <c r="G255" s="974"/>
      <c r="H255" s="974">
        <v>180000</v>
      </c>
      <c r="I255" s="974"/>
      <c r="J255" s="975"/>
      <c r="K255" s="974"/>
      <c r="L255" s="974">
        <f t="shared" si="15"/>
        <v>180000</v>
      </c>
      <c r="M255" s="991" t="e">
        <f>IF(G255="",F255-L255-#REF!,G255-L255-#REF!)</f>
        <v>#REF!</v>
      </c>
      <c r="N255" s="1013">
        <f t="shared" si="14"/>
        <v>0</v>
      </c>
      <c r="O255" s="976"/>
      <c r="P255" s="977"/>
      <c r="Q255" s="974"/>
      <c r="R255" s="1147"/>
      <c r="S255" s="974"/>
      <c r="T255" s="976"/>
      <c r="U255" s="693"/>
      <c r="V255" s="687" t="s">
        <v>954</v>
      </c>
      <c r="W255" s="687">
        <v>300000</v>
      </c>
    </row>
    <row r="256" spans="1:25" x14ac:dyDescent="0.25">
      <c r="B256" s="1187" t="s">
        <v>1037</v>
      </c>
      <c r="C256" s="1187">
        <v>1002</v>
      </c>
      <c r="D256" s="976" t="s">
        <v>292</v>
      </c>
      <c r="E256" s="976" t="s">
        <v>864</v>
      </c>
      <c r="F256" s="1108">
        <v>47600000</v>
      </c>
      <c r="G256" s="974">
        <v>47600000</v>
      </c>
      <c r="H256" s="974">
        <v>33320000</v>
      </c>
      <c r="I256" s="974">
        <v>14280000</v>
      </c>
      <c r="J256" s="975"/>
      <c r="K256" s="974"/>
      <c r="L256" s="974">
        <f t="shared" si="15"/>
        <v>47600000</v>
      </c>
      <c r="M256" s="991" t="e">
        <f>IF(G256="",F256-L256-#REF!,G256-L256-#REF!)</f>
        <v>#REF!</v>
      </c>
      <c r="N256" s="1013">
        <f t="shared" si="14"/>
        <v>0</v>
      </c>
      <c r="O256" s="976"/>
      <c r="P256" s="977"/>
      <c r="Q256" s="974"/>
      <c r="R256" s="1147"/>
      <c r="S256" s="974"/>
      <c r="T256" s="976"/>
      <c r="U256" s="693"/>
    </row>
    <row r="257" spans="2:21" x14ac:dyDescent="0.25">
      <c r="B257" s="1187" t="s">
        <v>1037</v>
      </c>
      <c r="C257" s="1187">
        <v>1002</v>
      </c>
      <c r="D257" s="976" t="s">
        <v>92</v>
      </c>
      <c r="E257" s="976" t="s">
        <v>865</v>
      </c>
      <c r="F257" s="973">
        <v>13335300</v>
      </c>
      <c r="G257" s="974"/>
      <c r="H257" s="974">
        <v>6667650</v>
      </c>
      <c r="I257" s="974"/>
      <c r="J257" s="975"/>
      <c r="K257" s="974"/>
      <c r="L257" s="974">
        <f t="shared" si="15"/>
        <v>6667650</v>
      </c>
      <c r="M257" s="991" t="e">
        <f>IF(G257="",F257-L257-#REF!,G257-L257-#REF!)</f>
        <v>#REF!</v>
      </c>
      <c r="N257" s="1013">
        <f t="shared" si="14"/>
        <v>6667650</v>
      </c>
      <c r="O257" s="976"/>
      <c r="P257" s="977"/>
      <c r="Q257" s="974"/>
      <c r="R257" s="1147"/>
      <c r="S257" s="974"/>
      <c r="T257" s="976"/>
      <c r="U257" s="693" t="s">
        <v>865</v>
      </c>
    </row>
    <row r="258" spans="2:21" x14ac:dyDescent="0.25">
      <c r="B258" s="1187" t="s">
        <v>1037</v>
      </c>
      <c r="C258" s="1187">
        <v>1002</v>
      </c>
      <c r="D258" s="976" t="s">
        <v>607</v>
      </c>
      <c r="E258" s="976" t="s">
        <v>1232</v>
      </c>
      <c r="F258" s="973">
        <v>5000000</v>
      </c>
      <c r="G258" s="974">
        <v>5250750</v>
      </c>
      <c r="H258" s="974">
        <v>5000000</v>
      </c>
      <c r="I258" s="974">
        <v>250750</v>
      </c>
      <c r="J258" s="975"/>
      <c r="K258" s="974"/>
      <c r="L258" s="974">
        <f t="shared" si="15"/>
        <v>5250750</v>
      </c>
      <c r="M258" s="991" t="e">
        <f>IF(G258="",F258-L258-#REF!,G258-L258-#REF!)</f>
        <v>#REF!</v>
      </c>
      <c r="N258" s="1013">
        <f t="shared" si="14"/>
        <v>0</v>
      </c>
      <c r="O258" s="976"/>
      <c r="P258" s="977"/>
      <c r="Q258" s="974"/>
      <c r="R258" s="1147"/>
      <c r="S258" s="974"/>
      <c r="T258" s="976"/>
      <c r="U258" s="693"/>
    </row>
    <row r="259" spans="2:21" x14ac:dyDescent="0.25">
      <c r="B259" s="1187" t="s">
        <v>1037</v>
      </c>
      <c r="C259" s="1187">
        <v>1002</v>
      </c>
      <c r="D259" s="976" t="s">
        <v>866</v>
      </c>
      <c r="E259" s="976" t="s">
        <v>171</v>
      </c>
      <c r="F259" s="973">
        <v>2820000</v>
      </c>
      <c r="G259" s="974"/>
      <c r="H259" s="974">
        <v>2820000</v>
      </c>
      <c r="I259" s="974"/>
      <c r="J259" s="975"/>
      <c r="K259" s="974"/>
      <c r="L259" s="974">
        <f t="shared" si="15"/>
        <v>2820000</v>
      </c>
      <c r="M259" s="991" t="e">
        <f>IF(G259="",F259-L259-#REF!,G259-L259-#REF!)</f>
        <v>#REF!</v>
      </c>
      <c r="N259" s="1013">
        <f t="shared" si="14"/>
        <v>0</v>
      </c>
      <c r="O259" s="976"/>
      <c r="P259" s="977"/>
      <c r="Q259" s="974"/>
      <c r="R259" s="1147"/>
      <c r="S259" s="974"/>
      <c r="T259" s="976"/>
      <c r="U259" s="693" t="s">
        <v>171</v>
      </c>
    </row>
    <row r="260" spans="2:21" x14ac:dyDescent="0.25">
      <c r="B260" s="1187" t="s">
        <v>1037</v>
      </c>
      <c r="C260" s="1187">
        <v>1002</v>
      </c>
      <c r="D260" s="976" t="s">
        <v>167</v>
      </c>
      <c r="E260" s="976" t="s">
        <v>708</v>
      </c>
      <c r="F260" s="1108">
        <v>1100000</v>
      </c>
      <c r="G260" s="974"/>
      <c r="H260" s="974">
        <v>1100000</v>
      </c>
      <c r="I260" s="974"/>
      <c r="J260" s="975"/>
      <c r="K260" s="974"/>
      <c r="L260" s="974">
        <f t="shared" si="15"/>
        <v>1100000</v>
      </c>
      <c r="M260" s="991" t="e">
        <f>IF(G260="",F260-L260-#REF!,G260-L260-#REF!)</f>
        <v>#REF!</v>
      </c>
      <c r="N260" s="1013">
        <f t="shared" si="14"/>
        <v>0</v>
      </c>
      <c r="O260" s="976"/>
      <c r="P260" s="977"/>
      <c r="Q260" s="974"/>
      <c r="R260" s="1147"/>
      <c r="S260" s="974"/>
      <c r="T260" s="976"/>
      <c r="U260" s="693"/>
    </row>
    <row r="261" spans="2:21" x14ac:dyDescent="0.25">
      <c r="B261" s="1187" t="s">
        <v>1037</v>
      </c>
      <c r="C261" s="1187">
        <v>1002</v>
      </c>
      <c r="D261" s="976" t="s">
        <v>867</v>
      </c>
      <c r="E261" s="976" t="s">
        <v>868</v>
      </c>
      <c r="F261" s="1108">
        <v>16269000</v>
      </c>
      <c r="G261" s="974"/>
      <c r="H261" s="974">
        <v>16269000</v>
      </c>
      <c r="I261" s="974"/>
      <c r="J261" s="975"/>
      <c r="K261" s="974"/>
      <c r="L261" s="974">
        <f t="shared" si="15"/>
        <v>16269000</v>
      </c>
      <c r="M261" s="991" t="e">
        <f>IF(G261="",F261-L261-#REF!,G261-L261-#REF!)</f>
        <v>#REF!</v>
      </c>
      <c r="N261" s="1013">
        <f t="shared" si="14"/>
        <v>0</v>
      </c>
      <c r="O261" s="976"/>
      <c r="P261" s="977"/>
      <c r="Q261" s="974"/>
      <c r="R261" s="1147"/>
      <c r="S261" s="974"/>
      <c r="T261" s="976"/>
      <c r="U261" s="693"/>
    </row>
    <row r="262" spans="2:21" x14ac:dyDescent="0.25">
      <c r="B262" s="1187" t="s">
        <v>1037</v>
      </c>
      <c r="C262" s="1187">
        <v>1002</v>
      </c>
      <c r="D262" s="976" t="s">
        <v>170</v>
      </c>
      <c r="E262" s="976" t="s">
        <v>171</v>
      </c>
      <c r="F262" s="973"/>
      <c r="G262" s="974">
        <v>236605181</v>
      </c>
      <c r="H262" s="974">
        <v>236605181</v>
      </c>
      <c r="I262" s="974"/>
      <c r="J262" s="975"/>
      <c r="K262" s="974"/>
      <c r="L262" s="974">
        <f t="shared" si="15"/>
        <v>236605181</v>
      </c>
      <c r="M262" s="991" t="e">
        <f>IF(G262="",F262-L262-#REF!,G262-L262-#REF!)</f>
        <v>#REF!</v>
      </c>
      <c r="N262" s="1013">
        <f t="shared" si="14"/>
        <v>0</v>
      </c>
      <c r="O262" s="976"/>
      <c r="P262" s="977"/>
      <c r="Q262" s="974"/>
      <c r="R262" s="1147"/>
      <c r="S262" s="974"/>
      <c r="T262" s="976"/>
      <c r="U262" s="693" t="s">
        <v>171</v>
      </c>
    </row>
    <row r="263" spans="2:21" x14ac:dyDescent="0.25">
      <c r="B263" s="1187" t="s">
        <v>1037</v>
      </c>
      <c r="C263" s="1187">
        <v>1002</v>
      </c>
      <c r="D263" s="976" t="s">
        <v>118</v>
      </c>
      <c r="E263" s="976" t="s">
        <v>301</v>
      </c>
      <c r="F263" s="1108">
        <v>132100000</v>
      </c>
      <c r="G263" s="974">
        <v>125489700</v>
      </c>
      <c r="H263" s="974">
        <v>40000000</v>
      </c>
      <c r="I263" s="974">
        <v>85489700</v>
      </c>
      <c r="J263" s="975"/>
      <c r="K263" s="974"/>
      <c r="L263" s="974">
        <f t="shared" si="15"/>
        <v>125489700</v>
      </c>
      <c r="M263" s="991" t="e">
        <f>IF(G263="",F263-L263-#REF!,G263-L263-#REF!)</f>
        <v>#REF!</v>
      </c>
      <c r="N263" s="1013">
        <f t="shared" si="14"/>
        <v>0</v>
      </c>
      <c r="O263" s="976"/>
      <c r="P263" s="977"/>
      <c r="Q263" s="974"/>
      <c r="R263" s="1147"/>
      <c r="S263" s="974"/>
      <c r="T263" s="976"/>
      <c r="U263" s="693"/>
    </row>
    <row r="264" spans="2:21" x14ac:dyDescent="0.25">
      <c r="B264" s="1187" t="s">
        <v>1037</v>
      </c>
      <c r="C264" s="1187">
        <v>1002</v>
      </c>
      <c r="D264" s="976" t="s">
        <v>869</v>
      </c>
      <c r="E264" s="976" t="s">
        <v>693</v>
      </c>
      <c r="F264" s="1108">
        <f>L264</f>
        <v>1800000</v>
      </c>
      <c r="G264" s="974"/>
      <c r="H264" s="974">
        <v>1800000</v>
      </c>
      <c r="I264" s="974"/>
      <c r="J264" s="975"/>
      <c r="K264" s="974"/>
      <c r="L264" s="974">
        <f t="shared" si="15"/>
        <v>1800000</v>
      </c>
      <c r="M264" s="991" t="e">
        <f>IF(G264="",F264-L264-#REF!,G264-L264-#REF!)</f>
        <v>#REF!</v>
      </c>
      <c r="N264" s="1013">
        <f t="shared" si="14"/>
        <v>0</v>
      </c>
      <c r="O264" s="976"/>
      <c r="P264" s="977"/>
      <c r="Q264" s="974"/>
      <c r="R264" s="1147"/>
      <c r="S264" s="974"/>
      <c r="T264" s="976"/>
      <c r="U264" s="693"/>
    </row>
    <row r="265" spans="2:21" x14ac:dyDescent="0.25">
      <c r="B265" s="1187" t="s">
        <v>1037</v>
      </c>
      <c r="C265" s="1187">
        <v>1002</v>
      </c>
      <c r="D265" s="976" t="s">
        <v>172</v>
      </c>
      <c r="E265" s="976" t="s">
        <v>173</v>
      </c>
      <c r="F265" s="1108">
        <v>6480000</v>
      </c>
      <c r="G265" s="974"/>
      <c r="H265" s="974">
        <v>6480000</v>
      </c>
      <c r="I265" s="974"/>
      <c r="J265" s="975"/>
      <c r="K265" s="974"/>
      <c r="L265" s="974">
        <f t="shared" si="15"/>
        <v>6480000</v>
      </c>
      <c r="M265" s="991" t="e">
        <f>IF(G265="",F265-L265-#REF!,G265-L265-#REF!)</f>
        <v>#REF!</v>
      </c>
      <c r="N265" s="1013">
        <f t="shared" si="14"/>
        <v>0</v>
      </c>
      <c r="O265" s="976"/>
      <c r="P265" s="977"/>
      <c r="Q265" s="974"/>
      <c r="R265" s="1147"/>
      <c r="S265" s="974"/>
      <c r="T265" s="976"/>
      <c r="U265" s="693"/>
    </row>
    <row r="266" spans="2:21" x14ac:dyDescent="0.25">
      <c r="B266" s="1187" t="s">
        <v>1037</v>
      </c>
      <c r="C266" s="1187">
        <v>1002</v>
      </c>
      <c r="D266" s="976" t="s">
        <v>257</v>
      </c>
      <c r="E266" s="976" t="s">
        <v>871</v>
      </c>
      <c r="F266" s="1108">
        <v>18147750</v>
      </c>
      <c r="G266" s="974">
        <v>20250750</v>
      </c>
      <c r="H266" s="974">
        <v>18147750</v>
      </c>
      <c r="I266" s="974">
        <v>2103000</v>
      </c>
      <c r="J266" s="975"/>
      <c r="K266" s="974"/>
      <c r="L266" s="974">
        <f t="shared" si="15"/>
        <v>20250750</v>
      </c>
      <c r="M266" s="991" t="e">
        <f>IF(G266="",F266-L266-#REF!,G266-L266-#REF!)</f>
        <v>#REF!</v>
      </c>
      <c r="N266" s="1013">
        <f t="shared" si="14"/>
        <v>0</v>
      </c>
      <c r="O266" s="976"/>
      <c r="P266" s="977"/>
      <c r="Q266" s="974"/>
      <c r="R266" s="1147"/>
      <c r="S266" s="974"/>
      <c r="T266" s="976"/>
      <c r="U266" s="693"/>
    </row>
    <row r="267" spans="2:21" x14ac:dyDescent="0.25">
      <c r="B267" s="1187" t="s">
        <v>1037</v>
      </c>
      <c r="C267" s="1187">
        <v>1002</v>
      </c>
      <c r="D267" s="976" t="s">
        <v>872</v>
      </c>
      <c r="E267" s="976" t="s">
        <v>171</v>
      </c>
      <c r="F267" s="973">
        <v>1850000</v>
      </c>
      <c r="G267" s="974"/>
      <c r="H267" s="974">
        <v>1850000</v>
      </c>
      <c r="I267" s="974"/>
      <c r="J267" s="975"/>
      <c r="K267" s="974"/>
      <c r="L267" s="974">
        <f t="shared" si="15"/>
        <v>1850000</v>
      </c>
      <c r="M267" s="991" t="e">
        <f>IF(G267="",F267-L267-#REF!,G267-L267-#REF!)</f>
        <v>#REF!</v>
      </c>
      <c r="N267" s="1013">
        <f t="shared" si="14"/>
        <v>0</v>
      </c>
      <c r="O267" s="976"/>
      <c r="P267" s="977"/>
      <c r="Q267" s="974"/>
      <c r="R267" s="1147"/>
      <c r="S267" s="974"/>
      <c r="T267" s="976"/>
      <c r="U267" s="693" t="s">
        <v>171</v>
      </c>
    </row>
    <row r="268" spans="2:21" x14ac:dyDescent="0.25">
      <c r="B268" s="1187" t="s">
        <v>1037</v>
      </c>
      <c r="C268" s="1187">
        <v>1002</v>
      </c>
      <c r="D268" s="976" t="s">
        <v>873</v>
      </c>
      <c r="E268" s="976" t="s">
        <v>874</v>
      </c>
      <c r="F268" s="973">
        <v>1500000</v>
      </c>
      <c r="G268" s="974"/>
      <c r="H268" s="974">
        <v>1500000</v>
      </c>
      <c r="I268" s="974"/>
      <c r="J268" s="975"/>
      <c r="K268" s="974"/>
      <c r="L268" s="974">
        <f t="shared" si="15"/>
        <v>1500000</v>
      </c>
      <c r="M268" s="991" t="e">
        <f>IF(G268="",F268-L268-#REF!,G268-L268-#REF!)</f>
        <v>#REF!</v>
      </c>
      <c r="N268" s="1013">
        <f t="shared" si="14"/>
        <v>0</v>
      </c>
      <c r="O268" s="976"/>
      <c r="P268" s="977"/>
      <c r="Q268" s="974"/>
      <c r="R268" s="1147"/>
      <c r="S268" s="974"/>
      <c r="T268" s="976"/>
      <c r="U268" s="693" t="s">
        <v>874</v>
      </c>
    </row>
    <row r="269" spans="2:21" x14ac:dyDescent="0.25">
      <c r="B269" s="1187" t="s">
        <v>1037</v>
      </c>
      <c r="C269" s="1187">
        <v>1002</v>
      </c>
      <c r="D269" s="976" t="s">
        <v>740</v>
      </c>
      <c r="E269" s="976" t="s">
        <v>397</v>
      </c>
      <c r="F269" s="1108">
        <v>544500</v>
      </c>
      <c r="G269" s="974"/>
      <c r="H269" s="974">
        <v>544500</v>
      </c>
      <c r="I269" s="974"/>
      <c r="J269" s="975"/>
      <c r="K269" s="974"/>
      <c r="L269" s="974">
        <f t="shared" si="15"/>
        <v>544500</v>
      </c>
      <c r="M269" s="991" t="e">
        <f>IF(G269="",F269-L269-#REF!,G269-L269-#REF!)</f>
        <v>#REF!</v>
      </c>
      <c r="N269" s="1013">
        <f t="shared" si="14"/>
        <v>0</v>
      </c>
      <c r="O269" s="976"/>
      <c r="P269" s="977"/>
      <c r="Q269" s="974"/>
      <c r="R269" s="1147"/>
      <c r="S269" s="974"/>
      <c r="T269" s="976"/>
      <c r="U269" s="693"/>
    </row>
    <row r="270" spans="2:21" x14ac:dyDescent="0.25">
      <c r="B270" s="1187" t="s">
        <v>1037</v>
      </c>
      <c r="C270" s="1187">
        <v>1002</v>
      </c>
      <c r="D270" s="976" t="s">
        <v>247</v>
      </c>
      <c r="E270" s="976" t="s">
        <v>875</v>
      </c>
      <c r="F270" s="973">
        <v>11990000</v>
      </c>
      <c r="G270" s="974"/>
      <c r="H270" s="974">
        <v>11990000</v>
      </c>
      <c r="I270" s="974"/>
      <c r="J270" s="975"/>
      <c r="K270" s="974"/>
      <c r="L270" s="974">
        <f t="shared" si="15"/>
        <v>11990000</v>
      </c>
      <c r="M270" s="991" t="e">
        <f>IF(G270="",F270-L270-#REF!,G270-L270-#REF!)</f>
        <v>#REF!</v>
      </c>
      <c r="N270" s="1013">
        <f t="shared" si="14"/>
        <v>0</v>
      </c>
      <c r="O270" s="976"/>
      <c r="P270" s="977"/>
      <c r="Q270" s="974"/>
      <c r="R270" s="1147"/>
      <c r="S270" s="974"/>
      <c r="T270" s="976"/>
      <c r="U270" s="693" t="s">
        <v>943</v>
      </c>
    </row>
    <row r="271" spans="2:21" x14ac:dyDescent="0.25">
      <c r="B271" s="1187" t="s">
        <v>1037</v>
      </c>
      <c r="C271" s="1187">
        <v>1002</v>
      </c>
      <c r="D271" s="976" t="s">
        <v>607</v>
      </c>
      <c r="E271" s="976" t="s">
        <v>877</v>
      </c>
      <c r="F271" s="1108">
        <v>6000000</v>
      </c>
      <c r="G271" s="974">
        <v>6559000</v>
      </c>
      <c r="H271" s="974">
        <v>6000000</v>
      </c>
      <c r="I271" s="974">
        <v>559000</v>
      </c>
      <c r="J271" s="975"/>
      <c r="K271" s="974"/>
      <c r="L271" s="974">
        <f t="shared" si="15"/>
        <v>6559000</v>
      </c>
      <c r="M271" s="991" t="e">
        <f>IF(G271="",F271-L271-#REF!,G271-L271-#REF!)</f>
        <v>#REF!</v>
      </c>
      <c r="N271" s="1013">
        <f t="shared" si="14"/>
        <v>0</v>
      </c>
      <c r="O271" s="976"/>
      <c r="P271" s="977"/>
      <c r="Q271" s="974"/>
      <c r="R271" s="1147"/>
      <c r="S271" s="974"/>
      <c r="T271" s="976"/>
      <c r="U271" s="693"/>
    </row>
    <row r="272" spans="2:21" x14ac:dyDescent="0.25">
      <c r="B272" s="1187" t="s">
        <v>1037</v>
      </c>
      <c r="C272" s="1187">
        <v>1002</v>
      </c>
      <c r="D272" s="976" t="s">
        <v>1038</v>
      </c>
      <c r="E272" s="976" t="s">
        <v>1039</v>
      </c>
      <c r="F272" s="1108">
        <v>27750000</v>
      </c>
      <c r="G272" s="974"/>
      <c r="H272" s="974">
        <v>27750000</v>
      </c>
      <c r="I272" s="974"/>
      <c r="J272" s="975"/>
      <c r="K272" s="974"/>
      <c r="L272" s="974">
        <f t="shared" si="15"/>
        <v>27750000</v>
      </c>
      <c r="M272" s="991" t="e">
        <f>IF(G272="",F272-L272-#REF!,G272-L272-#REF!)</f>
        <v>#REF!</v>
      </c>
      <c r="N272" s="1013">
        <f t="shared" si="14"/>
        <v>0</v>
      </c>
      <c r="O272" s="976"/>
      <c r="P272" s="977"/>
      <c r="Q272" s="974"/>
      <c r="R272" s="1147"/>
      <c r="S272" s="974"/>
      <c r="T272" s="976"/>
      <c r="U272" s="693"/>
    </row>
    <row r="273" spans="1:25" x14ac:dyDescent="0.25">
      <c r="B273" s="1187" t="s">
        <v>1037</v>
      </c>
      <c r="C273" s="1187">
        <v>1002</v>
      </c>
      <c r="D273" s="976" t="s">
        <v>1040</v>
      </c>
      <c r="E273" s="976" t="s">
        <v>1041</v>
      </c>
      <c r="F273" s="974">
        <v>22216500</v>
      </c>
      <c r="G273" s="974"/>
      <c r="H273" s="974">
        <v>22216500</v>
      </c>
      <c r="I273" s="974"/>
      <c r="J273" s="975"/>
      <c r="K273" s="974"/>
      <c r="L273" s="974">
        <f t="shared" si="15"/>
        <v>22216500</v>
      </c>
      <c r="M273" s="991" t="e">
        <f>IF(G273="",F273-L273-#REF!,G273-L273-#REF!)</f>
        <v>#REF!</v>
      </c>
      <c r="N273" s="1013">
        <f t="shared" si="14"/>
        <v>0</v>
      </c>
      <c r="O273" s="976"/>
      <c r="P273" s="977"/>
      <c r="Q273" s="974"/>
      <c r="R273" s="1147"/>
      <c r="S273" s="974"/>
      <c r="T273" s="976"/>
      <c r="U273" s="693"/>
    </row>
    <row r="274" spans="1:25" x14ac:dyDescent="0.25">
      <c r="B274" s="1187" t="s">
        <v>1037</v>
      </c>
      <c r="C274" s="1187">
        <v>1002</v>
      </c>
      <c r="D274" s="976" t="s">
        <v>346</v>
      </c>
      <c r="E274" s="976" t="s">
        <v>1042</v>
      </c>
      <c r="F274" s="974">
        <v>26254839</v>
      </c>
      <c r="G274" s="974"/>
      <c r="H274" s="974">
        <v>26254839</v>
      </c>
      <c r="I274" s="974"/>
      <c r="J274" s="975"/>
      <c r="K274" s="974"/>
      <c r="L274" s="974">
        <f t="shared" si="15"/>
        <v>26254839</v>
      </c>
      <c r="M274" s="991" t="e">
        <f>IF(G274="",F274-L274-#REF!,G274-L274-#REF!)</f>
        <v>#REF!</v>
      </c>
      <c r="N274" s="1013">
        <f t="shared" si="14"/>
        <v>0</v>
      </c>
      <c r="O274" s="976"/>
      <c r="P274" s="977"/>
      <c r="Q274" s="974"/>
      <c r="R274" s="1147"/>
      <c r="S274" s="974"/>
      <c r="T274" s="976"/>
      <c r="U274" s="693"/>
    </row>
    <row r="275" spans="1:25" x14ac:dyDescent="0.25">
      <c r="B275" s="1187" t="s">
        <v>1037</v>
      </c>
      <c r="C275" s="1187">
        <v>1002</v>
      </c>
      <c r="D275" s="976" t="s">
        <v>1233</v>
      </c>
      <c r="E275" s="976" t="s">
        <v>1234</v>
      </c>
      <c r="F275" s="974">
        <v>40000000</v>
      </c>
      <c r="G275" s="974"/>
      <c r="H275" s="974">
        <v>10000000</v>
      </c>
      <c r="I275" s="974"/>
      <c r="J275" s="975"/>
      <c r="K275" s="974"/>
      <c r="L275" s="974">
        <f t="shared" si="15"/>
        <v>10000000</v>
      </c>
      <c r="M275" s="991" t="e">
        <f>IF(G275="",F275-L275-#REF!,G275-L275-#REF!)</f>
        <v>#REF!</v>
      </c>
      <c r="N275" s="1013">
        <f t="shared" si="14"/>
        <v>30000000</v>
      </c>
      <c r="O275" s="976"/>
      <c r="P275" s="977"/>
      <c r="Q275" s="974"/>
      <c r="R275" s="1147"/>
      <c r="S275" s="974"/>
      <c r="T275" s="976"/>
      <c r="U275" s="693"/>
    </row>
    <row r="276" spans="1:25" x14ac:dyDescent="0.25">
      <c r="B276" s="1187" t="s">
        <v>1037</v>
      </c>
      <c r="C276" s="1187">
        <v>1002</v>
      </c>
      <c r="D276" s="976" t="s">
        <v>947</v>
      </c>
      <c r="E276" s="976"/>
      <c r="F276" s="973">
        <v>38932500</v>
      </c>
      <c r="G276" s="974"/>
      <c r="H276" s="974">
        <f>W276</f>
        <v>38932500</v>
      </c>
      <c r="I276" s="974"/>
      <c r="J276" s="975"/>
      <c r="K276" s="974"/>
      <c r="L276" s="974">
        <f>SUM(H276:K276)</f>
        <v>38932500</v>
      </c>
      <c r="M276" s="991" t="e">
        <f>IF(G276="",F276-L276-#REF!,G276-L276-#REF!)</f>
        <v>#REF!</v>
      </c>
      <c r="N276" s="1013">
        <f t="shared" si="14"/>
        <v>0</v>
      </c>
      <c r="O276" s="976"/>
      <c r="P276" s="977"/>
      <c r="Q276" s="974"/>
      <c r="R276" s="1147"/>
      <c r="S276" s="974"/>
      <c r="T276" s="976"/>
      <c r="U276" s="693"/>
      <c r="V276" s="687" t="s">
        <v>948</v>
      </c>
      <c r="W276" s="687">
        <f>SUM(W242:W271)</f>
        <v>38932500</v>
      </c>
    </row>
    <row r="277" spans="1:25" s="723" customFormat="1" ht="15.75" x14ac:dyDescent="0.25">
      <c r="B277" s="720" t="s">
        <v>949</v>
      </c>
      <c r="C277" s="720"/>
      <c r="D277" s="699" t="s">
        <v>850</v>
      </c>
      <c r="E277" s="700"/>
      <c r="F277" s="724"/>
      <c r="G277" s="702"/>
      <c r="H277" s="701"/>
      <c r="I277" s="702"/>
      <c r="J277" s="726"/>
      <c r="K277" s="702"/>
      <c r="L277" s="707">
        <f>SUM(L242:L276)</f>
        <v>1618639212</v>
      </c>
      <c r="M277" s="707" t="e">
        <f>SUM(M242:M276)</f>
        <v>#REF!</v>
      </c>
      <c r="N277" s="869">
        <f>SUM(N242:N276)</f>
        <v>117561565</v>
      </c>
      <c r="O277" s="700"/>
      <c r="P277" s="704"/>
      <c r="Q277" s="742"/>
      <c r="R277" s="1148"/>
      <c r="S277" s="742"/>
      <c r="T277" s="705"/>
      <c r="U277" s="706"/>
      <c r="V277" s="722"/>
      <c r="W277" s="722"/>
      <c r="X277" s="722"/>
      <c r="Y277" s="722"/>
    </row>
    <row r="278" spans="1:25" x14ac:dyDescent="0.25">
      <c r="A278" s="686">
        <v>12</v>
      </c>
      <c r="B278" s="1187" t="s">
        <v>1043</v>
      </c>
      <c r="C278" s="1187"/>
      <c r="D278" s="976" t="s">
        <v>607</v>
      </c>
      <c r="E278" s="976" t="s">
        <v>879</v>
      </c>
      <c r="F278" s="1108">
        <f>L278</f>
        <v>2000000</v>
      </c>
      <c r="G278" s="974"/>
      <c r="H278" s="974">
        <v>2000000</v>
      </c>
      <c r="I278" s="974"/>
      <c r="J278" s="975"/>
      <c r="K278" s="974"/>
      <c r="L278" s="974">
        <f>SUM(H278:K278)</f>
        <v>2000000</v>
      </c>
      <c r="M278" s="991" t="e">
        <f>IF(G278="",F278-L278-#REF!,G278-L278-#REF!)</f>
        <v>#REF!</v>
      </c>
      <c r="N278" s="1013">
        <f t="shared" si="14"/>
        <v>0</v>
      </c>
      <c r="O278" s="976"/>
      <c r="P278" s="977"/>
      <c r="Q278" s="974"/>
      <c r="R278" s="1147"/>
      <c r="S278" s="974"/>
      <c r="T278" s="976"/>
      <c r="U278" s="690"/>
    </row>
    <row r="279" spans="1:25" x14ac:dyDescent="0.25">
      <c r="B279" s="1187" t="s">
        <v>1043</v>
      </c>
      <c r="C279" s="1187"/>
      <c r="D279" s="976" t="s">
        <v>536</v>
      </c>
      <c r="E279" s="976" t="s">
        <v>700</v>
      </c>
      <c r="F279" s="973">
        <v>8572000</v>
      </c>
      <c r="G279" s="974"/>
      <c r="H279" s="974">
        <v>8572000</v>
      </c>
      <c r="I279" s="974"/>
      <c r="J279" s="975"/>
      <c r="K279" s="974"/>
      <c r="L279" s="974">
        <f t="shared" ref="L279:L284" si="16">SUM(H279:K279)</f>
        <v>8572000</v>
      </c>
      <c r="M279" s="991" t="e">
        <f>IF(G279="",F279-L279-#REF!,G279-L279-#REF!)</f>
        <v>#REF!</v>
      </c>
      <c r="N279" s="1013">
        <f t="shared" si="14"/>
        <v>0</v>
      </c>
      <c r="O279" s="976"/>
      <c r="P279" s="977"/>
      <c r="Q279" s="974"/>
      <c r="R279" s="1147"/>
      <c r="S279" s="974"/>
      <c r="T279" s="976"/>
      <c r="U279" s="693" t="s">
        <v>943</v>
      </c>
    </row>
    <row r="280" spans="1:25" x14ac:dyDescent="0.25">
      <c r="B280" s="1187" t="s">
        <v>1043</v>
      </c>
      <c r="C280" s="1187"/>
      <c r="D280" s="976" t="s">
        <v>882</v>
      </c>
      <c r="E280" s="976" t="s">
        <v>879</v>
      </c>
      <c r="F280" s="1108">
        <f>L280</f>
        <v>2000000</v>
      </c>
      <c r="G280" s="974"/>
      <c r="H280" s="974">
        <v>2000000</v>
      </c>
      <c r="I280" s="974"/>
      <c r="J280" s="975"/>
      <c r="K280" s="974"/>
      <c r="L280" s="974">
        <f t="shared" si="16"/>
        <v>2000000</v>
      </c>
      <c r="M280" s="991" t="e">
        <f>IF(G280="",F280-L280-#REF!,G280-L280-#REF!)</f>
        <v>#REF!</v>
      </c>
      <c r="N280" s="1013">
        <f t="shared" si="14"/>
        <v>0</v>
      </c>
      <c r="O280" s="976"/>
      <c r="P280" s="977"/>
      <c r="Q280" s="974"/>
      <c r="R280" s="1147"/>
      <c r="S280" s="974"/>
      <c r="T280" s="976"/>
      <c r="U280" s="693"/>
    </row>
    <row r="281" spans="1:25" x14ac:dyDescent="0.25">
      <c r="B281" s="1187" t="s">
        <v>1043</v>
      </c>
      <c r="C281" s="1187"/>
      <c r="D281" s="976" t="s">
        <v>175</v>
      </c>
      <c r="E281" s="976" t="s">
        <v>416</v>
      </c>
      <c r="F281" s="973">
        <v>1100000</v>
      </c>
      <c r="G281" s="974">
        <v>1100000</v>
      </c>
      <c r="H281" s="974">
        <v>1100000</v>
      </c>
      <c r="I281" s="974"/>
      <c r="J281" s="975"/>
      <c r="K281" s="974"/>
      <c r="L281" s="974">
        <f t="shared" si="16"/>
        <v>1100000</v>
      </c>
      <c r="M281" s="991" t="e">
        <f>IF(G281="",F281-L281-#REF!,G281-L281-#REF!)</f>
        <v>#REF!</v>
      </c>
      <c r="N281" s="1013">
        <f t="shared" si="14"/>
        <v>0</v>
      </c>
      <c r="O281" s="976"/>
      <c r="P281" s="977"/>
      <c r="Q281" s="974"/>
      <c r="R281" s="1147"/>
      <c r="S281" s="974"/>
      <c r="T281" s="976"/>
      <c r="U281" s="693" t="s">
        <v>943</v>
      </c>
    </row>
    <row r="282" spans="1:25" x14ac:dyDescent="0.25">
      <c r="B282" s="1187" t="s">
        <v>1043</v>
      </c>
      <c r="C282" s="1187"/>
      <c r="D282" s="976" t="s">
        <v>883</v>
      </c>
      <c r="E282" s="976" t="s">
        <v>704</v>
      </c>
      <c r="F282" s="1108">
        <v>2000000</v>
      </c>
      <c r="G282" s="974"/>
      <c r="H282" s="974">
        <v>2000000</v>
      </c>
      <c r="I282" s="974"/>
      <c r="J282" s="975"/>
      <c r="K282" s="974"/>
      <c r="L282" s="974">
        <f t="shared" si="16"/>
        <v>2000000</v>
      </c>
      <c r="M282" s="991" t="e">
        <f>IF(G282="",F282-L282-#REF!,G282-L282-#REF!)</f>
        <v>#REF!</v>
      </c>
      <c r="N282" s="1013">
        <f t="shared" si="14"/>
        <v>0</v>
      </c>
      <c r="O282" s="976"/>
      <c r="P282" s="977"/>
      <c r="Q282" s="974"/>
      <c r="R282" s="1147"/>
      <c r="S282" s="974"/>
      <c r="T282" s="976"/>
      <c r="U282" s="693"/>
    </row>
    <row r="283" spans="1:25" x14ac:dyDescent="0.25">
      <c r="B283" s="1187" t="s">
        <v>1043</v>
      </c>
      <c r="C283" s="1187"/>
      <c r="D283" s="976" t="s">
        <v>884</v>
      </c>
      <c r="E283" s="976" t="s">
        <v>521</v>
      </c>
      <c r="F283" s="1108">
        <v>1620000</v>
      </c>
      <c r="G283" s="974"/>
      <c r="H283" s="974">
        <v>1620000</v>
      </c>
      <c r="I283" s="974"/>
      <c r="J283" s="975"/>
      <c r="K283" s="974"/>
      <c r="L283" s="974">
        <f t="shared" si="16"/>
        <v>1620000</v>
      </c>
      <c r="M283" s="991" t="e">
        <f>IF(G283="",F283-L283-#REF!,G283-L283-#REF!)</f>
        <v>#REF!</v>
      </c>
      <c r="N283" s="1013">
        <f t="shared" si="14"/>
        <v>0</v>
      </c>
      <c r="O283" s="976"/>
      <c r="P283" s="977"/>
      <c r="Q283" s="974"/>
      <c r="R283" s="1147"/>
      <c r="S283" s="974"/>
      <c r="T283" s="976"/>
      <c r="U283" s="693"/>
    </row>
    <row r="284" spans="1:25" x14ac:dyDescent="0.25">
      <c r="B284" s="1187" t="s">
        <v>1043</v>
      </c>
      <c r="C284" s="1187"/>
      <c r="D284" s="976" t="s">
        <v>257</v>
      </c>
      <c r="E284" s="976" t="s">
        <v>286</v>
      </c>
      <c r="F284" s="1108">
        <f>L284</f>
        <v>2440000</v>
      </c>
      <c r="G284" s="974"/>
      <c r="H284" s="974">
        <v>2440000</v>
      </c>
      <c r="I284" s="974"/>
      <c r="J284" s="975"/>
      <c r="K284" s="974"/>
      <c r="L284" s="974">
        <f t="shared" si="16"/>
        <v>2440000</v>
      </c>
      <c r="M284" s="991" t="e">
        <f>IF(G284="",F284-L284-#REF!,G284-L284-#REF!)</f>
        <v>#REF!</v>
      </c>
      <c r="N284" s="1013">
        <f t="shared" si="14"/>
        <v>0</v>
      </c>
      <c r="O284" s="976"/>
      <c r="P284" s="977"/>
      <c r="Q284" s="974"/>
      <c r="R284" s="1147"/>
      <c r="S284" s="974"/>
      <c r="T284" s="976"/>
      <c r="U284" s="693"/>
    </row>
    <row r="285" spans="1:25" x14ac:dyDescent="0.25">
      <c r="B285" s="1187" t="s">
        <v>1043</v>
      </c>
      <c r="C285" s="1187"/>
      <c r="D285" s="976" t="s">
        <v>886</v>
      </c>
      <c r="E285" s="976" t="s">
        <v>887</v>
      </c>
      <c r="F285" s="1108">
        <v>8780000</v>
      </c>
      <c r="G285" s="974"/>
      <c r="H285" s="974">
        <v>8780000</v>
      </c>
      <c r="I285" s="974"/>
      <c r="J285" s="975"/>
      <c r="K285" s="974"/>
      <c r="L285" s="974">
        <f t="shared" ref="L285:L292" si="17">SUM(H285:K285)</f>
        <v>8780000</v>
      </c>
      <c r="M285" s="991" t="e">
        <f>IF(G285="",F285-L285-#REF!,G285-L285-#REF!)</f>
        <v>#REF!</v>
      </c>
      <c r="N285" s="1013">
        <f t="shared" ref="N285:N352" si="18">IF($G285="",($F285-$L285),($G285-$L285))</f>
        <v>0</v>
      </c>
      <c r="O285" s="976"/>
      <c r="P285" s="977"/>
      <c r="Q285" s="974"/>
      <c r="R285" s="1147"/>
      <c r="S285" s="974"/>
      <c r="T285" s="976"/>
      <c r="U285" s="693"/>
    </row>
    <row r="286" spans="1:25" x14ac:dyDescent="0.25">
      <c r="B286" s="1187" t="s">
        <v>1043</v>
      </c>
      <c r="C286" s="1187"/>
      <c r="D286" s="976" t="s">
        <v>536</v>
      </c>
      <c r="E286" s="976" t="s">
        <v>700</v>
      </c>
      <c r="F286" s="973">
        <v>2140000</v>
      </c>
      <c r="G286" s="974"/>
      <c r="H286" s="974">
        <v>2140000</v>
      </c>
      <c r="I286" s="974"/>
      <c r="J286" s="975"/>
      <c r="K286" s="974"/>
      <c r="L286" s="974">
        <f t="shared" si="17"/>
        <v>2140000</v>
      </c>
      <c r="M286" s="991" t="e">
        <f>IF(G286="",F286-L286-#REF!,G286-L286-#REF!)</f>
        <v>#REF!</v>
      </c>
      <c r="N286" s="1013">
        <f t="shared" si="18"/>
        <v>0</v>
      </c>
      <c r="O286" s="976"/>
      <c r="P286" s="977"/>
      <c r="Q286" s="974"/>
      <c r="R286" s="1147"/>
      <c r="S286" s="974"/>
      <c r="T286" s="976"/>
      <c r="U286" s="693" t="s">
        <v>943</v>
      </c>
    </row>
    <row r="287" spans="1:25" x14ac:dyDescent="0.25">
      <c r="B287" s="1187" t="s">
        <v>1043</v>
      </c>
      <c r="C287" s="1187"/>
      <c r="D287" s="976" t="s">
        <v>215</v>
      </c>
      <c r="E287" s="976" t="s">
        <v>403</v>
      </c>
      <c r="F287" s="1108">
        <v>3800000</v>
      </c>
      <c r="G287" s="974"/>
      <c r="H287" s="974">
        <v>3800000</v>
      </c>
      <c r="I287" s="974"/>
      <c r="J287" s="975"/>
      <c r="K287" s="974"/>
      <c r="L287" s="974">
        <f t="shared" si="17"/>
        <v>3800000</v>
      </c>
      <c r="M287" s="991" t="e">
        <f>IF(G287="",F287-L287-#REF!,G287-L287-#REF!)</f>
        <v>#REF!</v>
      </c>
      <c r="N287" s="1013">
        <f t="shared" si="18"/>
        <v>0</v>
      </c>
      <c r="O287" s="976"/>
      <c r="P287" s="977"/>
      <c r="Q287" s="974"/>
      <c r="R287" s="1147"/>
      <c r="S287" s="974"/>
      <c r="T287" s="976"/>
      <c r="U287" s="693"/>
    </row>
    <row r="288" spans="1:25" x14ac:dyDescent="0.25">
      <c r="B288" s="1187" t="s">
        <v>1043</v>
      </c>
      <c r="C288" s="1187"/>
      <c r="D288" s="976" t="s">
        <v>889</v>
      </c>
      <c r="E288" s="976" t="s">
        <v>846</v>
      </c>
      <c r="F288" s="973">
        <v>1000000</v>
      </c>
      <c r="G288" s="974"/>
      <c r="H288" s="974">
        <v>1000000</v>
      </c>
      <c r="I288" s="974"/>
      <c r="J288" s="975"/>
      <c r="K288" s="974"/>
      <c r="L288" s="974">
        <f t="shared" si="17"/>
        <v>1000000</v>
      </c>
      <c r="M288" s="991" t="e">
        <f>IF(G288="",F288-L288-#REF!,G288-L288-#REF!)</f>
        <v>#REF!</v>
      </c>
      <c r="N288" s="1013">
        <f t="shared" si="18"/>
        <v>0</v>
      </c>
      <c r="O288" s="976"/>
      <c r="P288" s="977"/>
      <c r="Q288" s="974"/>
      <c r="R288" s="1147"/>
      <c r="S288" s="974"/>
      <c r="T288" s="976"/>
      <c r="U288" s="693" t="s">
        <v>846</v>
      </c>
    </row>
    <row r="289" spans="1:25" x14ac:dyDescent="0.25">
      <c r="B289" s="1187" t="s">
        <v>1043</v>
      </c>
      <c r="C289" s="1187"/>
      <c r="D289" s="976" t="s">
        <v>890</v>
      </c>
      <c r="E289" s="976" t="s">
        <v>195</v>
      </c>
      <c r="F289" s="1108">
        <v>7700000</v>
      </c>
      <c r="G289" s="974"/>
      <c r="H289" s="974">
        <v>7700000</v>
      </c>
      <c r="I289" s="974"/>
      <c r="J289" s="975"/>
      <c r="K289" s="974"/>
      <c r="L289" s="974">
        <f t="shared" si="17"/>
        <v>7700000</v>
      </c>
      <c r="M289" s="991" t="e">
        <f>IF(G289="",F289-L289-#REF!,G289-L289-#REF!)</f>
        <v>#REF!</v>
      </c>
      <c r="N289" s="1013">
        <f t="shared" si="18"/>
        <v>0</v>
      </c>
      <c r="O289" s="976"/>
      <c r="P289" s="977"/>
      <c r="Q289" s="974"/>
      <c r="R289" s="1147"/>
      <c r="S289" s="974"/>
      <c r="T289" s="976"/>
      <c r="U289" s="693"/>
    </row>
    <row r="290" spans="1:25" x14ac:dyDescent="0.25">
      <c r="B290" s="1187" t="s">
        <v>1043</v>
      </c>
      <c r="C290" s="1187"/>
      <c r="D290" s="976" t="s">
        <v>883</v>
      </c>
      <c r="E290" s="976" t="s">
        <v>704</v>
      </c>
      <c r="F290" s="1108">
        <v>4250000</v>
      </c>
      <c r="G290" s="974"/>
      <c r="H290" s="974">
        <v>4250000</v>
      </c>
      <c r="I290" s="974"/>
      <c r="J290" s="975"/>
      <c r="K290" s="974"/>
      <c r="L290" s="974">
        <f t="shared" si="17"/>
        <v>4250000</v>
      </c>
      <c r="M290" s="991" t="e">
        <f>IF(G290="",F290-L290-#REF!,G290-L290-#REF!)</f>
        <v>#REF!</v>
      </c>
      <c r="N290" s="1013">
        <f t="shared" si="18"/>
        <v>0</v>
      </c>
      <c r="O290" s="976"/>
      <c r="P290" s="977"/>
      <c r="Q290" s="974"/>
      <c r="R290" s="1147"/>
      <c r="S290" s="974"/>
      <c r="T290" s="976"/>
      <c r="U290" s="693"/>
    </row>
    <row r="291" spans="1:25" x14ac:dyDescent="0.25">
      <c r="B291" s="1187" t="s">
        <v>1043</v>
      </c>
      <c r="C291" s="1187"/>
      <c r="D291" s="976" t="s">
        <v>607</v>
      </c>
      <c r="E291" s="976" t="s">
        <v>693</v>
      </c>
      <c r="F291" s="1108">
        <f>L291</f>
        <v>3890000</v>
      </c>
      <c r="G291" s="974"/>
      <c r="H291" s="974">
        <v>3890000</v>
      </c>
      <c r="I291" s="974"/>
      <c r="J291" s="975"/>
      <c r="K291" s="974"/>
      <c r="L291" s="974">
        <f t="shared" si="17"/>
        <v>3890000</v>
      </c>
      <c r="M291" s="991" t="e">
        <f>IF(G291="",F291-L291-#REF!,G291-L291-#REF!)</f>
        <v>#REF!</v>
      </c>
      <c r="N291" s="1013">
        <f t="shared" si="18"/>
        <v>0</v>
      </c>
      <c r="O291" s="976"/>
      <c r="P291" s="977"/>
      <c r="Q291" s="974"/>
      <c r="R291" s="1147"/>
      <c r="S291" s="974"/>
      <c r="T291" s="976"/>
      <c r="U291" s="693"/>
    </row>
    <row r="292" spans="1:25" x14ac:dyDescent="0.25">
      <c r="B292" s="1187" t="s">
        <v>1043</v>
      </c>
      <c r="C292" s="1187"/>
      <c r="D292" s="976" t="s">
        <v>1235</v>
      </c>
      <c r="E292" s="976" t="s">
        <v>341</v>
      </c>
      <c r="F292" s="1108">
        <v>5880000</v>
      </c>
      <c r="G292" s="974"/>
      <c r="H292" s="974">
        <v>5880000</v>
      </c>
      <c r="I292" s="974"/>
      <c r="J292" s="975"/>
      <c r="K292" s="974"/>
      <c r="L292" s="974">
        <f t="shared" si="17"/>
        <v>5880000</v>
      </c>
      <c r="M292" s="991"/>
      <c r="N292" s="1013">
        <f t="shared" si="18"/>
        <v>0</v>
      </c>
      <c r="O292" s="976"/>
      <c r="P292" s="977"/>
      <c r="Q292" s="974"/>
      <c r="R292" s="1147"/>
      <c r="S292" s="974"/>
      <c r="T292" s="976"/>
      <c r="U292" s="693"/>
    </row>
    <row r="293" spans="1:25" x14ac:dyDescent="0.25">
      <c r="B293" s="1187" t="s">
        <v>1043</v>
      </c>
      <c r="C293" s="1187"/>
      <c r="D293" s="976" t="s">
        <v>947</v>
      </c>
      <c r="E293" s="976"/>
      <c r="F293" s="973"/>
      <c r="G293" s="974"/>
      <c r="H293" s="974">
        <f>W293</f>
        <v>0</v>
      </c>
      <c r="I293" s="974"/>
      <c r="J293" s="975"/>
      <c r="K293" s="974"/>
      <c r="L293" s="974">
        <f>SUM(H293:K293)</f>
        <v>0</v>
      </c>
      <c r="M293" s="991" t="e">
        <f>IF(G293="",F293-L293-#REF!,G293-L293-#REF!)</f>
        <v>#REF!</v>
      </c>
      <c r="N293" s="1013">
        <f t="shared" si="18"/>
        <v>0</v>
      </c>
      <c r="O293" s="976"/>
      <c r="P293" s="977"/>
      <c r="Q293" s="974"/>
      <c r="R293" s="1147"/>
      <c r="S293" s="974"/>
      <c r="T293" s="976"/>
      <c r="U293" s="693"/>
      <c r="V293" s="687" t="s">
        <v>948</v>
      </c>
      <c r="W293" s="687">
        <f>SUM(W278:W291)</f>
        <v>0</v>
      </c>
    </row>
    <row r="294" spans="1:25" s="723" customFormat="1" ht="15.75" x14ac:dyDescent="0.25">
      <c r="B294" s="720" t="s">
        <v>949</v>
      </c>
      <c r="C294" s="720"/>
      <c r="D294" s="699" t="s">
        <v>1044</v>
      </c>
      <c r="E294" s="700"/>
      <c r="F294" s="724"/>
      <c r="G294" s="702"/>
      <c r="H294" s="701"/>
      <c r="I294" s="702"/>
      <c r="J294" s="726"/>
      <c r="K294" s="702"/>
      <c r="L294" s="707">
        <f>SUM(L278:L293)</f>
        <v>57172000</v>
      </c>
      <c r="M294" s="707" t="e">
        <f>SUM(M278:M293)</f>
        <v>#REF!</v>
      </c>
      <c r="N294" s="869">
        <f>SUM(N278:N293)</f>
        <v>0</v>
      </c>
      <c r="O294" s="700"/>
      <c r="P294" s="704"/>
      <c r="Q294" s="742"/>
      <c r="R294" s="1148"/>
      <c r="S294" s="742"/>
      <c r="T294" s="705"/>
      <c r="U294" s="706"/>
      <c r="V294" s="722"/>
      <c r="W294" s="722"/>
      <c r="X294" s="722"/>
      <c r="Y294" s="722"/>
    </row>
    <row r="295" spans="1:25" x14ac:dyDescent="0.25">
      <c r="A295" s="686">
        <v>13</v>
      </c>
      <c r="B295" s="1187" t="s">
        <v>1045</v>
      </c>
      <c r="C295" s="1187"/>
      <c r="D295" s="976" t="s">
        <v>313</v>
      </c>
      <c r="E295" s="976" t="s">
        <v>173</v>
      </c>
      <c r="F295" s="973">
        <v>56650000</v>
      </c>
      <c r="G295" s="974">
        <v>57490000</v>
      </c>
      <c r="H295" s="974">
        <v>16955000</v>
      </c>
      <c r="I295" s="974">
        <v>22660000</v>
      </c>
      <c r="J295" s="975">
        <v>17835000</v>
      </c>
      <c r="K295" s="974">
        <v>40000</v>
      </c>
      <c r="L295" s="974">
        <f>SUM(H295:K295)</f>
        <v>57490000</v>
      </c>
      <c r="M295" s="991" t="e">
        <f>IF(G295="",F295-L295-#REF!,G295-L295-#REF!)</f>
        <v>#REF!</v>
      </c>
      <c r="N295" s="1013">
        <f t="shared" si="18"/>
        <v>0</v>
      </c>
      <c r="O295" s="976"/>
      <c r="P295" s="977"/>
      <c r="Q295" s="974"/>
      <c r="R295" s="1147"/>
      <c r="S295" s="974"/>
      <c r="T295" s="976"/>
      <c r="U295" s="690"/>
      <c r="V295" s="687" t="s">
        <v>893</v>
      </c>
    </row>
    <row r="296" spans="1:25" x14ac:dyDescent="0.25">
      <c r="B296" s="1187" t="s">
        <v>1045</v>
      </c>
      <c r="C296" s="1187"/>
      <c r="D296" s="976" t="s">
        <v>894</v>
      </c>
      <c r="E296" s="976" t="s">
        <v>448</v>
      </c>
      <c r="F296" s="973">
        <v>100950000</v>
      </c>
      <c r="G296" s="974">
        <v>118100000</v>
      </c>
      <c r="H296" s="974">
        <v>30285000</v>
      </c>
      <c r="I296" s="974">
        <v>50475000</v>
      </c>
      <c r="J296" s="975">
        <v>37340000</v>
      </c>
      <c r="K296" s="974"/>
      <c r="L296" s="974">
        <f t="shared" ref="L296:L329" si="19">SUM(H296:K296)</f>
        <v>118100000</v>
      </c>
      <c r="M296" s="991" t="e">
        <f>IF(G296="",F296-L296-#REF!,G296-L296-#REF!)</f>
        <v>#REF!</v>
      </c>
      <c r="N296" s="1013">
        <f t="shared" si="18"/>
        <v>0</v>
      </c>
      <c r="O296" s="976"/>
      <c r="P296" s="977"/>
      <c r="Q296" s="974"/>
      <c r="R296" s="1147"/>
      <c r="S296" s="974"/>
      <c r="T296" s="976"/>
      <c r="U296" s="693"/>
      <c r="V296" s="687" t="s">
        <v>1002</v>
      </c>
      <c r="W296" s="687">
        <v>5100000</v>
      </c>
      <c r="X296" s="687" t="s">
        <v>896</v>
      </c>
    </row>
    <row r="297" spans="1:25" x14ac:dyDescent="0.25">
      <c r="B297" s="1187" t="s">
        <v>1045</v>
      </c>
      <c r="C297" s="1187"/>
      <c r="D297" s="976" t="s">
        <v>175</v>
      </c>
      <c r="E297" s="976" t="s">
        <v>416</v>
      </c>
      <c r="F297" s="973">
        <v>1100000</v>
      </c>
      <c r="G297" s="974">
        <v>1100000</v>
      </c>
      <c r="H297" s="974">
        <v>1100000</v>
      </c>
      <c r="I297" s="974"/>
      <c r="J297" s="975"/>
      <c r="K297" s="974"/>
      <c r="L297" s="974">
        <f t="shared" si="19"/>
        <v>1100000</v>
      </c>
      <c r="M297" s="991" t="e">
        <f>IF(G297="",F297-L297-#REF!,G297-L297-#REF!)</f>
        <v>#REF!</v>
      </c>
      <c r="N297" s="1013">
        <f t="shared" si="18"/>
        <v>0</v>
      </c>
      <c r="O297" s="976"/>
      <c r="P297" s="977"/>
      <c r="Q297" s="974"/>
      <c r="R297" s="1147"/>
      <c r="S297" s="974"/>
      <c r="T297" s="976"/>
      <c r="U297" s="693" t="s">
        <v>943</v>
      </c>
      <c r="V297" s="687" t="s">
        <v>1003</v>
      </c>
      <c r="W297" s="687">
        <v>6600000</v>
      </c>
      <c r="X297" s="687" t="s">
        <v>896</v>
      </c>
    </row>
    <row r="298" spans="1:25" x14ac:dyDescent="0.25">
      <c r="B298" s="1187" t="s">
        <v>1045</v>
      </c>
      <c r="C298" s="1187"/>
      <c r="D298" s="976" t="s">
        <v>99</v>
      </c>
      <c r="E298" s="976" t="s">
        <v>100</v>
      </c>
      <c r="F298" s="973">
        <v>106810660</v>
      </c>
      <c r="G298" s="974">
        <v>146375900</v>
      </c>
      <c r="H298" s="974">
        <v>32043198</v>
      </c>
      <c r="I298" s="974">
        <v>42724624</v>
      </c>
      <c r="J298" s="975">
        <v>64289643</v>
      </c>
      <c r="K298" s="974"/>
      <c r="L298" s="974">
        <f t="shared" si="19"/>
        <v>139057465</v>
      </c>
      <c r="M298" s="991" t="e">
        <f>IF(G298="",F298-L298-#REF!,G298-L298-#REF!)</f>
        <v>#REF!</v>
      </c>
      <c r="N298" s="1013">
        <f t="shared" si="18"/>
        <v>7318435</v>
      </c>
      <c r="O298" s="976"/>
      <c r="P298" s="977"/>
      <c r="Q298" s="974"/>
      <c r="R298" s="1147"/>
      <c r="S298" s="974"/>
      <c r="T298" s="976"/>
      <c r="U298" s="693" t="s">
        <v>943</v>
      </c>
      <c r="V298" s="687" t="s">
        <v>1004</v>
      </c>
      <c r="W298" s="687">
        <v>4450000</v>
      </c>
      <c r="X298" s="687" t="s">
        <v>898</v>
      </c>
    </row>
    <row r="299" spans="1:25" x14ac:dyDescent="0.25">
      <c r="B299" s="1187" t="s">
        <v>1045</v>
      </c>
      <c r="C299" s="1187"/>
      <c r="D299" s="976" t="s">
        <v>31</v>
      </c>
      <c r="E299" s="976" t="s">
        <v>897</v>
      </c>
      <c r="F299" s="973">
        <v>22772000</v>
      </c>
      <c r="G299" s="974">
        <v>49720000</v>
      </c>
      <c r="H299" s="974">
        <v>6831660</v>
      </c>
      <c r="I299" s="974">
        <v>15000000</v>
      </c>
      <c r="J299" s="975">
        <v>27888340</v>
      </c>
      <c r="K299" s="974"/>
      <c r="L299" s="974">
        <f t="shared" si="19"/>
        <v>49720000</v>
      </c>
      <c r="M299" s="991" t="e">
        <f>IF(G299="",F299-L299-#REF!,G299-L299-#REF!)</f>
        <v>#REF!</v>
      </c>
      <c r="N299" s="1013">
        <f t="shared" si="18"/>
        <v>0</v>
      </c>
      <c r="O299" s="976"/>
      <c r="P299" s="977"/>
      <c r="Q299" s="974"/>
      <c r="R299" s="1147"/>
      <c r="S299" s="974"/>
      <c r="T299" s="976"/>
      <c r="U299" s="693"/>
      <c r="V299" s="687" t="s">
        <v>1021</v>
      </c>
      <c r="W299" s="687">
        <v>160000</v>
      </c>
      <c r="X299" s="687" t="s">
        <v>902</v>
      </c>
    </row>
    <row r="300" spans="1:25" x14ac:dyDescent="0.25">
      <c r="B300" s="1187" t="s">
        <v>1045</v>
      </c>
      <c r="C300" s="1187"/>
      <c r="D300" s="976" t="s">
        <v>899</v>
      </c>
      <c r="E300" s="976" t="s">
        <v>229</v>
      </c>
      <c r="F300" s="973">
        <v>95095000</v>
      </c>
      <c r="G300" s="974">
        <v>89982750</v>
      </c>
      <c r="H300" s="974">
        <v>47547500</v>
      </c>
      <c r="I300" s="974">
        <v>42435250</v>
      </c>
      <c r="J300" s="975"/>
      <c r="K300" s="974"/>
      <c r="L300" s="974">
        <f t="shared" si="19"/>
        <v>89982750</v>
      </c>
      <c r="M300" s="991" t="e">
        <f>IF(G300="",F300-L300-#REF!,G300-L300-#REF!)</f>
        <v>#REF!</v>
      </c>
      <c r="N300" s="1013">
        <f t="shared" si="18"/>
        <v>0</v>
      </c>
      <c r="O300" s="976" t="s">
        <v>901</v>
      </c>
      <c r="P300" s="977">
        <v>43879</v>
      </c>
      <c r="Q300" s="974"/>
      <c r="R300" s="1147"/>
      <c r="S300" s="974"/>
      <c r="T300" s="976"/>
      <c r="U300" s="693" t="s">
        <v>943</v>
      </c>
    </row>
    <row r="301" spans="1:25" x14ac:dyDescent="0.25">
      <c r="B301" s="1187" t="s">
        <v>1045</v>
      </c>
      <c r="C301" s="1187"/>
      <c r="D301" s="976" t="s">
        <v>167</v>
      </c>
      <c r="E301" s="976" t="s">
        <v>903</v>
      </c>
      <c r="F301" s="973">
        <v>7656740</v>
      </c>
      <c r="G301" s="974"/>
      <c r="H301" s="974">
        <v>7656740</v>
      </c>
      <c r="I301" s="974"/>
      <c r="J301" s="975"/>
      <c r="K301" s="974"/>
      <c r="L301" s="974">
        <f t="shared" si="19"/>
        <v>7656740</v>
      </c>
      <c r="M301" s="991" t="e">
        <f>IF(G301="",F301-L301-#REF!,G301-L301-#REF!)</f>
        <v>#REF!</v>
      </c>
      <c r="N301" s="1013">
        <f t="shared" si="18"/>
        <v>0</v>
      </c>
      <c r="O301" s="976"/>
      <c r="P301" s="977"/>
      <c r="Q301" s="974"/>
      <c r="R301" s="1147"/>
      <c r="S301" s="974"/>
      <c r="T301" s="976"/>
      <c r="U301" s="693" t="s">
        <v>903</v>
      </c>
    </row>
    <row r="302" spans="1:25" x14ac:dyDescent="0.25">
      <c r="B302" s="1187" t="s">
        <v>1045</v>
      </c>
      <c r="C302" s="1187"/>
      <c r="D302" s="976" t="s">
        <v>292</v>
      </c>
      <c r="E302" s="976" t="s">
        <v>104</v>
      </c>
      <c r="F302" s="973">
        <v>59536000</v>
      </c>
      <c r="G302" s="974"/>
      <c r="H302" s="974">
        <v>35721600</v>
      </c>
      <c r="I302" s="974">
        <v>23814000</v>
      </c>
      <c r="J302" s="975">
        <v>400</v>
      </c>
      <c r="K302" s="974"/>
      <c r="L302" s="974">
        <f t="shared" si="19"/>
        <v>59536000</v>
      </c>
      <c r="M302" s="991" t="e">
        <f>IF(G302="",F302-L302-#REF!,G302-L302-#REF!)</f>
        <v>#REF!</v>
      </c>
      <c r="N302" s="1013">
        <f t="shared" si="18"/>
        <v>0</v>
      </c>
      <c r="O302" s="976"/>
      <c r="P302" s="977"/>
      <c r="Q302" s="974"/>
      <c r="R302" s="1147"/>
      <c r="S302" s="974"/>
      <c r="T302" s="976"/>
      <c r="U302" s="693"/>
    </row>
    <row r="303" spans="1:25" x14ac:dyDescent="0.25">
      <c r="B303" s="1187" t="s">
        <v>1045</v>
      </c>
      <c r="C303" s="1187"/>
      <c r="D303" s="976" t="s">
        <v>442</v>
      </c>
      <c r="E303" s="976" t="s">
        <v>443</v>
      </c>
      <c r="F303" s="973">
        <v>7748800</v>
      </c>
      <c r="G303" s="974"/>
      <c r="H303" s="974">
        <v>3874400</v>
      </c>
      <c r="I303" s="974">
        <v>3874400</v>
      </c>
      <c r="J303" s="975"/>
      <c r="K303" s="974"/>
      <c r="L303" s="974">
        <f t="shared" si="19"/>
        <v>7748800</v>
      </c>
      <c r="M303" s="991" t="e">
        <f>IF(G303="",F303-L303-#REF!,G303-L303-#REF!)</f>
        <v>#REF!</v>
      </c>
      <c r="N303" s="1013">
        <f t="shared" si="18"/>
        <v>0</v>
      </c>
      <c r="O303" s="976"/>
      <c r="P303" s="977"/>
      <c r="Q303" s="974"/>
      <c r="R303" s="1147"/>
      <c r="S303" s="974"/>
      <c r="T303" s="976"/>
      <c r="U303" s="693" t="s">
        <v>943</v>
      </c>
    </row>
    <row r="304" spans="1:25" x14ac:dyDescent="0.25">
      <c r="B304" s="1187" t="s">
        <v>1045</v>
      </c>
      <c r="C304" s="1187"/>
      <c r="D304" s="976" t="s">
        <v>167</v>
      </c>
      <c r="E304" s="976" t="s">
        <v>286</v>
      </c>
      <c r="F304" s="973">
        <v>8467200</v>
      </c>
      <c r="G304" s="974"/>
      <c r="H304" s="974">
        <v>8467200</v>
      </c>
      <c r="I304" s="974"/>
      <c r="J304" s="975"/>
      <c r="K304" s="974"/>
      <c r="L304" s="974">
        <f t="shared" si="19"/>
        <v>8467200</v>
      </c>
      <c r="M304" s="991" t="e">
        <f>IF(G304="",F304-L304-#REF!,G304-L304-#REF!)</f>
        <v>#REF!</v>
      </c>
      <c r="N304" s="1013">
        <f t="shared" si="18"/>
        <v>0</v>
      </c>
      <c r="O304" s="976"/>
      <c r="P304" s="977"/>
      <c r="Q304" s="974"/>
      <c r="R304" s="1147"/>
      <c r="S304" s="974"/>
      <c r="T304" s="976"/>
      <c r="U304" s="693"/>
    </row>
    <row r="305" spans="2:21" x14ac:dyDescent="0.25">
      <c r="B305" s="1187" t="s">
        <v>1045</v>
      </c>
      <c r="C305" s="1187"/>
      <c r="D305" s="976" t="s">
        <v>340</v>
      </c>
      <c r="E305" s="976" t="s">
        <v>906</v>
      </c>
      <c r="F305" s="973">
        <v>7664000</v>
      </c>
      <c r="G305" s="974"/>
      <c r="H305" s="974">
        <v>7664000</v>
      </c>
      <c r="I305" s="974"/>
      <c r="J305" s="975"/>
      <c r="K305" s="974"/>
      <c r="L305" s="974">
        <f t="shared" si="19"/>
        <v>7664000</v>
      </c>
      <c r="M305" s="991" t="e">
        <f>IF(G305="",F305-L305-#REF!,G305-L305-#REF!)</f>
        <v>#REF!</v>
      </c>
      <c r="N305" s="1013">
        <f t="shared" si="18"/>
        <v>0</v>
      </c>
      <c r="O305" s="976"/>
      <c r="P305" s="977"/>
      <c r="Q305" s="974"/>
      <c r="R305" s="1147"/>
      <c r="S305" s="974"/>
      <c r="T305" s="976"/>
      <c r="U305" s="693" t="s">
        <v>943</v>
      </c>
    </row>
    <row r="306" spans="2:21" x14ac:dyDescent="0.25">
      <c r="B306" s="1187" t="s">
        <v>1045</v>
      </c>
      <c r="C306" s="1187"/>
      <c r="D306" s="976" t="s">
        <v>232</v>
      </c>
      <c r="E306" s="976" t="s">
        <v>341</v>
      </c>
      <c r="F306" s="973">
        <v>10184000</v>
      </c>
      <c r="G306" s="974">
        <v>14288000</v>
      </c>
      <c r="H306" s="974">
        <v>4000000</v>
      </c>
      <c r="I306" s="974">
        <v>6000000</v>
      </c>
      <c r="J306" s="975">
        <v>4288000</v>
      </c>
      <c r="K306" s="974"/>
      <c r="L306" s="974">
        <f t="shared" si="19"/>
        <v>14288000</v>
      </c>
      <c r="M306" s="991" t="e">
        <f>IF(G306="",F306-L306-#REF!,G306-L306-#REF!)</f>
        <v>#REF!</v>
      </c>
      <c r="N306" s="1013">
        <f t="shared" si="18"/>
        <v>0</v>
      </c>
      <c r="O306" s="976"/>
      <c r="P306" s="977"/>
      <c r="Q306" s="974"/>
      <c r="R306" s="1147"/>
      <c r="S306" s="974"/>
      <c r="T306" s="976"/>
      <c r="U306" s="693" t="s">
        <v>341</v>
      </c>
    </row>
    <row r="307" spans="2:21" x14ac:dyDescent="0.25">
      <c r="B307" s="1187" t="s">
        <v>1045</v>
      </c>
      <c r="C307" s="1187"/>
      <c r="D307" s="976" t="s">
        <v>167</v>
      </c>
      <c r="E307" s="976" t="s">
        <v>907</v>
      </c>
      <c r="F307" s="973">
        <v>6644400</v>
      </c>
      <c r="G307" s="974"/>
      <c r="H307" s="974">
        <v>6644400</v>
      </c>
      <c r="I307" s="974"/>
      <c r="J307" s="975"/>
      <c r="K307" s="974"/>
      <c r="L307" s="974">
        <f t="shared" si="19"/>
        <v>6644400</v>
      </c>
      <c r="M307" s="991" t="e">
        <f>IF(G307="",F307-L307-#REF!,G307-L307-#REF!)</f>
        <v>#REF!</v>
      </c>
      <c r="N307" s="1013">
        <f t="shared" si="18"/>
        <v>0</v>
      </c>
      <c r="O307" s="976"/>
      <c r="P307" s="977"/>
      <c r="Q307" s="974"/>
      <c r="R307" s="1147"/>
      <c r="S307" s="974"/>
      <c r="T307" s="976"/>
      <c r="U307" s="693" t="s">
        <v>907</v>
      </c>
    </row>
    <row r="308" spans="2:21" x14ac:dyDescent="0.25">
      <c r="B308" s="1187" t="s">
        <v>1045</v>
      </c>
      <c r="C308" s="1187"/>
      <c r="D308" s="976" t="s">
        <v>514</v>
      </c>
      <c r="E308" s="976" t="s">
        <v>114</v>
      </c>
      <c r="F308" s="973">
        <v>4480000</v>
      </c>
      <c r="G308" s="974"/>
      <c r="H308" s="974">
        <v>4480000</v>
      </c>
      <c r="I308" s="974"/>
      <c r="J308" s="975"/>
      <c r="K308" s="974"/>
      <c r="L308" s="974">
        <f t="shared" si="19"/>
        <v>4480000</v>
      </c>
      <c r="M308" s="991" t="e">
        <f>IF(G308="",F308-L308-#REF!,G308-L308-#REF!)</f>
        <v>#REF!</v>
      </c>
      <c r="N308" s="1013">
        <f t="shared" si="18"/>
        <v>0</v>
      </c>
      <c r="O308" s="976"/>
      <c r="P308" s="977"/>
      <c r="Q308" s="974"/>
      <c r="R308" s="1147"/>
      <c r="S308" s="974"/>
      <c r="T308" s="976"/>
      <c r="U308" s="693" t="s">
        <v>114</v>
      </c>
    </row>
    <row r="309" spans="2:21" x14ac:dyDescent="0.25">
      <c r="B309" s="1187" t="s">
        <v>1045</v>
      </c>
      <c r="C309" s="1187"/>
      <c r="D309" s="976" t="s">
        <v>908</v>
      </c>
      <c r="E309" s="976" t="s">
        <v>57</v>
      </c>
      <c r="F309" s="973">
        <f>34957336+1830276</f>
        <v>36787612</v>
      </c>
      <c r="G309" s="974"/>
      <c r="H309" s="1115">
        <v>34957336</v>
      </c>
      <c r="I309" s="974">
        <v>1830276</v>
      </c>
      <c r="J309" s="975"/>
      <c r="K309" s="974"/>
      <c r="L309" s="974">
        <f t="shared" si="19"/>
        <v>36787612</v>
      </c>
      <c r="M309" s="991" t="e">
        <f>IF(G309="",F309-L309-#REF!,G309-L309-#REF!)</f>
        <v>#REF!</v>
      </c>
      <c r="N309" s="1013">
        <f t="shared" si="18"/>
        <v>0</v>
      </c>
      <c r="O309" s="976"/>
      <c r="P309" s="977"/>
      <c r="Q309" s="974"/>
      <c r="R309" s="1147"/>
      <c r="S309" s="974"/>
      <c r="T309" s="976"/>
      <c r="U309" s="693" t="s">
        <v>57</v>
      </c>
    </row>
    <row r="310" spans="2:21" x14ac:dyDescent="0.25">
      <c r="B310" s="1187" t="s">
        <v>1045</v>
      </c>
      <c r="C310" s="1187"/>
      <c r="D310" s="976" t="s">
        <v>56</v>
      </c>
      <c r="E310" s="976" t="s">
        <v>57</v>
      </c>
      <c r="F310" s="973">
        <v>29240000</v>
      </c>
      <c r="G310" s="974"/>
      <c r="H310" s="974">
        <v>29240000</v>
      </c>
      <c r="I310" s="974"/>
      <c r="J310" s="975"/>
      <c r="K310" s="974"/>
      <c r="L310" s="974">
        <f t="shared" si="19"/>
        <v>29240000</v>
      </c>
      <c r="M310" s="991" t="e">
        <f>IF(G310="",F310-L310-#REF!,G310-L310-#REF!)</f>
        <v>#REF!</v>
      </c>
      <c r="N310" s="1013">
        <f t="shared" si="18"/>
        <v>0</v>
      </c>
      <c r="O310" s="976"/>
      <c r="P310" s="977"/>
      <c r="Q310" s="974"/>
      <c r="R310" s="1147"/>
      <c r="S310" s="974"/>
      <c r="T310" s="976"/>
      <c r="U310" s="693" t="s">
        <v>57</v>
      </c>
    </row>
    <row r="311" spans="2:21" x14ac:dyDescent="0.25">
      <c r="B311" s="1187" t="s">
        <v>1045</v>
      </c>
      <c r="C311" s="1187"/>
      <c r="D311" s="976" t="s">
        <v>167</v>
      </c>
      <c r="E311" s="976" t="s">
        <v>907</v>
      </c>
      <c r="F311" s="973">
        <v>1717940</v>
      </c>
      <c r="G311" s="974"/>
      <c r="H311" s="974">
        <v>1717940</v>
      </c>
      <c r="I311" s="974"/>
      <c r="J311" s="975"/>
      <c r="K311" s="974"/>
      <c r="L311" s="974">
        <f t="shared" si="19"/>
        <v>1717940</v>
      </c>
      <c r="M311" s="991" t="e">
        <f>IF(G311="",F311-L311-#REF!,G311-L311-#REF!)</f>
        <v>#REF!</v>
      </c>
      <c r="N311" s="1013">
        <f t="shared" si="18"/>
        <v>0</v>
      </c>
      <c r="O311" s="976"/>
      <c r="P311" s="977"/>
      <c r="Q311" s="974"/>
      <c r="R311" s="1147"/>
      <c r="S311" s="974"/>
      <c r="T311" s="976"/>
      <c r="U311" s="693" t="s">
        <v>907</v>
      </c>
    </row>
    <row r="312" spans="2:21" x14ac:dyDescent="0.25">
      <c r="B312" s="1187" t="s">
        <v>1045</v>
      </c>
      <c r="C312" s="1187"/>
      <c r="D312" s="976" t="s">
        <v>213</v>
      </c>
      <c r="E312" s="976" t="s">
        <v>909</v>
      </c>
      <c r="F312" s="973">
        <v>27600000</v>
      </c>
      <c r="G312" s="974"/>
      <c r="H312" s="974">
        <v>19320000</v>
      </c>
      <c r="I312" s="974">
        <v>8280000</v>
      </c>
      <c r="J312" s="975"/>
      <c r="K312" s="974"/>
      <c r="L312" s="974">
        <f t="shared" si="19"/>
        <v>27600000</v>
      </c>
      <c r="M312" s="991" t="e">
        <f>IF(G312="",F312-L312-#REF!,G312-L312-#REF!)</f>
        <v>#REF!</v>
      </c>
      <c r="N312" s="1013">
        <f t="shared" si="18"/>
        <v>0</v>
      </c>
      <c r="O312" s="976"/>
      <c r="P312" s="977"/>
      <c r="Q312" s="974"/>
      <c r="R312" s="1147"/>
      <c r="S312" s="974"/>
      <c r="T312" s="976"/>
      <c r="U312" s="693"/>
    </row>
    <row r="313" spans="2:21" x14ac:dyDescent="0.25">
      <c r="B313" s="1187" t="s">
        <v>1045</v>
      </c>
      <c r="C313" s="1187"/>
      <c r="D313" s="976" t="s">
        <v>118</v>
      </c>
      <c r="E313" s="976" t="s">
        <v>301</v>
      </c>
      <c r="F313" s="1108"/>
      <c r="G313" s="974">
        <f>20632150+1900000</f>
        <v>22532150</v>
      </c>
      <c r="H313" s="974">
        <v>20632150</v>
      </c>
      <c r="I313" s="974">
        <v>1900000</v>
      </c>
      <c r="J313" s="975"/>
      <c r="K313" s="974"/>
      <c r="L313" s="974">
        <f t="shared" si="19"/>
        <v>22532150</v>
      </c>
      <c r="M313" s="991" t="e">
        <f>IF(G313="",F313-L313-#REF!,G313-L313-#REF!)</f>
        <v>#REF!</v>
      </c>
      <c r="N313" s="1013">
        <f t="shared" si="18"/>
        <v>0</v>
      </c>
      <c r="O313" s="976"/>
      <c r="P313" s="977"/>
      <c r="Q313" s="974"/>
      <c r="R313" s="1147"/>
      <c r="S313" s="974"/>
      <c r="T313" s="976"/>
      <c r="U313" s="693"/>
    </row>
    <row r="314" spans="2:21" x14ac:dyDescent="0.25">
      <c r="B314" s="1187" t="s">
        <v>1045</v>
      </c>
      <c r="C314" s="1187"/>
      <c r="D314" s="976" t="s">
        <v>132</v>
      </c>
      <c r="E314" s="976" t="s">
        <v>910</v>
      </c>
      <c r="F314" s="973">
        <v>16784280</v>
      </c>
      <c r="G314" s="974"/>
      <c r="H314" s="974">
        <v>16784280</v>
      </c>
      <c r="I314" s="974"/>
      <c r="J314" s="975"/>
      <c r="K314" s="974"/>
      <c r="L314" s="974">
        <f t="shared" si="19"/>
        <v>16784280</v>
      </c>
      <c r="M314" s="991" t="e">
        <f>IF(G314="",F314-L314-#REF!,G314-L314-#REF!)</f>
        <v>#REF!</v>
      </c>
      <c r="N314" s="1013">
        <f t="shared" si="18"/>
        <v>0</v>
      </c>
      <c r="O314" s="976"/>
      <c r="P314" s="977"/>
      <c r="Q314" s="974"/>
      <c r="R314" s="1147"/>
      <c r="S314" s="974"/>
      <c r="T314" s="976"/>
      <c r="U314" s="693" t="s">
        <v>943</v>
      </c>
    </row>
    <row r="315" spans="2:21" x14ac:dyDescent="0.25">
      <c r="B315" s="1187" t="s">
        <v>1045</v>
      </c>
      <c r="C315" s="1187"/>
      <c r="D315" s="976" t="s">
        <v>132</v>
      </c>
      <c r="E315" s="976" t="s">
        <v>910</v>
      </c>
      <c r="F315" s="973">
        <v>7058729</v>
      </c>
      <c r="G315" s="974"/>
      <c r="H315" s="974">
        <v>7058729</v>
      </c>
      <c r="I315" s="974"/>
      <c r="J315" s="975"/>
      <c r="K315" s="974"/>
      <c r="L315" s="974">
        <f t="shared" si="19"/>
        <v>7058729</v>
      </c>
      <c r="M315" s="991" t="e">
        <f>IF(G315="",F315-L315-#REF!,G315-L315-#REF!)</f>
        <v>#REF!</v>
      </c>
      <c r="N315" s="1013">
        <f t="shared" si="18"/>
        <v>0</v>
      </c>
      <c r="O315" s="976"/>
      <c r="P315" s="977"/>
      <c r="Q315" s="974"/>
      <c r="R315" s="1147"/>
      <c r="S315" s="974"/>
      <c r="T315" s="976"/>
      <c r="U315" s="693" t="s">
        <v>943</v>
      </c>
    </row>
    <row r="316" spans="2:21" x14ac:dyDescent="0.25">
      <c r="B316" s="1187" t="s">
        <v>1045</v>
      </c>
      <c r="C316" s="1187"/>
      <c r="D316" s="976" t="s">
        <v>913</v>
      </c>
      <c r="E316" s="976" t="s">
        <v>727</v>
      </c>
      <c r="F316" s="1108">
        <v>11000000</v>
      </c>
      <c r="G316" s="974"/>
      <c r="H316" s="974">
        <v>3000000</v>
      </c>
      <c r="I316" s="974">
        <v>2000000</v>
      </c>
      <c r="J316" s="975">
        <v>6000000</v>
      </c>
      <c r="K316" s="974"/>
      <c r="L316" s="974">
        <f t="shared" si="19"/>
        <v>11000000</v>
      </c>
      <c r="M316" s="991" t="e">
        <f>IF(G316="",F316-L316-#REF!,G316-L316-#REF!)</f>
        <v>#REF!</v>
      </c>
      <c r="N316" s="1013">
        <f t="shared" si="18"/>
        <v>0</v>
      </c>
      <c r="O316" s="976"/>
      <c r="P316" s="977"/>
      <c r="Q316" s="974"/>
      <c r="R316" s="1147"/>
      <c r="S316" s="974"/>
      <c r="T316" s="976"/>
      <c r="U316" s="693"/>
    </row>
    <row r="317" spans="2:21" x14ac:dyDescent="0.25">
      <c r="B317" s="1187" t="s">
        <v>1045</v>
      </c>
      <c r="C317" s="1187"/>
      <c r="D317" s="976" t="s">
        <v>257</v>
      </c>
      <c r="E317" s="976" t="s">
        <v>286</v>
      </c>
      <c r="F317" s="1108">
        <v>16883354</v>
      </c>
      <c r="G317" s="974"/>
      <c r="H317" s="974">
        <v>16883354</v>
      </c>
      <c r="I317" s="974"/>
      <c r="J317" s="975"/>
      <c r="K317" s="974"/>
      <c r="L317" s="974">
        <f t="shared" si="19"/>
        <v>16883354</v>
      </c>
      <c r="M317" s="991" t="e">
        <f>IF(G317="",F317-L317-#REF!,G317-L317-#REF!)</f>
        <v>#REF!</v>
      </c>
      <c r="N317" s="1013">
        <f t="shared" si="18"/>
        <v>0</v>
      </c>
      <c r="O317" s="976"/>
      <c r="P317" s="977"/>
      <c r="Q317" s="974"/>
      <c r="R317" s="1147"/>
      <c r="S317" s="974"/>
      <c r="T317" s="976"/>
      <c r="U317" s="693"/>
    </row>
    <row r="318" spans="2:21" x14ac:dyDescent="0.25">
      <c r="B318" s="1187" t="s">
        <v>1045</v>
      </c>
      <c r="C318" s="1187"/>
      <c r="D318" s="976" t="s">
        <v>257</v>
      </c>
      <c r="E318" s="976" t="s">
        <v>727</v>
      </c>
      <c r="F318" s="1108">
        <v>11000000</v>
      </c>
      <c r="G318" s="974">
        <v>11990000</v>
      </c>
      <c r="H318" s="974">
        <v>4000000</v>
      </c>
      <c r="I318" s="974">
        <v>4000000</v>
      </c>
      <c r="J318" s="975">
        <v>3000000</v>
      </c>
      <c r="K318" s="974">
        <v>990000</v>
      </c>
      <c r="L318" s="974">
        <f t="shared" si="19"/>
        <v>11990000</v>
      </c>
      <c r="M318" s="991" t="e">
        <f>IF(G318="",F318-L318-#REF!,G318-L318-#REF!)</f>
        <v>#REF!</v>
      </c>
      <c r="N318" s="1013">
        <f t="shared" si="18"/>
        <v>0</v>
      </c>
      <c r="O318" s="976"/>
      <c r="P318" s="977"/>
      <c r="Q318" s="974"/>
      <c r="R318" s="1147"/>
      <c r="S318" s="974"/>
      <c r="T318" s="976"/>
      <c r="U318" s="693"/>
    </row>
    <row r="319" spans="2:21" x14ac:dyDescent="0.25">
      <c r="B319" s="1187" t="s">
        <v>1045</v>
      </c>
      <c r="C319" s="1187"/>
      <c r="D319" s="976" t="s">
        <v>346</v>
      </c>
      <c r="E319" s="976" t="s">
        <v>915</v>
      </c>
      <c r="F319" s="1108">
        <v>65401661.600000001</v>
      </c>
      <c r="G319" s="974"/>
      <c r="H319" s="974">
        <v>32700830.800000001</v>
      </c>
      <c r="I319" s="974">
        <v>32700830.800000001</v>
      </c>
      <c r="J319" s="975"/>
      <c r="K319" s="974"/>
      <c r="L319" s="974">
        <f t="shared" si="19"/>
        <v>65401661.600000001</v>
      </c>
      <c r="M319" s="991" t="e">
        <f>IF(G319="",F319-L319-#REF!,G319-L319-#REF!)</f>
        <v>#REF!</v>
      </c>
      <c r="N319" s="1013">
        <f t="shared" si="18"/>
        <v>0</v>
      </c>
      <c r="O319" s="976"/>
      <c r="P319" s="977"/>
      <c r="Q319" s="974"/>
      <c r="R319" s="1147"/>
      <c r="S319" s="974"/>
      <c r="T319" s="976"/>
      <c r="U319" s="693"/>
    </row>
    <row r="320" spans="2:21" x14ac:dyDescent="0.25">
      <c r="B320" s="1187" t="s">
        <v>1045</v>
      </c>
      <c r="C320" s="1187"/>
      <c r="D320" s="976" t="s">
        <v>170</v>
      </c>
      <c r="E320" s="976" t="s">
        <v>171</v>
      </c>
      <c r="F320" s="973"/>
      <c r="G320" s="974">
        <v>25548400</v>
      </c>
      <c r="H320" s="974">
        <v>25548400</v>
      </c>
      <c r="I320" s="974"/>
      <c r="J320" s="975"/>
      <c r="K320" s="974"/>
      <c r="L320" s="974">
        <f t="shared" si="19"/>
        <v>25548400</v>
      </c>
      <c r="M320" s="991" t="e">
        <f>IF(G320="",F320-L320-#REF!,G320-L320-#REF!)</f>
        <v>#REF!</v>
      </c>
      <c r="N320" s="1013">
        <f t="shared" si="18"/>
        <v>0</v>
      </c>
      <c r="O320" s="976"/>
      <c r="P320" s="977"/>
      <c r="Q320" s="974"/>
      <c r="R320" s="1147"/>
      <c r="S320" s="974"/>
      <c r="T320" s="976"/>
      <c r="U320" s="693" t="s">
        <v>171</v>
      </c>
    </row>
    <row r="321" spans="1:25" x14ac:dyDescent="0.25">
      <c r="B321" s="1187" t="s">
        <v>1045</v>
      </c>
      <c r="C321" s="1187"/>
      <c r="D321" s="976" t="s">
        <v>916</v>
      </c>
      <c r="E321" s="976" t="s">
        <v>727</v>
      </c>
      <c r="F321" s="1108">
        <f>L321</f>
        <v>2350000</v>
      </c>
      <c r="G321" s="974"/>
      <c r="H321" s="974">
        <v>2350000</v>
      </c>
      <c r="I321" s="974"/>
      <c r="J321" s="975"/>
      <c r="K321" s="974"/>
      <c r="L321" s="974">
        <f t="shared" si="19"/>
        <v>2350000</v>
      </c>
      <c r="M321" s="991" t="e">
        <f>IF(G321="",F321-L321-#REF!,G321-L321-#REF!)</f>
        <v>#REF!</v>
      </c>
      <c r="N321" s="1013">
        <f t="shared" si="18"/>
        <v>0</v>
      </c>
      <c r="O321" s="976"/>
      <c r="P321" s="977"/>
      <c r="Q321" s="974"/>
      <c r="R321" s="1147"/>
      <c r="S321" s="974"/>
      <c r="T321" s="976"/>
      <c r="U321" s="693"/>
    </row>
    <row r="322" spans="1:25" x14ac:dyDescent="0.25">
      <c r="B322" s="1187" t="s">
        <v>1045</v>
      </c>
      <c r="C322" s="1187"/>
      <c r="D322" s="976" t="s">
        <v>442</v>
      </c>
      <c r="E322" s="976" t="s">
        <v>443</v>
      </c>
      <c r="F322" s="973">
        <v>3200000</v>
      </c>
      <c r="G322" s="974"/>
      <c r="H322" s="974">
        <v>1600000</v>
      </c>
      <c r="I322" s="974"/>
      <c r="J322" s="975"/>
      <c r="K322" s="974"/>
      <c r="L322" s="974">
        <f t="shared" si="19"/>
        <v>1600000</v>
      </c>
      <c r="M322" s="991" t="e">
        <f>IF(G322="",F322-L322-#REF!,G322-L322-#REF!)</f>
        <v>#REF!</v>
      </c>
      <c r="N322" s="1013">
        <f t="shared" si="18"/>
        <v>1600000</v>
      </c>
      <c r="O322" s="976"/>
      <c r="P322" s="977"/>
      <c r="Q322" s="974"/>
      <c r="R322" s="1147"/>
      <c r="S322" s="974"/>
      <c r="T322" s="976"/>
      <c r="U322" s="693" t="s">
        <v>943</v>
      </c>
    </row>
    <row r="323" spans="1:25" x14ac:dyDescent="0.25">
      <c r="B323" s="1187" t="s">
        <v>1045</v>
      </c>
      <c r="C323" s="1187"/>
      <c r="D323" s="976" t="s">
        <v>394</v>
      </c>
      <c r="E323" s="976" t="s">
        <v>909</v>
      </c>
      <c r="F323" s="1108">
        <v>400000</v>
      </c>
      <c r="G323" s="974"/>
      <c r="H323" s="974">
        <v>400000</v>
      </c>
      <c r="I323" s="974"/>
      <c r="J323" s="975"/>
      <c r="K323" s="974"/>
      <c r="L323" s="974">
        <f t="shared" si="19"/>
        <v>400000</v>
      </c>
      <c r="M323" s="991" t="e">
        <f>IF(G323="",F323-L323-#REF!,G323-L323-#REF!)</f>
        <v>#REF!</v>
      </c>
      <c r="N323" s="1013">
        <f t="shared" si="18"/>
        <v>0</v>
      </c>
      <c r="O323" s="976"/>
      <c r="P323" s="977"/>
      <c r="Q323" s="974"/>
      <c r="R323" s="1147"/>
      <c r="S323" s="974"/>
      <c r="T323" s="976"/>
      <c r="U323" s="693"/>
    </row>
    <row r="324" spans="1:25" x14ac:dyDescent="0.25">
      <c r="B324" s="1187" t="s">
        <v>1045</v>
      </c>
      <c r="C324" s="1187"/>
      <c r="D324" s="976" t="s">
        <v>917</v>
      </c>
      <c r="E324" s="976" t="s">
        <v>229</v>
      </c>
      <c r="F324" s="973">
        <v>9130000</v>
      </c>
      <c r="G324" s="974"/>
      <c r="H324" s="974">
        <v>9130000</v>
      </c>
      <c r="I324" s="974"/>
      <c r="J324" s="975"/>
      <c r="K324" s="974"/>
      <c r="L324" s="974">
        <f t="shared" si="19"/>
        <v>9130000</v>
      </c>
      <c r="M324" s="991" t="e">
        <f>IF(G324="",F324-L324-#REF!,G324-L324-#REF!)</f>
        <v>#REF!</v>
      </c>
      <c r="N324" s="1013">
        <f t="shared" si="18"/>
        <v>0</v>
      </c>
      <c r="O324" s="976"/>
      <c r="P324" s="977"/>
      <c r="Q324" s="974"/>
      <c r="R324" s="1147"/>
      <c r="S324" s="974"/>
      <c r="T324" s="976"/>
      <c r="U324" s="693" t="s">
        <v>943</v>
      </c>
    </row>
    <row r="325" spans="1:25" x14ac:dyDescent="0.25">
      <c r="B325" s="1187" t="s">
        <v>1045</v>
      </c>
      <c r="C325" s="1187"/>
      <c r="D325" s="976" t="s">
        <v>1046</v>
      </c>
      <c r="E325" s="976" t="s">
        <v>1039</v>
      </c>
      <c r="F325" s="973"/>
      <c r="G325" s="974">
        <v>33916000</v>
      </c>
      <c r="H325" s="974">
        <v>33916000</v>
      </c>
      <c r="I325" s="974"/>
      <c r="J325" s="975"/>
      <c r="K325" s="974"/>
      <c r="L325" s="974">
        <f t="shared" si="19"/>
        <v>33916000</v>
      </c>
      <c r="M325" s="991" t="e">
        <f>IF(G325="",F325-L325-#REF!,G325-L325-#REF!)</f>
        <v>#REF!</v>
      </c>
      <c r="N325" s="1013">
        <f t="shared" si="18"/>
        <v>0</v>
      </c>
      <c r="O325" s="976"/>
      <c r="P325" s="977"/>
      <c r="Q325" s="974"/>
      <c r="R325" s="1147"/>
      <c r="S325" s="974"/>
      <c r="T325" s="976"/>
      <c r="U325" s="693"/>
    </row>
    <row r="326" spans="1:25" x14ac:dyDescent="0.25">
      <c r="B326" s="1187" t="s">
        <v>1045</v>
      </c>
      <c r="C326" s="1187"/>
      <c r="D326" s="976" t="s">
        <v>107</v>
      </c>
      <c r="E326" s="976" t="s">
        <v>995</v>
      </c>
      <c r="F326" s="973">
        <v>530000</v>
      </c>
      <c r="G326" s="974"/>
      <c r="H326" s="974">
        <v>530000</v>
      </c>
      <c r="I326" s="974"/>
      <c r="J326" s="975"/>
      <c r="K326" s="974"/>
      <c r="L326" s="974">
        <f t="shared" si="19"/>
        <v>530000</v>
      </c>
      <c r="M326" s="991" t="e">
        <f>IF(G326="",F326-L326-#REF!,G326-L326-#REF!)</f>
        <v>#REF!</v>
      </c>
      <c r="N326" s="1013">
        <f t="shared" si="18"/>
        <v>0</v>
      </c>
      <c r="O326" s="976"/>
      <c r="P326" s="977"/>
      <c r="Q326" s="974"/>
      <c r="R326" s="1147"/>
      <c r="S326" s="974"/>
      <c r="T326" s="976"/>
      <c r="U326" s="693"/>
    </row>
    <row r="327" spans="1:25" x14ac:dyDescent="0.25">
      <c r="B327" s="1187" t="s">
        <v>1045</v>
      </c>
      <c r="C327" s="1187"/>
      <c r="D327" s="976" t="s">
        <v>170</v>
      </c>
      <c r="E327" s="976" t="s">
        <v>171</v>
      </c>
      <c r="F327" s="973"/>
      <c r="G327" s="974">
        <v>333000</v>
      </c>
      <c r="H327" s="974">
        <v>333000</v>
      </c>
      <c r="I327" s="974"/>
      <c r="J327" s="975"/>
      <c r="K327" s="974"/>
      <c r="L327" s="974">
        <f t="shared" si="19"/>
        <v>333000</v>
      </c>
      <c r="M327" s="991"/>
      <c r="N327" s="1013">
        <f t="shared" si="18"/>
        <v>0</v>
      </c>
      <c r="O327" s="976"/>
      <c r="P327" s="977"/>
      <c r="Q327" s="974"/>
      <c r="R327" s="1147"/>
      <c r="S327" s="974"/>
      <c r="T327" s="976"/>
      <c r="U327" s="693"/>
    </row>
    <row r="328" spans="1:25" x14ac:dyDescent="0.25">
      <c r="B328" s="1187" t="s">
        <v>1045</v>
      </c>
      <c r="C328" s="1187"/>
      <c r="D328" s="976" t="s">
        <v>1236</v>
      </c>
      <c r="E328" s="976" t="s">
        <v>1237</v>
      </c>
      <c r="F328" s="973">
        <v>152100</v>
      </c>
      <c r="G328" s="974"/>
      <c r="H328" s="974">
        <v>152100</v>
      </c>
      <c r="I328" s="974"/>
      <c r="J328" s="975"/>
      <c r="K328" s="974"/>
      <c r="L328" s="974">
        <f t="shared" si="19"/>
        <v>152100</v>
      </c>
      <c r="M328" s="991"/>
      <c r="N328" s="1013">
        <f t="shared" si="18"/>
        <v>0</v>
      </c>
      <c r="O328" s="976"/>
      <c r="P328" s="977"/>
      <c r="Q328" s="974"/>
      <c r="R328" s="1147"/>
      <c r="S328" s="974"/>
      <c r="T328" s="976"/>
      <c r="U328" s="693"/>
    </row>
    <row r="329" spans="1:25" x14ac:dyDescent="0.25">
      <c r="B329" s="1187" t="s">
        <v>1045</v>
      </c>
      <c r="C329" s="1187"/>
      <c r="D329" s="976" t="s">
        <v>947</v>
      </c>
      <c r="E329" s="976"/>
      <c r="F329" s="973">
        <v>16310000</v>
      </c>
      <c r="G329" s="974"/>
      <c r="H329" s="974">
        <f>W329</f>
        <v>16310000</v>
      </c>
      <c r="I329" s="974"/>
      <c r="J329" s="975"/>
      <c r="K329" s="974"/>
      <c r="L329" s="974">
        <f t="shared" si="19"/>
        <v>16310000</v>
      </c>
      <c r="M329" s="991" t="e">
        <f>IF(G329="",F329-L329-#REF!,G329-L329-#REF!)</f>
        <v>#REF!</v>
      </c>
      <c r="N329" s="1013">
        <f t="shared" si="18"/>
        <v>0</v>
      </c>
      <c r="O329" s="976"/>
      <c r="P329" s="977"/>
      <c r="Q329" s="974"/>
      <c r="R329" s="1147"/>
      <c r="S329" s="974"/>
      <c r="T329" s="976"/>
      <c r="U329" s="693"/>
      <c r="V329" s="687" t="s">
        <v>948</v>
      </c>
      <c r="W329" s="687">
        <f>SUM(W296:W324)</f>
        <v>16310000</v>
      </c>
    </row>
    <row r="330" spans="1:25" s="723" customFormat="1" ht="15.75" x14ac:dyDescent="0.25">
      <c r="B330" s="720" t="s">
        <v>949</v>
      </c>
      <c r="C330" s="720"/>
      <c r="D330" s="699" t="s">
        <v>1047</v>
      </c>
      <c r="E330" s="700"/>
      <c r="F330" s="724"/>
      <c r="G330" s="702"/>
      <c r="H330" s="701"/>
      <c r="I330" s="702"/>
      <c r="J330" s="726"/>
      <c r="K330" s="702"/>
      <c r="L330" s="707">
        <f>SUM(L295:L329)</f>
        <v>909200581.60000002</v>
      </c>
      <c r="M330" s="707" t="e">
        <f>SUM(M295:M329)</f>
        <v>#REF!</v>
      </c>
      <c r="N330" s="869">
        <f>SUM(N295:N329)</f>
        <v>8918435</v>
      </c>
      <c r="O330" s="700"/>
      <c r="P330" s="704"/>
      <c r="Q330" s="742"/>
      <c r="R330" s="1148"/>
      <c r="S330" s="742"/>
      <c r="T330" s="705"/>
      <c r="U330" s="706"/>
      <c r="V330" s="722"/>
      <c r="W330" s="722"/>
      <c r="X330" s="722"/>
      <c r="Y330" s="722"/>
    </row>
    <row r="331" spans="1:25" x14ac:dyDescent="0.25">
      <c r="A331" s="686">
        <v>14</v>
      </c>
      <c r="B331" s="1187" t="s">
        <v>1048</v>
      </c>
      <c r="C331" s="1187"/>
      <c r="D331" s="976" t="s">
        <v>920</v>
      </c>
      <c r="E331" s="976" t="s">
        <v>372</v>
      </c>
      <c r="F331" s="973">
        <v>23304000</v>
      </c>
      <c r="G331" s="974">
        <v>38730000</v>
      </c>
      <c r="H331" s="974">
        <v>6991200</v>
      </c>
      <c r="I331" s="974">
        <v>15000000</v>
      </c>
      <c r="J331" s="975">
        <v>16738800</v>
      </c>
      <c r="K331" s="974"/>
      <c r="L331" s="974">
        <f t="shared" ref="L331:L336" si="20">SUM(H331:K331)</f>
        <v>38730000</v>
      </c>
      <c r="M331" s="991" t="e">
        <f>IF(G331="",F331-L331-#REF!,G331-L331-#REF!)</f>
        <v>#REF!</v>
      </c>
      <c r="N331" s="1013">
        <f t="shared" si="18"/>
        <v>0</v>
      </c>
      <c r="O331" s="976"/>
      <c r="P331" s="977"/>
      <c r="Q331" s="974"/>
      <c r="R331" s="1147"/>
      <c r="S331" s="974"/>
      <c r="T331" s="976"/>
      <c r="U331" s="690" t="s">
        <v>372</v>
      </c>
      <c r="V331" s="687" t="s">
        <v>1049</v>
      </c>
    </row>
    <row r="332" spans="1:25" x14ac:dyDescent="0.25">
      <c r="B332" s="1187" t="s">
        <v>1048</v>
      </c>
      <c r="C332" s="1187"/>
      <c r="D332" s="976" t="s">
        <v>175</v>
      </c>
      <c r="E332" s="976" t="s">
        <v>416</v>
      </c>
      <c r="F332" s="973">
        <v>1100000</v>
      </c>
      <c r="G332" s="974">
        <v>1100000</v>
      </c>
      <c r="H332" s="974">
        <v>1100000</v>
      </c>
      <c r="I332" s="974"/>
      <c r="J332" s="975"/>
      <c r="K332" s="974"/>
      <c r="L332" s="974">
        <f t="shared" si="20"/>
        <v>1100000</v>
      </c>
      <c r="M332" s="991" t="e">
        <f>IF(G332="",F332-L332-#REF!,G332-L332-#REF!)</f>
        <v>#REF!</v>
      </c>
      <c r="N332" s="1013">
        <f t="shared" si="18"/>
        <v>0</v>
      </c>
      <c r="O332" s="976"/>
      <c r="P332" s="977"/>
      <c r="Q332" s="974"/>
      <c r="R332" s="1147"/>
      <c r="S332" s="974"/>
      <c r="T332" s="976"/>
      <c r="U332" s="693" t="s">
        <v>943</v>
      </c>
    </row>
    <row r="333" spans="1:25" x14ac:dyDescent="0.25">
      <c r="B333" s="1187" t="s">
        <v>1048</v>
      </c>
      <c r="C333" s="1187"/>
      <c r="D333" s="976" t="s">
        <v>346</v>
      </c>
      <c r="E333" s="976" t="s">
        <v>915</v>
      </c>
      <c r="F333" s="973">
        <f>5246880+6000000</f>
        <v>11246880</v>
      </c>
      <c r="G333" s="974"/>
      <c r="H333" s="974">
        <v>2623440</v>
      </c>
      <c r="I333" s="974">
        <v>2623440</v>
      </c>
      <c r="J333" s="975">
        <v>6000000</v>
      </c>
      <c r="K333" s="974"/>
      <c r="L333" s="974">
        <f t="shared" si="20"/>
        <v>11246880</v>
      </c>
      <c r="M333" s="991" t="e">
        <f>IF(G333="",F333-L333-#REF!,G333-L333-#REF!)</f>
        <v>#REF!</v>
      </c>
      <c r="N333" s="1013">
        <f t="shared" si="18"/>
        <v>0</v>
      </c>
      <c r="O333" s="976"/>
      <c r="P333" s="977"/>
      <c r="Q333" s="974"/>
      <c r="R333" s="1147"/>
      <c r="S333" s="974"/>
      <c r="T333" s="976"/>
      <c r="U333" s="693"/>
    </row>
    <row r="334" spans="1:25" x14ac:dyDescent="0.25">
      <c r="B334" s="1187" t="s">
        <v>1048</v>
      </c>
      <c r="C334" s="1187"/>
      <c r="D334" s="976" t="s">
        <v>99</v>
      </c>
      <c r="E334" s="976" t="s">
        <v>100</v>
      </c>
      <c r="F334" s="973"/>
      <c r="G334" s="974">
        <v>32167000</v>
      </c>
      <c r="H334" s="974">
        <v>32167000</v>
      </c>
      <c r="I334" s="974"/>
      <c r="J334" s="975"/>
      <c r="K334" s="974"/>
      <c r="L334" s="974">
        <f t="shared" si="20"/>
        <v>32167000</v>
      </c>
      <c r="M334" s="991" t="e">
        <f>IF(G334="",F334-L334-#REF!,G334-L334-#REF!)</f>
        <v>#REF!</v>
      </c>
      <c r="N334" s="1013">
        <f t="shared" si="18"/>
        <v>0</v>
      </c>
      <c r="O334" s="976"/>
      <c r="P334" s="977"/>
      <c r="Q334" s="974"/>
      <c r="R334" s="1147"/>
      <c r="S334" s="974"/>
      <c r="T334" s="976"/>
      <c r="U334" s="693" t="s">
        <v>943</v>
      </c>
    </row>
    <row r="335" spans="1:25" x14ac:dyDescent="0.25">
      <c r="B335" s="1187" t="s">
        <v>1048</v>
      </c>
      <c r="C335" s="1187"/>
      <c r="D335" s="976" t="s">
        <v>1238</v>
      </c>
      <c r="E335" s="976" t="s">
        <v>448</v>
      </c>
      <c r="F335" s="1108"/>
      <c r="G335" s="974">
        <f>32154000+15844000</f>
        <v>47998000</v>
      </c>
      <c r="H335" s="974">
        <v>16075325</v>
      </c>
      <c r="I335" s="974">
        <v>9645195</v>
      </c>
      <c r="J335" s="975">
        <v>6433480</v>
      </c>
      <c r="K335" s="974">
        <v>15844000</v>
      </c>
      <c r="L335" s="974">
        <f t="shared" si="20"/>
        <v>47998000</v>
      </c>
      <c r="M335" s="991" t="e">
        <f>IF(G335="",F335-L335-#REF!,G335-L335-#REF!)</f>
        <v>#REF!</v>
      </c>
      <c r="N335" s="1013">
        <f t="shared" si="18"/>
        <v>0</v>
      </c>
      <c r="O335" s="976"/>
      <c r="P335" s="977"/>
      <c r="Q335" s="974"/>
      <c r="R335" s="1147"/>
      <c r="S335" s="974"/>
      <c r="T335" s="976"/>
      <c r="U335" s="693"/>
    </row>
    <row r="336" spans="1:25" x14ac:dyDescent="0.25">
      <c r="B336" s="1187" t="s">
        <v>1048</v>
      </c>
      <c r="C336" s="1187"/>
      <c r="D336" s="976" t="s">
        <v>947</v>
      </c>
      <c r="E336" s="976"/>
      <c r="F336" s="973"/>
      <c r="G336" s="974"/>
      <c r="H336" s="974">
        <f>W336</f>
        <v>0</v>
      </c>
      <c r="I336" s="974"/>
      <c r="J336" s="975"/>
      <c r="K336" s="974"/>
      <c r="L336" s="974">
        <f t="shared" si="20"/>
        <v>0</v>
      </c>
      <c r="M336" s="991" t="e">
        <f>IF(G336="",F336-L336-#REF!,G336-L336-#REF!)</f>
        <v>#REF!</v>
      </c>
      <c r="N336" s="1013">
        <f t="shared" si="18"/>
        <v>0</v>
      </c>
      <c r="O336" s="976"/>
      <c r="P336" s="977"/>
      <c r="Q336" s="974"/>
      <c r="R336" s="1147"/>
      <c r="S336" s="974"/>
      <c r="T336" s="976"/>
      <c r="U336" s="693"/>
      <c r="V336" s="687" t="s">
        <v>948</v>
      </c>
      <c r="W336" s="687">
        <f>SUM(W332:W334)</f>
        <v>0</v>
      </c>
    </row>
    <row r="337" spans="1:25" s="723" customFormat="1" ht="15.75" x14ac:dyDescent="0.25">
      <c r="B337" s="720" t="s">
        <v>949</v>
      </c>
      <c r="C337" s="720"/>
      <c r="D337" s="699" t="s">
        <v>919</v>
      </c>
      <c r="E337" s="700"/>
      <c r="F337" s="724"/>
      <c r="G337" s="702"/>
      <c r="H337" s="701"/>
      <c r="I337" s="702"/>
      <c r="J337" s="726"/>
      <c r="K337" s="702"/>
      <c r="L337" s="707">
        <f>SUM(L331:L336)</f>
        <v>131241880</v>
      </c>
      <c r="M337" s="707" t="e">
        <f>SUM(M331:M336)</f>
        <v>#REF!</v>
      </c>
      <c r="N337" s="869">
        <f>SUM(N331:N336)</f>
        <v>0</v>
      </c>
      <c r="O337" s="700"/>
      <c r="P337" s="704"/>
      <c r="Q337" s="742"/>
      <c r="R337" s="1148"/>
      <c r="S337" s="742"/>
      <c r="T337" s="705"/>
      <c r="U337" s="706"/>
      <c r="V337" s="722"/>
      <c r="W337" s="722"/>
      <c r="X337" s="722"/>
      <c r="Y337" s="722"/>
    </row>
    <row r="338" spans="1:25" x14ac:dyDescent="0.25">
      <c r="A338" s="686">
        <v>15</v>
      </c>
      <c r="B338" s="1187" t="s">
        <v>1050</v>
      </c>
      <c r="C338" s="1187">
        <v>1020</v>
      </c>
      <c r="D338" s="976" t="s">
        <v>75</v>
      </c>
      <c r="E338" s="976" t="s">
        <v>397</v>
      </c>
      <c r="F338" s="973">
        <v>338200000</v>
      </c>
      <c r="G338" s="974"/>
      <c r="H338" s="974">
        <v>101460000</v>
      </c>
      <c r="I338" s="974">
        <v>62033100</v>
      </c>
      <c r="J338" s="975"/>
      <c r="K338" s="974"/>
      <c r="L338" s="974">
        <f>SUM(H338:K338)</f>
        <v>163493100</v>
      </c>
      <c r="M338" s="991" t="e">
        <f>IF(G338="",F338-L338-#REF!,G338-L338-#REF!)</f>
        <v>#REF!</v>
      </c>
      <c r="N338" s="1013">
        <f t="shared" si="18"/>
        <v>174706900</v>
      </c>
      <c r="O338" s="976" t="s">
        <v>923</v>
      </c>
      <c r="P338" s="977">
        <v>43816</v>
      </c>
      <c r="Q338" s="974"/>
      <c r="R338" s="1147"/>
      <c r="S338" s="974"/>
      <c r="T338" s="976"/>
      <c r="U338" s="690"/>
      <c r="V338" s="687" t="s">
        <v>1051</v>
      </c>
    </row>
    <row r="339" spans="1:25" x14ac:dyDescent="0.25">
      <c r="B339" s="1187" t="s">
        <v>1050</v>
      </c>
      <c r="C339" s="1187">
        <v>1020</v>
      </c>
      <c r="D339" s="976" t="s">
        <v>920</v>
      </c>
      <c r="E339" s="976" t="s">
        <v>372</v>
      </c>
      <c r="F339" s="1108">
        <v>36800000</v>
      </c>
      <c r="G339" s="974">
        <v>39800000</v>
      </c>
      <c r="H339" s="974">
        <v>11040000</v>
      </c>
      <c r="I339" s="974">
        <v>14720000</v>
      </c>
      <c r="J339" s="975">
        <v>14040000</v>
      </c>
      <c r="K339" s="974"/>
      <c r="L339" s="974">
        <f t="shared" ref="L339:L375" si="21">SUM(H339:K339)</f>
        <v>39800000</v>
      </c>
      <c r="M339" s="991" t="e">
        <f>IF(G339="",F339-L339-#REF!,G339-L339-#REF!)</f>
        <v>#REF!</v>
      </c>
      <c r="N339" s="1013">
        <f t="shared" si="18"/>
        <v>0</v>
      </c>
      <c r="O339" s="976"/>
      <c r="P339" s="977"/>
      <c r="Q339" s="974"/>
      <c r="R339" s="1147"/>
      <c r="S339" s="974"/>
      <c r="T339" s="976"/>
      <c r="U339" s="693"/>
      <c r="V339" s="687" t="s">
        <v>1001</v>
      </c>
      <c r="W339" s="687">
        <v>1800000</v>
      </c>
    </row>
    <row r="340" spans="1:25" x14ac:dyDescent="0.25">
      <c r="B340" s="1187" t="s">
        <v>1050</v>
      </c>
      <c r="C340" s="1187">
        <v>1020</v>
      </c>
      <c r="D340" s="976" t="s">
        <v>99</v>
      </c>
      <c r="E340" s="976" t="s">
        <v>100</v>
      </c>
      <c r="F340" s="973">
        <v>227447000.00000003</v>
      </c>
      <c r="G340" s="974">
        <v>236456100</v>
      </c>
      <c r="H340" s="974">
        <v>62033100</v>
      </c>
      <c r="I340" s="974">
        <v>90981880</v>
      </c>
      <c r="J340" s="975">
        <v>70668320</v>
      </c>
      <c r="K340" s="974"/>
      <c r="L340" s="974">
        <f t="shared" si="21"/>
        <v>223683300</v>
      </c>
      <c r="M340" s="991" t="e">
        <f>IF(G340="",F340-L340-#REF!,G340-L340-#REF!)</f>
        <v>#REF!</v>
      </c>
      <c r="N340" s="1013">
        <f t="shared" si="18"/>
        <v>12772800</v>
      </c>
      <c r="O340" s="976"/>
      <c r="P340" s="977"/>
      <c r="Q340" s="974"/>
      <c r="R340" s="1147"/>
      <c r="S340" s="974"/>
      <c r="T340" s="976"/>
      <c r="U340" s="693" t="s">
        <v>943</v>
      </c>
      <c r="V340" s="687" t="s">
        <v>1018</v>
      </c>
      <c r="W340" s="687">
        <v>6210000</v>
      </c>
      <c r="X340" s="687" t="s">
        <v>1052</v>
      </c>
    </row>
    <row r="341" spans="1:25" x14ac:dyDescent="0.25">
      <c r="B341" s="1187" t="s">
        <v>1050</v>
      </c>
      <c r="C341" s="1187">
        <v>1020</v>
      </c>
      <c r="D341" s="976" t="s">
        <v>340</v>
      </c>
      <c r="E341" s="976" t="s">
        <v>906</v>
      </c>
      <c r="F341" s="973">
        <v>500000</v>
      </c>
      <c r="G341" s="974"/>
      <c r="H341" s="974">
        <v>500000</v>
      </c>
      <c r="I341" s="974"/>
      <c r="J341" s="975"/>
      <c r="K341" s="974"/>
      <c r="L341" s="974">
        <f t="shared" si="21"/>
        <v>500000</v>
      </c>
      <c r="M341" s="991" t="e">
        <f>IF(G341="",F341-L341-#REF!,G341-L341-#REF!)</f>
        <v>#REF!</v>
      </c>
      <c r="N341" s="1013">
        <f t="shared" si="18"/>
        <v>0</v>
      </c>
      <c r="O341" s="976"/>
      <c r="P341" s="977"/>
      <c r="Q341" s="974"/>
      <c r="R341" s="1147"/>
      <c r="S341" s="974"/>
      <c r="T341" s="976"/>
      <c r="U341" s="693" t="s">
        <v>943</v>
      </c>
      <c r="V341" s="687" t="s">
        <v>1016</v>
      </c>
      <c r="W341" s="687">
        <v>120000</v>
      </c>
    </row>
    <row r="342" spans="1:25" x14ac:dyDescent="0.25">
      <c r="B342" s="1187" t="s">
        <v>1050</v>
      </c>
      <c r="C342" s="1187">
        <v>1020</v>
      </c>
      <c r="D342" s="976" t="s">
        <v>926</v>
      </c>
      <c r="E342" s="976" t="s">
        <v>104</v>
      </c>
      <c r="F342" s="973">
        <v>2000000</v>
      </c>
      <c r="G342" s="974"/>
      <c r="H342" s="974">
        <v>2000000</v>
      </c>
      <c r="I342" s="974"/>
      <c r="J342" s="975"/>
      <c r="K342" s="974"/>
      <c r="L342" s="974">
        <f t="shared" si="21"/>
        <v>2000000</v>
      </c>
      <c r="M342" s="991" t="e">
        <f>IF(G342="",F342-L342-#REF!,G342-L342-#REF!)</f>
        <v>#REF!</v>
      </c>
      <c r="N342" s="1013">
        <f t="shared" si="18"/>
        <v>0</v>
      </c>
      <c r="O342" s="976"/>
      <c r="P342" s="977"/>
      <c r="Q342" s="974"/>
      <c r="R342" s="1147"/>
      <c r="S342" s="974"/>
      <c r="T342" s="976"/>
      <c r="U342" s="693" t="s">
        <v>104</v>
      </c>
      <c r="V342" s="721" t="s">
        <v>1211</v>
      </c>
      <c r="W342" s="687">
        <v>1904000</v>
      </c>
    </row>
    <row r="343" spans="1:25" x14ac:dyDescent="0.25">
      <c r="B343" s="1187" t="s">
        <v>1050</v>
      </c>
      <c r="C343" s="1187">
        <v>1020</v>
      </c>
      <c r="D343" s="976" t="s">
        <v>1239</v>
      </c>
      <c r="E343" s="976" t="s">
        <v>104</v>
      </c>
      <c r="F343" s="973">
        <v>15072000</v>
      </c>
      <c r="G343" s="974">
        <v>21491000</v>
      </c>
      <c r="H343" s="974">
        <v>10550440</v>
      </c>
      <c r="I343" s="974">
        <v>10940560</v>
      </c>
      <c r="J343" s="975"/>
      <c r="K343" s="974"/>
      <c r="L343" s="974">
        <f t="shared" si="21"/>
        <v>21491000</v>
      </c>
      <c r="M343" s="991" t="e">
        <f>IF(G343="",F343-L343-#REF!,G343-L343-#REF!)</f>
        <v>#REF!</v>
      </c>
      <c r="N343" s="1013">
        <f t="shared" si="18"/>
        <v>0</v>
      </c>
      <c r="O343" s="976"/>
      <c r="P343" s="977"/>
      <c r="Q343" s="974"/>
      <c r="R343" s="1147"/>
      <c r="S343" s="974"/>
      <c r="T343" s="976"/>
      <c r="U343" s="693"/>
      <c r="V343" s="721"/>
    </row>
    <row r="344" spans="1:25" x14ac:dyDescent="0.25">
      <c r="B344" s="1187" t="s">
        <v>1050</v>
      </c>
      <c r="C344" s="1187">
        <v>1020</v>
      </c>
      <c r="D344" s="976" t="s">
        <v>246</v>
      </c>
      <c r="E344" s="976" t="s">
        <v>927</v>
      </c>
      <c r="F344" s="973">
        <v>3300000</v>
      </c>
      <c r="G344" s="974"/>
      <c r="H344" s="974">
        <v>3300000</v>
      </c>
      <c r="I344" s="974"/>
      <c r="J344" s="975"/>
      <c r="K344" s="974"/>
      <c r="L344" s="974">
        <f t="shared" si="21"/>
        <v>3300000</v>
      </c>
      <c r="M344" s="991" t="e">
        <f>IF(G344="",F344-L344-#REF!,G344-L344-#REF!)</f>
        <v>#REF!</v>
      </c>
      <c r="N344" s="1013">
        <f t="shared" si="18"/>
        <v>0</v>
      </c>
      <c r="O344" s="976"/>
      <c r="P344" s="977"/>
      <c r="Q344" s="974"/>
      <c r="R344" s="1147"/>
      <c r="S344" s="974"/>
      <c r="T344" s="976"/>
      <c r="U344" s="693" t="s">
        <v>943</v>
      </c>
      <c r="V344" s="687" t="s">
        <v>1240</v>
      </c>
      <c r="W344" s="687">
        <v>2096000</v>
      </c>
    </row>
    <row r="345" spans="1:25" x14ac:dyDescent="0.25">
      <c r="B345" s="1187" t="s">
        <v>1050</v>
      </c>
      <c r="C345" s="1187">
        <v>1020</v>
      </c>
      <c r="D345" s="976" t="s">
        <v>913</v>
      </c>
      <c r="E345" s="976" t="s">
        <v>879</v>
      </c>
      <c r="F345" s="1108">
        <f>L345</f>
        <v>2000000</v>
      </c>
      <c r="G345" s="974"/>
      <c r="H345" s="974">
        <v>2000000</v>
      </c>
      <c r="I345" s="974"/>
      <c r="J345" s="975"/>
      <c r="K345" s="974"/>
      <c r="L345" s="974">
        <f t="shared" si="21"/>
        <v>2000000</v>
      </c>
      <c r="M345" s="991" t="e">
        <f>IF(G345="",F345-L345-#REF!,G345-L345-#REF!)</f>
        <v>#REF!</v>
      </c>
      <c r="N345" s="1013">
        <f t="shared" si="18"/>
        <v>0</v>
      </c>
      <c r="O345" s="976"/>
      <c r="P345" s="977"/>
      <c r="Q345" s="974"/>
      <c r="R345" s="1147"/>
      <c r="S345" s="974"/>
      <c r="T345" s="976"/>
      <c r="U345" s="693"/>
      <c r="V345" s="687" t="s">
        <v>1241</v>
      </c>
      <c r="W345" s="687">
        <v>2170000</v>
      </c>
    </row>
    <row r="346" spans="1:25" x14ac:dyDescent="0.25">
      <c r="B346" s="1187" t="s">
        <v>1050</v>
      </c>
      <c r="C346" s="1187">
        <v>1020</v>
      </c>
      <c r="D346" s="976" t="s">
        <v>257</v>
      </c>
      <c r="E346" s="976" t="s">
        <v>879</v>
      </c>
      <c r="F346" s="1108">
        <f>L346</f>
        <v>3764000</v>
      </c>
      <c r="G346" s="974">
        <v>3764000</v>
      </c>
      <c r="H346" s="974">
        <v>3000000</v>
      </c>
      <c r="I346" s="974">
        <v>764000</v>
      </c>
      <c r="J346" s="975"/>
      <c r="K346" s="974"/>
      <c r="L346" s="974">
        <f t="shared" si="21"/>
        <v>3764000</v>
      </c>
      <c r="M346" s="991" t="e">
        <f>IF(G346="",F346-L346-#REF!,G346-L346-#REF!)</f>
        <v>#REF!</v>
      </c>
      <c r="N346" s="1013">
        <f t="shared" si="18"/>
        <v>0</v>
      </c>
      <c r="O346" s="976"/>
      <c r="P346" s="977"/>
      <c r="Q346" s="974"/>
      <c r="R346" s="1147"/>
      <c r="S346" s="974"/>
      <c r="T346" s="976"/>
      <c r="U346" s="693"/>
      <c r="V346" s="687" t="s">
        <v>1242</v>
      </c>
      <c r="W346" s="687">
        <v>2760000</v>
      </c>
    </row>
    <row r="347" spans="1:25" x14ac:dyDescent="0.25">
      <c r="B347" s="1187" t="s">
        <v>1050</v>
      </c>
      <c r="C347" s="1187">
        <v>1020</v>
      </c>
      <c r="D347" s="976" t="s">
        <v>175</v>
      </c>
      <c r="E347" s="976" t="s">
        <v>416</v>
      </c>
      <c r="F347" s="973">
        <v>1100000</v>
      </c>
      <c r="G347" s="974">
        <v>1100000</v>
      </c>
      <c r="H347" s="974">
        <v>1100000</v>
      </c>
      <c r="I347" s="974"/>
      <c r="J347" s="975"/>
      <c r="K347" s="974"/>
      <c r="L347" s="974">
        <f t="shared" si="21"/>
        <v>1100000</v>
      </c>
      <c r="M347" s="991" t="e">
        <f>IF(G347="",F347-L347-#REF!,G347-L347-#REF!)</f>
        <v>#REF!</v>
      </c>
      <c r="N347" s="1013">
        <f t="shared" si="18"/>
        <v>0</v>
      </c>
      <c r="O347" s="976"/>
      <c r="P347" s="977"/>
      <c r="Q347" s="974"/>
      <c r="R347" s="1147"/>
      <c r="S347" s="974"/>
      <c r="T347" s="976"/>
      <c r="U347" s="693" t="s">
        <v>943</v>
      </c>
      <c r="V347" s="687" t="s">
        <v>1243</v>
      </c>
      <c r="W347" s="687">
        <v>2642000</v>
      </c>
    </row>
    <row r="348" spans="1:25" x14ac:dyDescent="0.25">
      <c r="B348" s="1187" t="s">
        <v>1050</v>
      </c>
      <c r="C348" s="1187">
        <v>1020</v>
      </c>
      <c r="D348" s="976" t="s">
        <v>929</v>
      </c>
      <c r="E348" s="976" t="s">
        <v>930</v>
      </c>
      <c r="F348" s="1108">
        <f>L348</f>
        <v>843000</v>
      </c>
      <c r="G348" s="974"/>
      <c r="H348" s="974">
        <v>843000</v>
      </c>
      <c r="I348" s="974"/>
      <c r="J348" s="975"/>
      <c r="K348" s="974"/>
      <c r="L348" s="974">
        <f t="shared" si="21"/>
        <v>843000</v>
      </c>
      <c r="M348" s="991" t="e">
        <f>IF(G348="",F348-L348-#REF!,G348-L348-#REF!)</f>
        <v>#REF!</v>
      </c>
      <c r="N348" s="1013">
        <f t="shared" si="18"/>
        <v>0</v>
      </c>
      <c r="O348" s="976"/>
      <c r="P348" s="977"/>
      <c r="Q348" s="974"/>
      <c r="R348" s="1147"/>
      <c r="S348" s="974"/>
      <c r="T348" s="976"/>
      <c r="U348" s="693"/>
      <c r="V348" s="687" t="s">
        <v>1244</v>
      </c>
      <c r="W348" s="687">
        <v>2406000</v>
      </c>
    </row>
    <row r="349" spans="1:25" x14ac:dyDescent="0.25">
      <c r="B349" s="1187" t="s">
        <v>1050</v>
      </c>
      <c r="C349" s="1187">
        <v>1020</v>
      </c>
      <c r="D349" s="976" t="s">
        <v>246</v>
      </c>
      <c r="E349" s="976" t="s">
        <v>927</v>
      </c>
      <c r="F349" s="973">
        <v>3300000</v>
      </c>
      <c r="G349" s="974"/>
      <c r="H349" s="974">
        <v>3300000</v>
      </c>
      <c r="I349" s="974"/>
      <c r="J349" s="975"/>
      <c r="K349" s="974"/>
      <c r="L349" s="974">
        <f t="shared" si="21"/>
        <v>3300000</v>
      </c>
      <c r="M349" s="991" t="e">
        <f>IF(G349="",F349-L349-#REF!,G349-L349-#REF!)</f>
        <v>#REF!</v>
      </c>
      <c r="N349" s="1013">
        <f t="shared" si="18"/>
        <v>0</v>
      </c>
      <c r="O349" s="976"/>
      <c r="P349" s="977"/>
      <c r="Q349" s="974"/>
      <c r="R349" s="1147"/>
      <c r="S349" s="974"/>
      <c r="T349" s="976"/>
      <c r="U349" s="693" t="s">
        <v>943</v>
      </c>
      <c r="V349" s="687" t="s">
        <v>1245</v>
      </c>
      <c r="W349" s="687">
        <v>1419000</v>
      </c>
    </row>
    <row r="350" spans="1:25" x14ac:dyDescent="0.25">
      <c r="B350" s="1187" t="s">
        <v>1050</v>
      </c>
      <c r="C350" s="1187">
        <v>1020</v>
      </c>
      <c r="D350" s="976" t="s">
        <v>932</v>
      </c>
      <c r="E350" s="976" t="s">
        <v>341</v>
      </c>
      <c r="F350" s="973">
        <v>4160000</v>
      </c>
      <c r="G350" s="974">
        <v>4760000</v>
      </c>
      <c r="H350" s="974">
        <v>2160000</v>
      </c>
      <c r="I350" s="974">
        <v>2600000</v>
      </c>
      <c r="J350" s="975"/>
      <c r="K350" s="974"/>
      <c r="L350" s="974">
        <f t="shared" si="21"/>
        <v>4760000</v>
      </c>
      <c r="M350" s="991" t="e">
        <f>IF(G350="",F350-L350-#REF!,G350-L350-#REF!)</f>
        <v>#REF!</v>
      </c>
      <c r="N350" s="1013">
        <f t="shared" si="18"/>
        <v>0</v>
      </c>
      <c r="O350" s="976"/>
      <c r="P350" s="977"/>
      <c r="Q350" s="974"/>
      <c r="R350" s="1147"/>
      <c r="S350" s="974"/>
      <c r="T350" s="976"/>
      <c r="U350" s="693" t="s">
        <v>341</v>
      </c>
    </row>
    <row r="351" spans="1:25" x14ac:dyDescent="0.25">
      <c r="B351" s="1187" t="s">
        <v>1050</v>
      </c>
      <c r="C351" s="1187">
        <v>1020</v>
      </c>
      <c r="D351" s="976" t="s">
        <v>394</v>
      </c>
      <c r="E351" s="976" t="s">
        <v>909</v>
      </c>
      <c r="F351" s="973">
        <v>1200000</v>
      </c>
      <c r="G351" s="974"/>
      <c r="H351" s="974">
        <v>1200000</v>
      </c>
      <c r="I351" s="974"/>
      <c r="J351" s="975"/>
      <c r="K351" s="974"/>
      <c r="L351" s="974">
        <f t="shared" si="21"/>
        <v>1200000</v>
      </c>
      <c r="M351" s="991" t="e">
        <f>IF(G351="",F351-L351-#REF!,G351-L351-#REF!)</f>
        <v>#REF!</v>
      </c>
      <c r="N351" s="1013">
        <f t="shared" si="18"/>
        <v>0</v>
      </c>
      <c r="O351" s="976"/>
      <c r="P351" s="977"/>
      <c r="Q351" s="974"/>
      <c r="R351" s="1147"/>
      <c r="S351" s="974"/>
      <c r="T351" s="976"/>
      <c r="U351" s="693" t="s">
        <v>909</v>
      </c>
    </row>
    <row r="352" spans="1:25" x14ac:dyDescent="0.25">
      <c r="B352" s="1187" t="s">
        <v>1050</v>
      </c>
      <c r="C352" s="1187">
        <v>1020</v>
      </c>
      <c r="D352" s="976" t="s">
        <v>346</v>
      </c>
      <c r="E352" s="976" t="s">
        <v>915</v>
      </c>
      <c r="F352" s="1108">
        <v>18544240</v>
      </c>
      <c r="G352" s="974"/>
      <c r="H352" s="974">
        <v>9272120</v>
      </c>
      <c r="I352" s="974">
        <v>9272120</v>
      </c>
      <c r="J352" s="975"/>
      <c r="K352" s="974"/>
      <c r="L352" s="974">
        <f t="shared" si="21"/>
        <v>18544240</v>
      </c>
      <c r="M352" s="991" t="e">
        <f>IF(G352="",F352-L352-#REF!,G352-L352-#REF!)</f>
        <v>#REF!</v>
      </c>
      <c r="N352" s="1013">
        <f t="shared" si="18"/>
        <v>0</v>
      </c>
      <c r="O352" s="976"/>
      <c r="P352" s="977"/>
      <c r="Q352" s="974"/>
      <c r="R352" s="1147"/>
      <c r="S352" s="974"/>
      <c r="T352" s="976"/>
      <c r="U352" s="693"/>
    </row>
    <row r="353" spans="2:21" x14ac:dyDescent="0.25">
      <c r="B353" s="1187" t="s">
        <v>1050</v>
      </c>
      <c r="C353" s="1187">
        <v>1020</v>
      </c>
      <c r="D353" s="976" t="s">
        <v>257</v>
      </c>
      <c r="E353" s="976" t="s">
        <v>727</v>
      </c>
      <c r="F353" s="1108">
        <f>L353</f>
        <v>3764000</v>
      </c>
      <c r="G353" s="974"/>
      <c r="H353" s="974">
        <v>3764000</v>
      </c>
      <c r="I353" s="974"/>
      <c r="J353" s="975"/>
      <c r="K353" s="974"/>
      <c r="L353" s="974">
        <f t="shared" si="21"/>
        <v>3764000</v>
      </c>
      <c r="M353" s="991" t="e">
        <f>IF(G353="",F353-L353-#REF!,G353-L353-#REF!)</f>
        <v>#REF!</v>
      </c>
      <c r="N353" s="1013">
        <f t="shared" ref="N353:N565" si="22">IF($G353="",($F353-$L353),($G353-$L353))</f>
        <v>0</v>
      </c>
      <c r="O353" s="976"/>
      <c r="P353" s="977"/>
      <c r="Q353" s="974"/>
      <c r="R353" s="1147"/>
      <c r="S353" s="974"/>
      <c r="T353" s="976"/>
      <c r="U353" s="693"/>
    </row>
    <row r="354" spans="2:21" x14ac:dyDescent="0.25">
      <c r="B354" s="1187" t="s">
        <v>1050</v>
      </c>
      <c r="C354" s="1187">
        <v>1020</v>
      </c>
      <c r="D354" s="976" t="s">
        <v>1053</v>
      </c>
      <c r="E354" s="976" t="s">
        <v>1246</v>
      </c>
      <c r="F354" s="1108">
        <v>1127641</v>
      </c>
      <c r="G354" s="974"/>
      <c r="H354" s="974">
        <v>1127641</v>
      </c>
      <c r="I354" s="974"/>
      <c r="J354" s="975"/>
      <c r="K354" s="974"/>
      <c r="L354" s="974">
        <f t="shared" si="21"/>
        <v>1127641</v>
      </c>
      <c r="M354" s="991"/>
      <c r="N354" s="1013">
        <f t="shared" si="22"/>
        <v>0</v>
      </c>
      <c r="O354" s="976"/>
      <c r="P354" s="977"/>
      <c r="Q354" s="974"/>
      <c r="R354" s="1147"/>
      <c r="S354" s="974"/>
      <c r="T354" s="976"/>
      <c r="U354" s="693"/>
    </row>
    <row r="355" spans="2:21" x14ac:dyDescent="0.25">
      <c r="B355" s="1187" t="s">
        <v>1050</v>
      </c>
      <c r="C355" s="1187">
        <v>1020</v>
      </c>
      <c r="D355" s="976" t="s">
        <v>1247</v>
      </c>
      <c r="E355" s="976" t="s">
        <v>416</v>
      </c>
      <c r="F355" s="1108">
        <v>1100000</v>
      </c>
      <c r="G355" s="974"/>
      <c r="H355" s="974">
        <v>1100000</v>
      </c>
      <c r="I355" s="974"/>
      <c r="J355" s="975"/>
      <c r="K355" s="974"/>
      <c r="L355" s="974">
        <f t="shared" si="21"/>
        <v>1100000</v>
      </c>
      <c r="M355" s="991"/>
      <c r="N355" s="1013">
        <f t="shared" si="22"/>
        <v>0</v>
      </c>
      <c r="O355" s="976"/>
      <c r="P355" s="977"/>
      <c r="Q355" s="974"/>
      <c r="R355" s="1147"/>
      <c r="S355" s="974"/>
      <c r="T355" s="976"/>
      <c r="U355" s="693"/>
    </row>
    <row r="356" spans="2:21" x14ac:dyDescent="0.25">
      <c r="B356" s="1187" t="s">
        <v>1050</v>
      </c>
      <c r="C356" s="1187">
        <v>1020</v>
      </c>
      <c r="D356" s="976" t="s">
        <v>1248</v>
      </c>
      <c r="E356" s="976" t="s">
        <v>448</v>
      </c>
      <c r="F356" s="1108">
        <v>84020000</v>
      </c>
      <c r="G356" s="974">
        <v>93745000</v>
      </c>
      <c r="H356" s="974">
        <v>42010000</v>
      </c>
      <c r="I356" s="974">
        <v>42010000</v>
      </c>
      <c r="J356" s="975">
        <v>9725000</v>
      </c>
      <c r="K356" s="974"/>
      <c r="L356" s="974">
        <f t="shared" si="21"/>
        <v>93745000</v>
      </c>
      <c r="M356" s="991"/>
      <c r="N356" s="1013">
        <f t="shared" si="22"/>
        <v>0</v>
      </c>
      <c r="O356" s="976"/>
      <c r="P356" s="977"/>
      <c r="Q356" s="974"/>
      <c r="R356" s="1147"/>
      <c r="S356" s="974"/>
      <c r="T356" s="976"/>
      <c r="U356" s="693"/>
    </row>
    <row r="357" spans="2:21" x14ac:dyDescent="0.25">
      <c r="B357" s="1187" t="s">
        <v>1050</v>
      </c>
      <c r="C357" s="1187">
        <v>1020</v>
      </c>
      <c r="D357" s="976" t="s">
        <v>132</v>
      </c>
      <c r="E357" s="976" t="s">
        <v>1249</v>
      </c>
      <c r="F357" s="1108">
        <v>12476700</v>
      </c>
      <c r="G357" s="974"/>
      <c r="H357" s="974">
        <v>3743010</v>
      </c>
      <c r="I357" s="974">
        <v>8733690</v>
      </c>
      <c r="J357" s="975"/>
      <c r="K357" s="974"/>
      <c r="L357" s="974">
        <f t="shared" si="21"/>
        <v>12476700</v>
      </c>
      <c r="M357" s="991"/>
      <c r="N357" s="1013">
        <f t="shared" si="22"/>
        <v>0</v>
      </c>
      <c r="O357" s="976"/>
      <c r="P357" s="977"/>
      <c r="Q357" s="974"/>
      <c r="R357" s="1147"/>
      <c r="S357" s="974"/>
      <c r="T357" s="976"/>
      <c r="U357" s="693"/>
    </row>
    <row r="358" spans="2:21" x14ac:dyDescent="0.25">
      <c r="B358" s="1187" t="s">
        <v>1050</v>
      </c>
      <c r="C358" s="1187">
        <v>1020</v>
      </c>
      <c r="D358" s="976" t="s">
        <v>1250</v>
      </c>
      <c r="E358" s="976" t="s">
        <v>229</v>
      </c>
      <c r="F358" s="1108">
        <v>166799600</v>
      </c>
      <c r="G358" s="974"/>
      <c r="H358" s="974">
        <v>166799600</v>
      </c>
      <c r="I358" s="974"/>
      <c r="J358" s="975"/>
      <c r="K358" s="974"/>
      <c r="L358" s="974">
        <f t="shared" si="21"/>
        <v>166799600</v>
      </c>
      <c r="M358" s="991"/>
      <c r="N358" s="1013">
        <f t="shared" si="22"/>
        <v>0</v>
      </c>
      <c r="O358" s="976"/>
      <c r="P358" s="977"/>
      <c r="Q358" s="974"/>
      <c r="R358" s="1147"/>
      <c r="S358" s="974"/>
      <c r="T358" s="976"/>
      <c r="U358" s="693"/>
    </row>
    <row r="359" spans="2:21" x14ac:dyDescent="0.25">
      <c r="B359" s="1187" t="s">
        <v>1050</v>
      </c>
      <c r="C359" s="1187">
        <v>1020</v>
      </c>
      <c r="D359" s="976" t="s">
        <v>1251</v>
      </c>
      <c r="E359" s="976" t="s">
        <v>229</v>
      </c>
      <c r="F359" s="1108">
        <v>93200000</v>
      </c>
      <c r="G359" s="974"/>
      <c r="H359" s="974">
        <v>46600000</v>
      </c>
      <c r="I359" s="974">
        <v>46600000</v>
      </c>
      <c r="J359" s="975"/>
      <c r="K359" s="974"/>
      <c r="L359" s="974">
        <f t="shared" si="21"/>
        <v>93200000</v>
      </c>
      <c r="M359" s="991"/>
      <c r="N359" s="1013">
        <f t="shared" si="22"/>
        <v>0</v>
      </c>
      <c r="O359" s="976"/>
      <c r="P359" s="977"/>
      <c r="Q359" s="974"/>
      <c r="R359" s="1147"/>
      <c r="S359" s="974"/>
      <c r="T359" s="976"/>
      <c r="U359" s="693"/>
    </row>
    <row r="360" spans="2:21" x14ac:dyDescent="0.25">
      <c r="B360" s="1187" t="s">
        <v>1050</v>
      </c>
      <c r="C360" s="1187">
        <v>1020</v>
      </c>
      <c r="D360" s="976" t="s">
        <v>1252</v>
      </c>
      <c r="E360" s="976" t="s">
        <v>1253</v>
      </c>
      <c r="F360" s="1108">
        <v>12749000</v>
      </c>
      <c r="G360" s="974"/>
      <c r="H360" s="974">
        <v>6270000</v>
      </c>
      <c r="I360" s="974">
        <v>6479000</v>
      </c>
      <c r="J360" s="975"/>
      <c r="K360" s="974"/>
      <c r="L360" s="974">
        <f t="shared" si="21"/>
        <v>12749000</v>
      </c>
      <c r="M360" s="991"/>
      <c r="N360" s="1013">
        <f t="shared" si="22"/>
        <v>0</v>
      </c>
      <c r="O360" s="976"/>
      <c r="P360" s="977"/>
      <c r="Q360" s="974"/>
      <c r="R360" s="1147"/>
      <c r="S360" s="974"/>
      <c r="T360" s="976"/>
      <c r="U360" s="693"/>
    </row>
    <row r="361" spans="2:21" x14ac:dyDescent="0.25">
      <c r="B361" s="1187" t="s">
        <v>1050</v>
      </c>
      <c r="C361" s="1187">
        <v>1020</v>
      </c>
      <c r="D361" s="976" t="s">
        <v>92</v>
      </c>
      <c r="E361" s="976" t="s">
        <v>1110</v>
      </c>
      <c r="F361" s="1108">
        <v>9900000</v>
      </c>
      <c r="G361" s="974">
        <v>9735000</v>
      </c>
      <c r="H361" s="974">
        <v>6930000</v>
      </c>
      <c r="I361" s="974">
        <v>2805000</v>
      </c>
      <c r="J361" s="975"/>
      <c r="K361" s="974"/>
      <c r="L361" s="974">
        <f t="shared" si="21"/>
        <v>9735000</v>
      </c>
      <c r="M361" s="991"/>
      <c r="N361" s="1013">
        <f t="shared" si="22"/>
        <v>0</v>
      </c>
      <c r="O361" s="976"/>
      <c r="P361" s="977"/>
      <c r="Q361" s="974"/>
      <c r="R361" s="1147"/>
      <c r="S361" s="974"/>
      <c r="T361" s="976"/>
      <c r="U361" s="693"/>
    </row>
    <row r="362" spans="2:21" x14ac:dyDescent="0.25">
      <c r="B362" s="1187" t="s">
        <v>1050</v>
      </c>
      <c r="C362" s="1187">
        <v>1020</v>
      </c>
      <c r="D362" s="976" t="s">
        <v>1254</v>
      </c>
      <c r="E362" s="976" t="s">
        <v>897</v>
      </c>
      <c r="F362" s="1108">
        <v>4860000</v>
      </c>
      <c r="G362" s="974"/>
      <c r="H362" s="974">
        <v>4860000</v>
      </c>
      <c r="I362" s="974"/>
      <c r="J362" s="975"/>
      <c r="K362" s="974"/>
      <c r="L362" s="974">
        <f t="shared" si="21"/>
        <v>4860000</v>
      </c>
      <c r="M362" s="991"/>
      <c r="N362" s="1013">
        <f t="shared" si="22"/>
        <v>0</v>
      </c>
      <c r="O362" s="976"/>
      <c r="P362" s="977"/>
      <c r="Q362" s="974"/>
      <c r="R362" s="1147"/>
      <c r="S362" s="974"/>
      <c r="T362" s="976"/>
      <c r="U362" s="693"/>
    </row>
    <row r="363" spans="2:21" x14ac:dyDescent="0.25">
      <c r="B363" s="1187" t="s">
        <v>1050</v>
      </c>
      <c r="C363" s="1187">
        <v>1020</v>
      </c>
      <c r="D363" s="976" t="s">
        <v>1255</v>
      </c>
      <c r="E363" s="976" t="s">
        <v>1256</v>
      </c>
      <c r="F363" s="1108">
        <v>15540000</v>
      </c>
      <c r="G363" s="974"/>
      <c r="H363" s="974">
        <v>15540000</v>
      </c>
      <c r="I363" s="974"/>
      <c r="J363" s="975"/>
      <c r="K363" s="974"/>
      <c r="L363" s="974">
        <f t="shared" si="21"/>
        <v>15540000</v>
      </c>
      <c r="M363" s="991"/>
      <c r="N363" s="1013">
        <f t="shared" si="22"/>
        <v>0</v>
      </c>
      <c r="O363" s="976"/>
      <c r="P363" s="977"/>
      <c r="Q363" s="974"/>
      <c r="R363" s="1147"/>
      <c r="S363" s="974"/>
      <c r="T363" s="976"/>
      <c r="U363" s="693"/>
    </row>
    <row r="364" spans="2:21" x14ac:dyDescent="0.25">
      <c r="B364" s="1187" t="s">
        <v>1050</v>
      </c>
      <c r="C364" s="1187">
        <v>1020</v>
      </c>
      <c r="D364" s="976" t="s">
        <v>1257</v>
      </c>
      <c r="E364" s="976" t="s">
        <v>799</v>
      </c>
      <c r="F364" s="1108">
        <v>937000</v>
      </c>
      <c r="G364" s="974"/>
      <c r="H364" s="974">
        <v>937000</v>
      </c>
      <c r="I364" s="974"/>
      <c r="J364" s="975"/>
      <c r="K364" s="974"/>
      <c r="L364" s="974">
        <f t="shared" si="21"/>
        <v>937000</v>
      </c>
      <c r="M364" s="991"/>
      <c r="N364" s="1013">
        <f t="shared" si="22"/>
        <v>0</v>
      </c>
      <c r="O364" s="976"/>
      <c r="P364" s="977"/>
      <c r="Q364" s="974"/>
      <c r="R364" s="1147"/>
      <c r="S364" s="974"/>
      <c r="T364" s="976"/>
      <c r="U364" s="693"/>
    </row>
    <row r="365" spans="2:21" x14ac:dyDescent="0.25">
      <c r="B365" s="1187" t="s">
        <v>1050</v>
      </c>
      <c r="C365" s="1187">
        <v>1020</v>
      </c>
      <c r="D365" s="976" t="s">
        <v>1258</v>
      </c>
      <c r="E365" s="976" t="s">
        <v>1229</v>
      </c>
      <c r="F365" s="1108">
        <v>2000000</v>
      </c>
      <c r="G365" s="974"/>
      <c r="H365" s="974">
        <v>2000000</v>
      </c>
      <c r="I365" s="974"/>
      <c r="J365" s="975"/>
      <c r="K365" s="974"/>
      <c r="L365" s="974">
        <f t="shared" si="21"/>
        <v>2000000</v>
      </c>
      <c r="M365" s="991"/>
      <c r="N365" s="1013">
        <f t="shared" si="22"/>
        <v>0</v>
      </c>
      <c r="O365" s="976"/>
      <c r="P365" s="977"/>
      <c r="Q365" s="974"/>
      <c r="R365" s="1147"/>
      <c r="S365" s="974"/>
      <c r="T365" s="976"/>
      <c r="U365" s="693"/>
    </row>
    <row r="366" spans="2:21" x14ac:dyDescent="0.25">
      <c r="B366" s="1187" t="s">
        <v>1050</v>
      </c>
      <c r="C366" s="1187">
        <v>1020</v>
      </c>
      <c r="D366" s="976" t="s">
        <v>1259</v>
      </c>
      <c r="E366" s="976" t="s">
        <v>100</v>
      </c>
      <c r="F366" s="1108">
        <v>34920000</v>
      </c>
      <c r="G366" s="974"/>
      <c r="H366" s="974">
        <v>34920000</v>
      </c>
      <c r="I366" s="974"/>
      <c r="J366" s="975"/>
      <c r="K366" s="974"/>
      <c r="L366" s="974">
        <f t="shared" si="21"/>
        <v>34920000</v>
      </c>
      <c r="M366" s="991"/>
      <c r="N366" s="1013">
        <f t="shared" si="22"/>
        <v>0</v>
      </c>
      <c r="O366" s="976"/>
      <c r="P366" s="977"/>
      <c r="Q366" s="974"/>
      <c r="R366" s="1147"/>
      <c r="S366" s="974"/>
      <c r="T366" s="976"/>
      <c r="U366" s="693"/>
    </row>
    <row r="367" spans="2:21" x14ac:dyDescent="0.25">
      <c r="B367" s="1187" t="s">
        <v>1050</v>
      </c>
      <c r="C367" s="1187">
        <v>1020</v>
      </c>
      <c r="D367" s="976" t="s">
        <v>1260</v>
      </c>
      <c r="E367" s="976" t="s">
        <v>1261</v>
      </c>
      <c r="F367" s="1108">
        <v>14937400</v>
      </c>
      <c r="G367" s="974"/>
      <c r="H367" s="974">
        <v>14937400</v>
      </c>
      <c r="I367" s="974"/>
      <c r="J367" s="975"/>
      <c r="K367" s="974"/>
      <c r="L367" s="974">
        <f t="shared" si="21"/>
        <v>14937400</v>
      </c>
      <c r="M367" s="991"/>
      <c r="N367" s="1013">
        <f t="shared" si="22"/>
        <v>0</v>
      </c>
      <c r="O367" s="976"/>
      <c r="P367" s="977"/>
      <c r="Q367" s="974"/>
      <c r="R367" s="1147"/>
      <c r="S367" s="974"/>
      <c r="T367" s="976"/>
      <c r="U367" s="693"/>
    </row>
    <row r="368" spans="2:21" x14ac:dyDescent="0.25">
      <c r="B368" s="1187" t="s">
        <v>1050</v>
      </c>
      <c r="C368" s="1187">
        <v>1020</v>
      </c>
      <c r="D368" s="976" t="s">
        <v>1262</v>
      </c>
      <c r="E368" s="976" t="s">
        <v>457</v>
      </c>
      <c r="F368" s="1108">
        <v>80133000</v>
      </c>
      <c r="G368" s="974"/>
      <c r="H368" s="974">
        <v>80133000</v>
      </c>
      <c r="I368" s="974"/>
      <c r="J368" s="975"/>
      <c r="K368" s="974"/>
      <c r="L368" s="974">
        <f t="shared" si="21"/>
        <v>80133000</v>
      </c>
      <c r="M368" s="991"/>
      <c r="N368" s="1013">
        <f t="shared" si="22"/>
        <v>0</v>
      </c>
      <c r="O368" s="976"/>
      <c r="P368" s="977"/>
      <c r="Q368" s="974"/>
      <c r="R368" s="1147"/>
      <c r="S368" s="974"/>
      <c r="T368" s="976"/>
      <c r="U368" s="693"/>
    </row>
    <row r="369" spans="1:25" x14ac:dyDescent="0.25">
      <c r="B369" s="1187" t="s">
        <v>1050</v>
      </c>
      <c r="C369" s="1187">
        <v>1020</v>
      </c>
      <c r="D369" s="976" t="s">
        <v>1263</v>
      </c>
      <c r="E369" s="976" t="s">
        <v>1264</v>
      </c>
      <c r="F369" s="1108">
        <v>62144000</v>
      </c>
      <c r="G369" s="974"/>
      <c r="H369" s="974">
        <v>62144000</v>
      </c>
      <c r="I369" s="974"/>
      <c r="J369" s="975"/>
      <c r="K369" s="974"/>
      <c r="L369" s="974">
        <f t="shared" si="21"/>
        <v>62144000</v>
      </c>
      <c r="M369" s="991"/>
      <c r="N369" s="1013">
        <f t="shared" si="22"/>
        <v>0</v>
      </c>
      <c r="O369" s="976"/>
      <c r="P369" s="977"/>
      <c r="Q369" s="974"/>
      <c r="R369" s="1147"/>
      <c r="S369" s="974"/>
      <c r="T369" s="976"/>
      <c r="U369" s="693"/>
    </row>
    <row r="370" spans="1:25" x14ac:dyDescent="0.25">
      <c r="B370" s="1187" t="s">
        <v>1050</v>
      </c>
      <c r="C370" s="1187">
        <v>1020</v>
      </c>
      <c r="D370" s="976" t="s">
        <v>1265</v>
      </c>
      <c r="E370" s="976" t="s">
        <v>526</v>
      </c>
      <c r="F370" s="1108">
        <v>7000000</v>
      </c>
      <c r="G370" s="974">
        <v>8773000</v>
      </c>
      <c r="H370" s="974">
        <v>2000000</v>
      </c>
      <c r="I370" s="974">
        <v>5000000</v>
      </c>
      <c r="J370" s="975">
        <v>1773000</v>
      </c>
      <c r="K370" s="974"/>
      <c r="L370" s="974">
        <f t="shared" si="21"/>
        <v>8773000</v>
      </c>
      <c r="M370" s="991"/>
      <c r="N370" s="1013">
        <f t="shared" si="22"/>
        <v>0</v>
      </c>
      <c r="O370" s="976"/>
      <c r="P370" s="977"/>
      <c r="Q370" s="974"/>
      <c r="R370" s="1147"/>
      <c r="S370" s="974"/>
      <c r="T370" s="976"/>
      <c r="U370" s="693"/>
    </row>
    <row r="371" spans="1:25" x14ac:dyDescent="0.25">
      <c r="B371" s="1187" t="s">
        <v>1050</v>
      </c>
      <c r="C371" s="1187">
        <v>1020</v>
      </c>
      <c r="D371" s="976" t="s">
        <v>394</v>
      </c>
      <c r="E371" s="976" t="s">
        <v>1266</v>
      </c>
      <c r="F371" s="1108">
        <v>28600000</v>
      </c>
      <c r="G371" s="974"/>
      <c r="H371" s="974">
        <v>28600000</v>
      </c>
      <c r="I371" s="974"/>
      <c r="J371" s="975"/>
      <c r="K371" s="974"/>
      <c r="L371" s="974">
        <f t="shared" si="21"/>
        <v>28600000</v>
      </c>
      <c r="M371" s="991"/>
      <c r="N371" s="1013">
        <f t="shared" si="22"/>
        <v>0</v>
      </c>
      <c r="O371" s="976"/>
      <c r="P371" s="977"/>
      <c r="Q371" s="974"/>
      <c r="R371" s="1147"/>
      <c r="S371" s="974"/>
      <c r="T371" s="976"/>
      <c r="U371" s="693"/>
    </row>
    <row r="372" spans="1:25" x14ac:dyDescent="0.25">
      <c r="B372" s="1187" t="s">
        <v>1050</v>
      </c>
      <c r="C372" s="1187">
        <v>1020</v>
      </c>
      <c r="D372" s="976" t="s">
        <v>1236</v>
      </c>
      <c r="E372" s="976" t="s">
        <v>1267</v>
      </c>
      <c r="F372" s="1108">
        <v>1497604</v>
      </c>
      <c r="G372" s="974"/>
      <c r="H372" s="974">
        <v>1497604</v>
      </c>
      <c r="I372" s="974"/>
      <c r="J372" s="975"/>
      <c r="K372" s="974"/>
      <c r="L372" s="974">
        <f t="shared" si="21"/>
        <v>1497604</v>
      </c>
      <c r="M372" s="991"/>
      <c r="N372" s="1013">
        <f t="shared" si="22"/>
        <v>0</v>
      </c>
      <c r="O372" s="976"/>
      <c r="P372" s="977"/>
      <c r="Q372" s="974"/>
      <c r="R372" s="1147"/>
      <c r="S372" s="974"/>
      <c r="T372" s="976"/>
      <c r="U372" s="693"/>
    </row>
    <row r="373" spans="1:25" x14ac:dyDescent="0.25">
      <c r="B373" s="1187" t="s">
        <v>1050</v>
      </c>
      <c r="C373" s="1187">
        <v>1020</v>
      </c>
      <c r="D373" s="976" t="s">
        <v>1268</v>
      </c>
      <c r="E373" s="976" t="s">
        <v>100</v>
      </c>
      <c r="F373" s="1108">
        <v>17400000</v>
      </c>
      <c r="G373" s="974"/>
      <c r="H373" s="974">
        <v>17400000</v>
      </c>
      <c r="I373" s="974"/>
      <c r="J373" s="975"/>
      <c r="K373" s="974"/>
      <c r="L373" s="974">
        <f t="shared" si="21"/>
        <v>17400000</v>
      </c>
      <c r="M373" s="991"/>
      <c r="N373" s="1013">
        <f t="shared" si="22"/>
        <v>0</v>
      </c>
      <c r="O373" s="976"/>
      <c r="P373" s="977"/>
      <c r="Q373" s="974"/>
      <c r="R373" s="1147"/>
      <c r="S373" s="974"/>
      <c r="T373" s="976"/>
      <c r="U373" s="693"/>
    </row>
    <row r="374" spans="1:25" x14ac:dyDescent="0.25">
      <c r="B374" s="1187" t="s">
        <v>1050</v>
      </c>
      <c r="C374" s="1187">
        <v>1020</v>
      </c>
      <c r="D374" s="976" t="s">
        <v>1269</v>
      </c>
      <c r="E374" s="976" t="s">
        <v>1270</v>
      </c>
      <c r="F374" s="1108">
        <v>16860000</v>
      </c>
      <c r="G374" s="974"/>
      <c r="H374" s="974">
        <v>16860000</v>
      </c>
      <c r="I374" s="974"/>
      <c r="J374" s="975"/>
      <c r="K374" s="974"/>
      <c r="L374" s="974">
        <f t="shared" si="21"/>
        <v>16860000</v>
      </c>
      <c r="M374" s="991"/>
      <c r="N374" s="1013">
        <f t="shared" si="22"/>
        <v>0</v>
      </c>
      <c r="O374" s="976"/>
      <c r="P374" s="977"/>
      <c r="Q374" s="974"/>
      <c r="R374" s="1147"/>
      <c r="S374" s="974"/>
      <c r="T374" s="976"/>
      <c r="U374" s="693"/>
    </row>
    <row r="375" spans="1:25" x14ac:dyDescent="0.25">
      <c r="B375" s="1187" t="s">
        <v>1050</v>
      </c>
      <c r="C375" s="1187">
        <v>1020</v>
      </c>
      <c r="D375" s="976" t="s">
        <v>947</v>
      </c>
      <c r="E375" s="976"/>
      <c r="F375" s="973">
        <f>W375</f>
        <v>23527000</v>
      </c>
      <c r="G375" s="974"/>
      <c r="H375" s="974">
        <f>W375</f>
        <v>23527000</v>
      </c>
      <c r="I375" s="974"/>
      <c r="J375" s="975"/>
      <c r="K375" s="974"/>
      <c r="L375" s="974">
        <f t="shared" si="21"/>
        <v>23527000</v>
      </c>
      <c r="M375" s="991" t="e">
        <f>IF(G375="",F375-L375-#REF!,G375-L375-#REF!)</f>
        <v>#REF!</v>
      </c>
      <c r="N375" s="1013">
        <f t="shared" si="22"/>
        <v>0</v>
      </c>
      <c r="O375" s="976"/>
      <c r="P375" s="977"/>
      <c r="Q375" s="974"/>
      <c r="R375" s="1147"/>
      <c r="S375" s="974"/>
      <c r="T375" s="976"/>
      <c r="U375" s="693"/>
      <c r="V375" s="1000" t="s">
        <v>948</v>
      </c>
      <c r="W375" s="1000">
        <f>SUM(W339:W353)</f>
        <v>23527000</v>
      </c>
    </row>
    <row r="376" spans="1:25" s="723" customFormat="1" ht="15.75" x14ac:dyDescent="0.25">
      <c r="B376" s="720" t="s">
        <v>997</v>
      </c>
      <c r="C376" s="720"/>
      <c r="D376" s="699" t="s">
        <v>922</v>
      </c>
      <c r="E376" s="700"/>
      <c r="F376" s="724"/>
      <c r="G376" s="702"/>
      <c r="H376" s="701"/>
      <c r="I376" s="702"/>
      <c r="J376" s="726"/>
      <c r="K376" s="702"/>
      <c r="L376" s="707">
        <f>SUM(L338:L375)</f>
        <v>1196604585</v>
      </c>
      <c r="M376" s="707" t="e">
        <f>SUM(M338:M375)</f>
        <v>#REF!</v>
      </c>
      <c r="N376" s="869">
        <f>SUM(N338:N375)</f>
        <v>187479700</v>
      </c>
      <c r="O376" s="700"/>
      <c r="P376" s="704"/>
      <c r="Q376" s="742"/>
      <c r="R376" s="1148"/>
      <c r="S376" s="742"/>
      <c r="T376" s="705"/>
      <c r="U376" s="705"/>
      <c r="V376" s="722"/>
      <c r="W376" s="722"/>
      <c r="X376" s="722"/>
      <c r="Y376" s="722"/>
    </row>
    <row r="377" spans="1:25" x14ac:dyDescent="0.25">
      <c r="A377" s="686">
        <v>16</v>
      </c>
      <c r="B377" s="1187" t="s">
        <v>1054</v>
      </c>
      <c r="C377" s="1187"/>
      <c r="D377" s="976" t="s">
        <v>56</v>
      </c>
      <c r="E377" s="972" t="s">
        <v>57</v>
      </c>
      <c r="F377" s="973">
        <f>15644560+670000</f>
        <v>16314560</v>
      </c>
      <c r="G377" s="974"/>
      <c r="H377" s="974">
        <v>15644560</v>
      </c>
      <c r="I377" s="974">
        <v>670000</v>
      </c>
      <c r="J377" s="975"/>
      <c r="K377" s="974"/>
      <c r="L377" s="974">
        <f t="shared" ref="L377:L385" si="23">SUM(H377:K377)</f>
        <v>16314560</v>
      </c>
      <c r="M377" s="991" t="e">
        <f>IF(G377="",F377-L377-#REF!,G377-L377-#REF!)</f>
        <v>#REF!</v>
      </c>
      <c r="N377" s="1013">
        <f t="shared" si="22"/>
        <v>0</v>
      </c>
      <c r="O377" s="976"/>
      <c r="P377" s="977"/>
      <c r="Q377" s="974"/>
      <c r="R377" s="1147"/>
      <c r="S377" s="974"/>
      <c r="T377" s="976"/>
      <c r="U377" s="693"/>
      <c r="V377" s="687" t="s">
        <v>1055</v>
      </c>
    </row>
    <row r="378" spans="1:25" x14ac:dyDescent="0.25">
      <c r="B378" s="1187" t="s">
        <v>1054</v>
      </c>
      <c r="C378" s="1187"/>
      <c r="D378" s="976" t="s">
        <v>1056</v>
      </c>
      <c r="E378" s="972" t="s">
        <v>864</v>
      </c>
      <c r="F378" s="973">
        <v>14958000</v>
      </c>
      <c r="G378" s="974"/>
      <c r="H378" s="974">
        <v>14958000</v>
      </c>
      <c r="I378" s="974"/>
      <c r="J378" s="975"/>
      <c r="K378" s="974"/>
      <c r="L378" s="974">
        <f t="shared" si="23"/>
        <v>14958000</v>
      </c>
      <c r="M378" s="991" t="e">
        <f>IF(G378="",F378-L378-#REF!,G378-L378-#REF!)</f>
        <v>#REF!</v>
      </c>
      <c r="N378" s="1013">
        <f t="shared" si="22"/>
        <v>0</v>
      </c>
      <c r="O378" s="976"/>
      <c r="P378" s="977"/>
      <c r="Q378" s="974"/>
      <c r="R378" s="1147"/>
      <c r="S378" s="974"/>
      <c r="T378" s="976"/>
      <c r="U378" s="693"/>
      <c r="V378" s="687" t="s">
        <v>961</v>
      </c>
      <c r="W378" s="687">
        <v>1120000</v>
      </c>
    </row>
    <row r="379" spans="1:25" x14ac:dyDescent="0.25">
      <c r="B379" s="1187" t="s">
        <v>1054</v>
      </c>
      <c r="C379" s="1187"/>
      <c r="D379" s="976" t="s">
        <v>1057</v>
      </c>
      <c r="E379" s="976" t="s">
        <v>315</v>
      </c>
      <c r="F379" s="973">
        <v>14539120</v>
      </c>
      <c r="G379" s="974"/>
      <c r="H379" s="974">
        <v>14539120</v>
      </c>
      <c r="I379" s="974"/>
      <c r="J379" s="975"/>
      <c r="K379" s="974"/>
      <c r="L379" s="974">
        <f t="shared" si="23"/>
        <v>14539120</v>
      </c>
      <c r="M379" s="991" t="e">
        <f>IF(G379="",F379-L379-#REF!,G379-L379-#REF!)</f>
        <v>#REF!</v>
      </c>
      <c r="N379" s="1013">
        <f t="shared" si="22"/>
        <v>0</v>
      </c>
      <c r="O379" s="976"/>
      <c r="P379" s="977"/>
      <c r="Q379" s="974"/>
      <c r="R379" s="1147"/>
      <c r="S379" s="974"/>
      <c r="T379" s="976"/>
      <c r="U379" s="693"/>
      <c r="V379" s="687" t="s">
        <v>944</v>
      </c>
      <c r="W379" s="687">
        <v>640000</v>
      </c>
    </row>
    <row r="380" spans="1:25" x14ac:dyDescent="0.25">
      <c r="B380" s="1187" t="s">
        <v>1054</v>
      </c>
      <c r="C380" s="1187"/>
      <c r="D380" s="976" t="s">
        <v>1058</v>
      </c>
      <c r="E380" s="976" t="s">
        <v>1012</v>
      </c>
      <c r="F380" s="973">
        <v>2580000</v>
      </c>
      <c r="G380" s="974"/>
      <c r="H380" s="974">
        <v>2580000</v>
      </c>
      <c r="I380" s="974"/>
      <c r="J380" s="975"/>
      <c r="K380" s="974"/>
      <c r="L380" s="974">
        <f t="shared" si="23"/>
        <v>2580000</v>
      </c>
      <c r="M380" s="991" t="e">
        <f>IF(G380="",F380-L380-#REF!,G380-L380-#REF!)</f>
        <v>#REF!</v>
      </c>
      <c r="N380" s="1013">
        <f t="shared" si="22"/>
        <v>0</v>
      </c>
      <c r="O380" s="976"/>
      <c r="P380" s="977"/>
      <c r="Q380" s="974"/>
      <c r="R380" s="1147"/>
      <c r="S380" s="974"/>
      <c r="T380" s="976"/>
      <c r="U380" s="693"/>
      <c r="V380" s="687" t="s">
        <v>963</v>
      </c>
      <c r="W380" s="687">
        <v>500000</v>
      </c>
    </row>
    <row r="381" spans="1:25" x14ac:dyDescent="0.25">
      <c r="B381" s="1187" t="s">
        <v>1054</v>
      </c>
      <c r="C381" s="1187"/>
      <c r="D381" s="976" t="s">
        <v>1059</v>
      </c>
      <c r="E381" s="976" t="s">
        <v>173</v>
      </c>
      <c r="F381" s="973">
        <v>5130000</v>
      </c>
      <c r="G381" s="974"/>
      <c r="H381" s="974">
        <v>5130000</v>
      </c>
      <c r="I381" s="974"/>
      <c r="J381" s="975"/>
      <c r="K381" s="974"/>
      <c r="L381" s="974">
        <f t="shared" si="23"/>
        <v>5130000</v>
      </c>
      <c r="M381" s="991" t="e">
        <f>IF(G381="",F381-L381-#REF!,G381-L381-#REF!)</f>
        <v>#REF!</v>
      </c>
      <c r="N381" s="1013">
        <f t="shared" si="22"/>
        <v>0</v>
      </c>
      <c r="O381" s="976"/>
      <c r="P381" s="977"/>
      <c r="Q381" s="974"/>
      <c r="R381" s="1147"/>
      <c r="S381" s="974"/>
      <c r="T381" s="976"/>
      <c r="U381" s="693"/>
    </row>
    <row r="382" spans="1:25" x14ac:dyDescent="0.25">
      <c r="B382" s="1187" t="s">
        <v>1054</v>
      </c>
      <c r="C382" s="1187"/>
      <c r="D382" s="976" t="s">
        <v>99</v>
      </c>
      <c r="E382" s="972" t="s">
        <v>1060</v>
      </c>
      <c r="F382" s="973">
        <v>22800000</v>
      </c>
      <c r="G382" s="974"/>
      <c r="H382" s="974">
        <v>22800000</v>
      </c>
      <c r="I382" s="974"/>
      <c r="J382" s="975"/>
      <c r="K382" s="974"/>
      <c r="L382" s="974">
        <f t="shared" si="23"/>
        <v>22800000</v>
      </c>
      <c r="M382" s="991" t="e">
        <f>IF(G382="",F382-L382-#REF!,G382-L382-#REF!)</f>
        <v>#REF!</v>
      </c>
      <c r="N382" s="1013">
        <f t="shared" si="22"/>
        <v>0</v>
      </c>
      <c r="O382" s="976"/>
      <c r="P382" s="977"/>
      <c r="Q382" s="974"/>
      <c r="R382" s="1147"/>
      <c r="S382" s="974"/>
      <c r="T382" s="976"/>
      <c r="U382" s="693"/>
    </row>
    <row r="383" spans="1:25" x14ac:dyDescent="0.25">
      <c r="B383" s="1187" t="s">
        <v>1054</v>
      </c>
      <c r="C383" s="1187"/>
      <c r="D383" s="976" t="s">
        <v>1271</v>
      </c>
      <c r="E383" s="972" t="s">
        <v>162</v>
      </c>
      <c r="F383" s="1014">
        <v>9500000</v>
      </c>
      <c r="G383" s="974"/>
      <c r="H383" s="1014">
        <v>9500000</v>
      </c>
      <c r="I383" s="974"/>
      <c r="J383" s="975"/>
      <c r="K383" s="974"/>
      <c r="L383" s="974">
        <f t="shared" si="23"/>
        <v>9500000</v>
      </c>
      <c r="M383" s="991"/>
      <c r="N383" s="1013">
        <f t="shared" si="22"/>
        <v>0</v>
      </c>
      <c r="O383" s="976"/>
      <c r="P383" s="977"/>
      <c r="Q383" s="974"/>
      <c r="R383" s="1147"/>
      <c r="S383" s="974"/>
      <c r="T383" s="976"/>
      <c r="U383" s="693"/>
    </row>
    <row r="384" spans="1:25" x14ac:dyDescent="0.25">
      <c r="B384" s="1187" t="s">
        <v>1054</v>
      </c>
      <c r="C384" s="1187"/>
      <c r="D384" s="976" t="s">
        <v>947</v>
      </c>
      <c r="E384" s="976"/>
      <c r="F384" s="973">
        <v>2260000</v>
      </c>
      <c r="G384" s="974"/>
      <c r="H384" s="974">
        <f>W384</f>
        <v>2260000</v>
      </c>
      <c r="I384" s="974"/>
      <c r="J384" s="975"/>
      <c r="K384" s="974"/>
      <c r="L384" s="974">
        <f t="shared" si="23"/>
        <v>2260000</v>
      </c>
      <c r="M384" s="991" t="e">
        <f>IF(G384="",F384-L384-#REF!,G384-L384-#REF!)</f>
        <v>#REF!</v>
      </c>
      <c r="N384" s="1013">
        <f t="shared" si="22"/>
        <v>0</v>
      </c>
      <c r="O384" s="976"/>
      <c r="P384" s="977"/>
      <c r="Q384" s="974"/>
      <c r="R384" s="1147"/>
      <c r="S384" s="974"/>
      <c r="T384" s="976"/>
      <c r="U384" s="693"/>
      <c r="V384" s="1000" t="s">
        <v>948</v>
      </c>
      <c r="W384" s="1000">
        <f>SUM(W378:W382)</f>
        <v>2260000</v>
      </c>
    </row>
    <row r="385" spans="1:25" x14ac:dyDescent="0.25">
      <c r="B385" s="1187" t="s">
        <v>1054</v>
      </c>
      <c r="C385" s="1187"/>
      <c r="D385" s="976" t="s">
        <v>1204</v>
      </c>
      <c r="E385" s="976" t="s">
        <v>229</v>
      </c>
      <c r="F385" s="973">
        <v>500000</v>
      </c>
      <c r="G385" s="974"/>
      <c r="H385" s="974">
        <v>500000</v>
      </c>
      <c r="I385" s="974"/>
      <c r="J385" s="975"/>
      <c r="K385" s="974"/>
      <c r="L385" s="974">
        <f t="shared" si="23"/>
        <v>500000</v>
      </c>
      <c r="M385" s="991"/>
      <c r="N385" s="1013"/>
      <c r="O385" s="976"/>
      <c r="P385" s="977"/>
      <c r="Q385" s="974"/>
      <c r="R385" s="1147"/>
      <c r="S385" s="974"/>
      <c r="T385" s="976"/>
      <c r="U385" s="696"/>
    </row>
    <row r="386" spans="1:25" s="723" customFormat="1" ht="15.75" x14ac:dyDescent="0.25">
      <c r="B386" s="720" t="s">
        <v>997</v>
      </c>
      <c r="C386" s="720"/>
      <c r="D386" s="699" t="s">
        <v>1061</v>
      </c>
      <c r="E386" s="700"/>
      <c r="F386" s="724"/>
      <c r="G386" s="702"/>
      <c r="H386" s="711"/>
      <c r="I386" s="701"/>
      <c r="J386" s="726"/>
      <c r="K386" s="702"/>
      <c r="L386" s="707">
        <f>SUM(L377:L385)</f>
        <v>88581680</v>
      </c>
      <c r="M386" s="707" t="e">
        <f>SUM(M377:M384)</f>
        <v>#REF!</v>
      </c>
      <c r="N386" s="869">
        <f>SUM(N377:N384)</f>
        <v>0</v>
      </c>
      <c r="O386" s="700"/>
      <c r="P386" s="704"/>
      <c r="Q386" s="742"/>
      <c r="R386" s="1148"/>
      <c r="S386" s="742"/>
      <c r="T386" s="705"/>
      <c r="U386" s="705"/>
      <c r="V386" s="722"/>
      <c r="W386" s="722"/>
      <c r="X386" s="722"/>
      <c r="Y386" s="722"/>
    </row>
    <row r="387" spans="1:25" x14ac:dyDescent="0.25">
      <c r="A387" s="686">
        <v>17</v>
      </c>
      <c r="B387" s="1187" t="s">
        <v>576</v>
      </c>
      <c r="C387" s="1187"/>
      <c r="D387" s="976" t="s">
        <v>1062</v>
      </c>
      <c r="E387" s="1107">
        <v>126</v>
      </c>
      <c r="F387" s="973">
        <v>22539100</v>
      </c>
      <c r="G387" s="974"/>
      <c r="H387" s="974">
        <v>9431000</v>
      </c>
      <c r="I387" s="974">
        <v>13108100</v>
      </c>
      <c r="J387" s="975"/>
      <c r="K387" s="974"/>
      <c r="L387" s="974">
        <f t="shared" ref="L387:L395" si="24">SUM(H387:K387)</f>
        <v>22539100</v>
      </c>
      <c r="M387" s="991" t="e">
        <f>IF(G387="",F387-L387-#REF!,G387-L387-#REF!)</f>
        <v>#REF!</v>
      </c>
      <c r="N387" s="1013">
        <f t="shared" si="22"/>
        <v>0</v>
      </c>
      <c r="O387" s="976"/>
      <c r="P387" s="977"/>
      <c r="Q387" s="974"/>
      <c r="R387" s="1147"/>
      <c r="S387" s="974"/>
      <c r="T387" s="976"/>
      <c r="U387" s="690"/>
    </row>
    <row r="388" spans="1:25" x14ac:dyDescent="0.25">
      <c r="B388" s="1187" t="s">
        <v>576</v>
      </c>
      <c r="C388" s="1187"/>
      <c r="D388" s="976" t="s">
        <v>1272</v>
      </c>
      <c r="E388" s="1107" t="s">
        <v>1140</v>
      </c>
      <c r="F388" s="973">
        <v>11000000</v>
      </c>
      <c r="G388" s="974">
        <v>19974000</v>
      </c>
      <c r="H388" s="974">
        <v>6000000</v>
      </c>
      <c r="I388" s="974">
        <v>2000000</v>
      </c>
      <c r="J388" s="975">
        <v>3000000</v>
      </c>
      <c r="K388" s="974">
        <v>8974000</v>
      </c>
      <c r="L388" s="974">
        <f t="shared" si="24"/>
        <v>19974000</v>
      </c>
      <c r="M388" s="991"/>
      <c r="N388" s="1013">
        <f t="shared" si="22"/>
        <v>0</v>
      </c>
      <c r="O388" s="976"/>
      <c r="P388" s="977"/>
      <c r="Q388" s="974"/>
      <c r="R388" s="1147"/>
      <c r="S388" s="974"/>
      <c r="T388" s="976"/>
      <c r="U388" s="693"/>
    </row>
    <row r="389" spans="1:25" x14ac:dyDescent="0.25">
      <c r="B389" s="1187" t="s">
        <v>576</v>
      </c>
      <c r="C389" s="1187"/>
      <c r="D389" s="976" t="s">
        <v>1146</v>
      </c>
      <c r="E389" s="1107" t="s">
        <v>1140</v>
      </c>
      <c r="F389" s="973">
        <v>2000000</v>
      </c>
      <c r="G389" s="974">
        <v>4808000</v>
      </c>
      <c r="H389" s="974">
        <v>2000000</v>
      </c>
      <c r="I389" s="974">
        <v>2808000</v>
      </c>
      <c r="J389" s="975"/>
      <c r="K389" s="974"/>
      <c r="L389" s="974">
        <f t="shared" si="24"/>
        <v>4808000</v>
      </c>
      <c r="M389" s="991"/>
      <c r="N389" s="1013">
        <f t="shared" si="22"/>
        <v>0</v>
      </c>
      <c r="O389" s="976"/>
      <c r="P389" s="977"/>
      <c r="Q389" s="974"/>
      <c r="R389" s="1147"/>
      <c r="S389" s="974"/>
      <c r="T389" s="976"/>
      <c r="U389" s="693"/>
    </row>
    <row r="390" spans="1:25" x14ac:dyDescent="0.25">
      <c r="B390" s="1187" t="s">
        <v>576</v>
      </c>
      <c r="C390" s="1187"/>
      <c r="D390" s="976" t="s">
        <v>1273</v>
      </c>
      <c r="E390" s="976" t="s">
        <v>1140</v>
      </c>
      <c r="F390" s="973">
        <v>8000000</v>
      </c>
      <c r="G390" s="974">
        <v>13435000</v>
      </c>
      <c r="H390" s="974">
        <v>8000000</v>
      </c>
      <c r="I390" s="974">
        <v>5435000</v>
      </c>
      <c r="J390" s="975"/>
      <c r="K390" s="974"/>
      <c r="L390" s="974">
        <f t="shared" si="24"/>
        <v>13435000</v>
      </c>
      <c r="M390" s="991"/>
      <c r="N390" s="1013">
        <f t="shared" si="22"/>
        <v>0</v>
      </c>
      <c r="O390" s="976"/>
      <c r="P390" s="977"/>
      <c r="Q390" s="974"/>
      <c r="R390" s="1147"/>
      <c r="S390" s="974"/>
      <c r="T390" s="976"/>
      <c r="U390" s="693"/>
    </row>
    <row r="391" spans="1:25" x14ac:dyDescent="0.25">
      <c r="B391" s="1187" t="s">
        <v>576</v>
      </c>
      <c r="C391" s="1187"/>
      <c r="D391" s="976" t="s">
        <v>1274</v>
      </c>
      <c r="E391" s="976" t="s">
        <v>1140</v>
      </c>
      <c r="F391" s="973">
        <v>1000000</v>
      </c>
      <c r="G391" s="974">
        <v>855000</v>
      </c>
      <c r="H391" s="974">
        <v>1000000</v>
      </c>
      <c r="I391" s="974"/>
      <c r="J391" s="975"/>
      <c r="K391" s="974"/>
      <c r="L391" s="974">
        <f t="shared" si="24"/>
        <v>1000000</v>
      </c>
      <c r="M391" s="991"/>
      <c r="N391" s="1013">
        <f t="shared" si="22"/>
        <v>-145000</v>
      </c>
      <c r="O391" s="976"/>
      <c r="P391" s="977"/>
      <c r="Q391" s="974"/>
      <c r="R391" s="1147"/>
      <c r="S391" s="974"/>
      <c r="T391" s="976"/>
      <c r="U391" s="693"/>
    </row>
    <row r="392" spans="1:25" x14ac:dyDescent="0.25">
      <c r="B392" s="1187" t="s">
        <v>576</v>
      </c>
      <c r="C392" s="1187"/>
      <c r="D392" s="976" t="s">
        <v>1275</v>
      </c>
      <c r="E392" s="976" t="s">
        <v>1140</v>
      </c>
      <c r="F392" s="973">
        <v>1000000</v>
      </c>
      <c r="G392" s="974">
        <v>1800000</v>
      </c>
      <c r="H392" s="974">
        <v>1000000</v>
      </c>
      <c r="I392" s="974">
        <v>800000</v>
      </c>
      <c r="J392" s="975"/>
      <c r="K392" s="974"/>
      <c r="L392" s="974">
        <f t="shared" si="24"/>
        <v>1800000</v>
      </c>
      <c r="M392" s="991"/>
      <c r="N392" s="1013">
        <f t="shared" si="22"/>
        <v>0</v>
      </c>
      <c r="O392" s="976"/>
      <c r="P392" s="977"/>
      <c r="Q392" s="974"/>
      <c r="R392" s="1147"/>
      <c r="S392" s="974"/>
      <c r="T392" s="976"/>
      <c r="U392" s="693"/>
    </row>
    <row r="393" spans="1:25" x14ac:dyDescent="0.25">
      <c r="B393" s="1187" t="s">
        <v>576</v>
      </c>
      <c r="C393" s="1187"/>
      <c r="D393" s="976" t="s">
        <v>1276</v>
      </c>
      <c r="E393" s="976" t="s">
        <v>1140</v>
      </c>
      <c r="F393" s="973">
        <v>1000000</v>
      </c>
      <c r="G393" s="974">
        <v>3345000</v>
      </c>
      <c r="H393" s="974">
        <v>1000000</v>
      </c>
      <c r="I393" s="974">
        <v>2345000</v>
      </c>
      <c r="J393" s="975"/>
      <c r="K393" s="974"/>
      <c r="L393" s="974">
        <f t="shared" si="24"/>
        <v>3345000</v>
      </c>
      <c r="M393" s="991"/>
      <c r="N393" s="1013">
        <f t="shared" si="22"/>
        <v>0</v>
      </c>
      <c r="O393" s="976"/>
      <c r="P393" s="977"/>
      <c r="Q393" s="974"/>
      <c r="R393" s="1147"/>
      <c r="S393" s="974"/>
      <c r="T393" s="976"/>
      <c r="U393" s="693"/>
    </row>
    <row r="394" spans="1:25" x14ac:dyDescent="0.25">
      <c r="B394" s="1187" t="s">
        <v>576</v>
      </c>
      <c r="C394" s="1187"/>
      <c r="D394" s="976" t="s">
        <v>1277</v>
      </c>
      <c r="E394" s="976" t="s">
        <v>1140</v>
      </c>
      <c r="F394" s="973">
        <v>15000000</v>
      </c>
      <c r="G394" s="974">
        <v>25895000</v>
      </c>
      <c r="H394" s="974">
        <v>15000000</v>
      </c>
      <c r="I394" s="974">
        <v>10895000</v>
      </c>
      <c r="J394" s="975"/>
      <c r="K394" s="974"/>
      <c r="L394" s="974">
        <f t="shared" si="24"/>
        <v>25895000</v>
      </c>
      <c r="M394" s="991"/>
      <c r="N394" s="1013">
        <f t="shared" si="22"/>
        <v>0</v>
      </c>
      <c r="O394" s="976"/>
      <c r="P394" s="977"/>
      <c r="Q394" s="974"/>
      <c r="R394" s="1147"/>
      <c r="S394" s="974"/>
      <c r="T394" s="976"/>
      <c r="U394" s="693"/>
    </row>
    <row r="395" spans="1:25" x14ac:dyDescent="0.25">
      <c r="B395" s="1187" t="s">
        <v>576</v>
      </c>
      <c r="C395" s="1187"/>
      <c r="D395" s="976" t="s">
        <v>1278</v>
      </c>
      <c r="E395" s="1107" t="s">
        <v>1279</v>
      </c>
      <c r="F395" s="973">
        <v>6000000</v>
      </c>
      <c r="G395" s="974">
        <v>11728500</v>
      </c>
      <c r="H395" s="974">
        <v>6000000</v>
      </c>
      <c r="I395" s="974">
        <v>5728500</v>
      </c>
      <c r="J395" s="975"/>
      <c r="K395" s="974"/>
      <c r="L395" s="974">
        <f t="shared" si="24"/>
        <v>11728500</v>
      </c>
      <c r="M395" s="991"/>
      <c r="N395" s="1013">
        <f t="shared" si="22"/>
        <v>0</v>
      </c>
      <c r="O395" s="976"/>
      <c r="P395" s="977"/>
      <c r="Q395" s="974"/>
      <c r="R395" s="1147"/>
      <c r="S395" s="974"/>
      <c r="T395" s="976"/>
      <c r="U395" s="693"/>
    </row>
    <row r="396" spans="1:25" x14ac:dyDescent="0.25">
      <c r="B396" s="1187" t="s">
        <v>576</v>
      </c>
      <c r="C396" s="1187"/>
      <c r="D396" s="976" t="s">
        <v>1063</v>
      </c>
      <c r="E396" s="1107" t="s">
        <v>1279</v>
      </c>
      <c r="F396" s="973">
        <v>559000</v>
      </c>
      <c r="G396" s="974"/>
      <c r="H396" s="974">
        <v>559000</v>
      </c>
      <c r="I396" s="974"/>
      <c r="J396" s="975"/>
      <c r="K396" s="974"/>
      <c r="L396" s="974">
        <f t="shared" ref="L396:L455" si="25">SUM(H396:K396)</f>
        <v>559000</v>
      </c>
      <c r="M396" s="991" t="e">
        <f>IF(G396="",F396-L396-#REF!,G396-L396-#REF!)</f>
        <v>#REF!</v>
      </c>
      <c r="N396" s="1013">
        <f t="shared" si="22"/>
        <v>0</v>
      </c>
      <c r="O396" s="976"/>
      <c r="P396" s="977"/>
      <c r="Q396" s="974"/>
      <c r="R396" s="1147"/>
      <c r="S396" s="974"/>
      <c r="T396" s="976"/>
      <c r="U396" s="693"/>
    </row>
    <row r="397" spans="1:25" x14ac:dyDescent="0.25">
      <c r="B397" s="1187" t="s">
        <v>576</v>
      </c>
      <c r="C397" s="1187"/>
      <c r="D397" s="976" t="s">
        <v>1064</v>
      </c>
      <c r="E397" s="1107"/>
      <c r="F397" s="1014">
        <v>25315000</v>
      </c>
      <c r="G397" s="974"/>
      <c r="H397" s="1014">
        <v>25315000</v>
      </c>
      <c r="I397" s="974"/>
      <c r="J397" s="975"/>
      <c r="K397" s="974"/>
      <c r="L397" s="974">
        <f t="shared" si="25"/>
        <v>25315000</v>
      </c>
      <c r="M397" s="991" t="e">
        <f>IF(G397="",F397-L397-#REF!,G397-L397-#REF!)</f>
        <v>#REF!</v>
      </c>
      <c r="N397" s="1013">
        <f t="shared" si="22"/>
        <v>0</v>
      </c>
      <c r="O397" s="976"/>
      <c r="P397" s="977"/>
      <c r="Q397" s="974"/>
      <c r="R397" s="1147"/>
      <c r="S397" s="974"/>
      <c r="T397" s="976"/>
      <c r="U397" s="693"/>
    </row>
    <row r="398" spans="1:25" x14ac:dyDescent="0.25">
      <c r="B398" s="1187" t="s">
        <v>576</v>
      </c>
      <c r="C398" s="1187"/>
      <c r="D398" s="976" t="s">
        <v>1065</v>
      </c>
      <c r="E398" s="1107"/>
      <c r="F398" s="974">
        <v>15960000</v>
      </c>
      <c r="G398" s="974"/>
      <c r="H398" s="974">
        <v>15960000</v>
      </c>
      <c r="I398" s="974"/>
      <c r="J398" s="975"/>
      <c r="K398" s="974"/>
      <c r="L398" s="974">
        <f t="shared" si="25"/>
        <v>15960000</v>
      </c>
      <c r="M398" s="991"/>
      <c r="N398" s="1013">
        <f t="shared" si="22"/>
        <v>0</v>
      </c>
      <c r="O398" s="976"/>
      <c r="P398" s="977"/>
      <c r="Q398" s="974"/>
      <c r="R398" s="1147"/>
      <c r="S398" s="974"/>
      <c r="T398" s="976"/>
      <c r="U398" s="693"/>
    </row>
    <row r="399" spans="1:25" x14ac:dyDescent="0.25">
      <c r="B399" s="1187" t="s">
        <v>576</v>
      </c>
      <c r="C399" s="1187"/>
      <c r="D399" s="976" t="s">
        <v>1280</v>
      </c>
      <c r="E399" s="1107"/>
      <c r="F399" s="1014">
        <v>200000000</v>
      </c>
      <c r="G399" s="974"/>
      <c r="H399" s="1014">
        <v>200000000</v>
      </c>
      <c r="I399" s="974"/>
      <c r="J399" s="975"/>
      <c r="K399" s="974"/>
      <c r="L399" s="974">
        <f t="shared" si="25"/>
        <v>200000000</v>
      </c>
      <c r="M399" s="991"/>
      <c r="N399" s="1013">
        <f t="shared" si="22"/>
        <v>0</v>
      </c>
      <c r="O399" s="976"/>
      <c r="P399" s="977"/>
      <c r="Q399" s="974"/>
      <c r="R399" s="1147"/>
      <c r="S399" s="974"/>
      <c r="T399" s="976"/>
      <c r="U399" s="693"/>
    </row>
    <row r="400" spans="1:25" x14ac:dyDescent="0.25">
      <c r="B400" s="1187" t="s">
        <v>576</v>
      </c>
      <c r="C400" s="1187"/>
      <c r="D400" s="976" t="s">
        <v>947</v>
      </c>
      <c r="E400" s="976" t="s">
        <v>1066</v>
      </c>
      <c r="F400" s="973">
        <v>183451000</v>
      </c>
      <c r="G400" s="974"/>
      <c r="H400" s="974">
        <f>W400</f>
        <v>183451000</v>
      </c>
      <c r="I400" s="974"/>
      <c r="J400" s="975"/>
      <c r="K400" s="974"/>
      <c r="L400" s="974">
        <f t="shared" si="25"/>
        <v>183451000</v>
      </c>
      <c r="M400" s="991" t="e">
        <f>IF(G400="",F400-L400-#REF!,G400-L400-#REF!)</f>
        <v>#REF!</v>
      </c>
      <c r="N400" s="1013">
        <f t="shared" si="22"/>
        <v>0</v>
      </c>
      <c r="O400" s="976"/>
      <c r="P400" s="977"/>
      <c r="Q400" s="974"/>
      <c r="R400" s="1147"/>
      <c r="S400" s="974"/>
      <c r="T400" s="976"/>
      <c r="U400" s="693"/>
      <c r="V400" s="1000" t="s">
        <v>948</v>
      </c>
      <c r="W400" s="1000">
        <v>183451000</v>
      </c>
    </row>
    <row r="401" spans="2:21" x14ac:dyDescent="0.25">
      <c r="B401" s="1187" t="s">
        <v>576</v>
      </c>
      <c r="C401" s="1187"/>
      <c r="D401" s="976" t="s">
        <v>1062</v>
      </c>
      <c r="E401" s="1107">
        <v>126</v>
      </c>
      <c r="F401" s="973">
        <v>200000000</v>
      </c>
      <c r="G401" s="974"/>
      <c r="H401" s="974">
        <v>200000000</v>
      </c>
      <c r="I401" s="974"/>
      <c r="J401" s="975"/>
      <c r="K401" s="974"/>
      <c r="L401" s="974">
        <f t="shared" si="25"/>
        <v>200000000</v>
      </c>
      <c r="M401" s="991"/>
      <c r="N401" s="1013">
        <f t="shared" si="22"/>
        <v>0</v>
      </c>
      <c r="O401" s="976"/>
      <c r="P401" s="977"/>
      <c r="Q401" s="974"/>
      <c r="R401" s="1147"/>
      <c r="S401" s="974"/>
      <c r="T401" s="976"/>
      <c r="U401" s="693"/>
    </row>
    <row r="402" spans="2:21" x14ac:dyDescent="0.25">
      <c r="B402" s="1187" t="s">
        <v>576</v>
      </c>
      <c r="C402" s="1187"/>
      <c r="D402" s="976" t="s">
        <v>1281</v>
      </c>
      <c r="E402" s="976" t="s">
        <v>229</v>
      </c>
      <c r="F402" s="973">
        <v>3600000</v>
      </c>
      <c r="G402" s="974"/>
      <c r="H402" s="974">
        <v>3600000</v>
      </c>
      <c r="I402" s="974"/>
      <c r="J402" s="975"/>
      <c r="K402" s="974"/>
      <c r="L402" s="974">
        <f t="shared" si="25"/>
        <v>3600000</v>
      </c>
      <c r="M402" s="991" t="e">
        <f>IF(G402="",F402-L402-#REF!,G402-L402-#REF!)</f>
        <v>#REF!</v>
      </c>
      <c r="N402" s="1013">
        <f t="shared" si="22"/>
        <v>0</v>
      </c>
      <c r="O402" s="976"/>
      <c r="P402" s="977"/>
      <c r="Q402" s="974"/>
      <c r="R402" s="1147"/>
      <c r="S402" s="974"/>
      <c r="T402" s="976"/>
      <c r="U402" s="693"/>
    </row>
    <row r="403" spans="2:21" x14ac:dyDescent="0.25">
      <c r="B403" s="1187" t="s">
        <v>576</v>
      </c>
      <c r="C403" s="1187"/>
      <c r="D403" s="976" t="s">
        <v>1282</v>
      </c>
      <c r="E403" s="976" t="s">
        <v>100</v>
      </c>
      <c r="F403" s="973">
        <v>153404983</v>
      </c>
      <c r="G403" s="974"/>
      <c r="H403" s="974">
        <v>153404983</v>
      </c>
      <c r="I403" s="974"/>
      <c r="J403" s="975"/>
      <c r="K403" s="974"/>
      <c r="L403" s="974">
        <f t="shared" si="25"/>
        <v>153404983</v>
      </c>
      <c r="M403" s="991"/>
      <c r="N403" s="1013">
        <f t="shared" si="22"/>
        <v>0</v>
      </c>
      <c r="O403" s="976"/>
      <c r="P403" s="977"/>
      <c r="Q403" s="974"/>
      <c r="R403" s="1147"/>
      <c r="S403" s="974"/>
      <c r="T403" s="976"/>
      <c r="U403" s="693"/>
    </row>
    <row r="404" spans="2:21" x14ac:dyDescent="0.25">
      <c r="B404" s="1187" t="s">
        <v>576</v>
      </c>
      <c r="C404" s="1187"/>
      <c r="D404" s="976" t="s">
        <v>1283</v>
      </c>
      <c r="E404" s="976" t="s">
        <v>1284</v>
      </c>
      <c r="F404" s="973">
        <v>35000000</v>
      </c>
      <c r="G404" s="974"/>
      <c r="H404" s="974">
        <v>35000000</v>
      </c>
      <c r="I404" s="974"/>
      <c r="J404" s="975"/>
      <c r="K404" s="974"/>
      <c r="L404" s="974">
        <f t="shared" si="25"/>
        <v>35000000</v>
      </c>
      <c r="M404" s="991"/>
      <c r="N404" s="1013">
        <f t="shared" si="22"/>
        <v>0</v>
      </c>
      <c r="O404" s="976"/>
      <c r="P404" s="977"/>
      <c r="Q404" s="974"/>
      <c r="R404" s="1147"/>
      <c r="S404" s="974"/>
      <c r="T404" s="976"/>
      <c r="U404" s="693"/>
    </row>
    <row r="405" spans="2:21" x14ac:dyDescent="0.25">
      <c r="B405" s="1187" t="s">
        <v>576</v>
      </c>
      <c r="C405" s="1187"/>
      <c r="D405" s="976" t="s">
        <v>1285</v>
      </c>
      <c r="E405" s="976" t="s">
        <v>1249</v>
      </c>
      <c r="F405" s="973">
        <v>1047000</v>
      </c>
      <c r="G405" s="974"/>
      <c r="H405" s="974">
        <v>1047000</v>
      </c>
      <c r="I405" s="974"/>
      <c r="J405" s="975"/>
      <c r="K405" s="974"/>
      <c r="L405" s="974">
        <f t="shared" si="25"/>
        <v>1047000</v>
      </c>
      <c r="M405" s="991"/>
      <c r="N405" s="1013">
        <f t="shared" si="22"/>
        <v>0</v>
      </c>
      <c r="O405" s="976"/>
      <c r="P405" s="977"/>
      <c r="Q405" s="974"/>
      <c r="R405" s="1147"/>
      <c r="S405" s="974"/>
      <c r="T405" s="976"/>
      <c r="U405" s="693"/>
    </row>
    <row r="406" spans="2:21" x14ac:dyDescent="0.25">
      <c r="B406" s="1187" t="s">
        <v>576</v>
      </c>
      <c r="C406" s="1187"/>
      <c r="D406" s="976" t="s">
        <v>1286</v>
      </c>
      <c r="E406" s="976" t="s">
        <v>1287</v>
      </c>
      <c r="F406" s="973">
        <v>2000000</v>
      </c>
      <c r="G406" s="974"/>
      <c r="H406" s="974">
        <v>2000000</v>
      </c>
      <c r="I406" s="974"/>
      <c r="J406" s="975"/>
      <c r="K406" s="974"/>
      <c r="L406" s="974">
        <f t="shared" si="25"/>
        <v>2000000</v>
      </c>
      <c r="M406" s="991"/>
      <c r="N406" s="1013">
        <f t="shared" si="22"/>
        <v>0</v>
      </c>
      <c r="O406" s="976"/>
      <c r="P406" s="977"/>
      <c r="Q406" s="974"/>
      <c r="R406" s="1147"/>
      <c r="S406" s="974"/>
      <c r="T406" s="976"/>
      <c r="U406" s="693"/>
    </row>
    <row r="407" spans="2:21" x14ac:dyDescent="0.25">
      <c r="B407" s="1187" t="s">
        <v>576</v>
      </c>
      <c r="C407" s="1187"/>
      <c r="D407" s="976" t="s">
        <v>1062</v>
      </c>
      <c r="E407" s="1107">
        <v>126</v>
      </c>
      <c r="F407" s="973">
        <v>273415600</v>
      </c>
      <c r="G407" s="974"/>
      <c r="H407" s="974">
        <v>221652700</v>
      </c>
      <c r="I407" s="974">
        <v>51762900</v>
      </c>
      <c r="J407" s="975"/>
      <c r="K407" s="974"/>
      <c r="L407" s="974">
        <f t="shared" si="25"/>
        <v>273415600</v>
      </c>
      <c r="M407" s="991"/>
      <c r="N407" s="1013">
        <f t="shared" si="22"/>
        <v>0</v>
      </c>
      <c r="O407" s="976"/>
      <c r="P407" s="977"/>
      <c r="Q407" s="974"/>
      <c r="R407" s="1147"/>
      <c r="S407" s="974"/>
      <c r="T407" s="976"/>
      <c r="U407" s="693"/>
    </row>
    <row r="408" spans="2:21" x14ac:dyDescent="0.25">
      <c r="B408" s="1187" t="s">
        <v>576</v>
      </c>
      <c r="C408" s="1187"/>
      <c r="D408" s="976" t="s">
        <v>1288</v>
      </c>
      <c r="E408" s="1107" t="s">
        <v>1289</v>
      </c>
      <c r="F408" s="973">
        <v>13450000</v>
      </c>
      <c r="G408" s="974"/>
      <c r="H408" s="974">
        <v>13450000</v>
      </c>
      <c r="I408" s="974"/>
      <c r="J408" s="975"/>
      <c r="K408" s="974"/>
      <c r="L408" s="974">
        <f t="shared" si="25"/>
        <v>13450000</v>
      </c>
      <c r="M408" s="991"/>
      <c r="N408" s="1013">
        <f t="shared" si="22"/>
        <v>0</v>
      </c>
      <c r="O408" s="976"/>
      <c r="P408" s="977"/>
      <c r="Q408" s="974"/>
      <c r="R408" s="1147"/>
      <c r="S408" s="974"/>
      <c r="T408" s="976"/>
      <c r="U408" s="693"/>
    </row>
    <row r="409" spans="2:21" x14ac:dyDescent="0.25">
      <c r="B409" s="1187" t="s">
        <v>576</v>
      </c>
      <c r="C409" s="1187"/>
      <c r="D409" s="976" t="s">
        <v>1290</v>
      </c>
      <c r="E409" s="1107" t="s">
        <v>1291</v>
      </c>
      <c r="F409" s="973">
        <f>18750000+41799000+112550000</f>
        <v>173099000</v>
      </c>
      <c r="G409" s="974"/>
      <c r="H409" s="974">
        <f>18750000+41799000+112550000</f>
        <v>173099000</v>
      </c>
      <c r="I409" s="974"/>
      <c r="J409" s="975"/>
      <c r="K409" s="974"/>
      <c r="L409" s="974">
        <f t="shared" si="25"/>
        <v>173099000</v>
      </c>
      <c r="M409" s="991"/>
      <c r="N409" s="1013">
        <f t="shared" si="22"/>
        <v>0</v>
      </c>
      <c r="O409" s="976"/>
      <c r="P409" s="977"/>
      <c r="Q409" s="974"/>
      <c r="R409" s="1147"/>
      <c r="S409" s="974"/>
      <c r="T409" s="976"/>
      <c r="U409" s="693"/>
    </row>
    <row r="410" spans="2:21" x14ac:dyDescent="0.25">
      <c r="B410" s="1187" t="s">
        <v>576</v>
      </c>
      <c r="C410" s="1187"/>
      <c r="D410" s="976" t="s">
        <v>1292</v>
      </c>
      <c r="E410" s="1107" t="s">
        <v>708</v>
      </c>
      <c r="F410" s="973">
        <v>8900000</v>
      </c>
      <c r="G410" s="974"/>
      <c r="H410" s="974">
        <v>8900000</v>
      </c>
      <c r="I410" s="974"/>
      <c r="J410" s="975"/>
      <c r="K410" s="974"/>
      <c r="L410" s="974">
        <f t="shared" si="25"/>
        <v>8900000</v>
      </c>
      <c r="M410" s="991"/>
      <c r="N410" s="1013">
        <f t="shared" si="22"/>
        <v>0</v>
      </c>
      <c r="O410" s="976"/>
      <c r="P410" s="977"/>
      <c r="Q410" s="974"/>
      <c r="R410" s="1147"/>
      <c r="S410" s="974"/>
      <c r="T410" s="976"/>
      <c r="U410" s="693"/>
    </row>
    <row r="411" spans="2:21" x14ac:dyDescent="0.25">
      <c r="B411" s="1187" t="s">
        <v>576</v>
      </c>
      <c r="C411" s="1187"/>
      <c r="D411" s="976" t="s">
        <v>1293</v>
      </c>
      <c r="E411" s="1107" t="s">
        <v>1294</v>
      </c>
      <c r="F411" s="973">
        <v>1750000</v>
      </c>
      <c r="G411" s="974"/>
      <c r="H411" s="974">
        <v>1750000</v>
      </c>
      <c r="I411" s="974"/>
      <c r="J411" s="975"/>
      <c r="K411" s="974"/>
      <c r="L411" s="974">
        <f t="shared" si="25"/>
        <v>1750000</v>
      </c>
      <c r="M411" s="991"/>
      <c r="N411" s="1013">
        <f t="shared" si="22"/>
        <v>0</v>
      </c>
      <c r="O411" s="976"/>
      <c r="P411" s="977"/>
      <c r="Q411" s="974"/>
      <c r="R411" s="1147"/>
      <c r="S411" s="974"/>
      <c r="T411" s="976"/>
      <c r="U411" s="693"/>
    </row>
    <row r="412" spans="2:21" x14ac:dyDescent="0.25">
      <c r="B412" s="1187" t="s">
        <v>576</v>
      </c>
      <c r="C412" s="1187"/>
      <c r="D412" s="976" t="s">
        <v>1295</v>
      </c>
      <c r="E412" s="976" t="s">
        <v>1296</v>
      </c>
      <c r="F412" s="973">
        <v>6140000</v>
      </c>
      <c r="G412" s="974"/>
      <c r="H412" s="974">
        <v>6140000</v>
      </c>
      <c r="I412" s="974"/>
      <c r="J412" s="975"/>
      <c r="K412" s="974"/>
      <c r="L412" s="974">
        <f t="shared" si="25"/>
        <v>6140000</v>
      </c>
      <c r="M412" s="991"/>
      <c r="N412" s="1013">
        <f t="shared" si="22"/>
        <v>0</v>
      </c>
      <c r="O412" s="976"/>
      <c r="P412" s="977"/>
      <c r="Q412" s="974"/>
      <c r="R412" s="1147"/>
      <c r="S412" s="974"/>
      <c r="T412" s="976"/>
      <c r="U412" s="693"/>
    </row>
    <row r="413" spans="2:21" x14ac:dyDescent="0.25">
      <c r="B413" s="1187" t="s">
        <v>576</v>
      </c>
      <c r="C413" s="1187"/>
      <c r="D413" s="976" t="s">
        <v>1297</v>
      </c>
      <c r="E413" s="976" t="s">
        <v>1298</v>
      </c>
      <c r="F413" s="973">
        <v>38234000</v>
      </c>
      <c r="G413" s="974"/>
      <c r="H413" s="974">
        <v>38234000</v>
      </c>
      <c r="I413" s="974"/>
      <c r="J413" s="975"/>
      <c r="K413" s="974"/>
      <c r="L413" s="974">
        <f t="shared" si="25"/>
        <v>38234000</v>
      </c>
      <c r="M413" s="991"/>
      <c r="N413" s="1013">
        <f t="shared" si="22"/>
        <v>0</v>
      </c>
      <c r="O413" s="976"/>
      <c r="P413" s="977"/>
      <c r="Q413" s="974"/>
      <c r="R413" s="1147"/>
      <c r="S413" s="974"/>
      <c r="T413" s="976"/>
      <c r="U413" s="693"/>
    </row>
    <row r="414" spans="2:21" x14ac:dyDescent="0.25">
      <c r="B414" s="1187" t="s">
        <v>576</v>
      </c>
      <c r="C414" s="1187"/>
      <c r="D414" s="976" t="s">
        <v>1299</v>
      </c>
      <c r="E414" s="976" t="s">
        <v>1300</v>
      </c>
      <c r="F414" s="973">
        <v>50000000</v>
      </c>
      <c r="G414" s="974"/>
      <c r="H414" s="974">
        <v>50000000</v>
      </c>
      <c r="I414" s="974"/>
      <c r="J414" s="975"/>
      <c r="K414" s="974"/>
      <c r="L414" s="974">
        <f t="shared" si="25"/>
        <v>50000000</v>
      </c>
      <c r="M414" s="991"/>
      <c r="N414" s="1013">
        <f t="shared" si="22"/>
        <v>0</v>
      </c>
      <c r="O414" s="976"/>
      <c r="P414" s="977"/>
      <c r="Q414" s="974"/>
      <c r="R414" s="1147"/>
      <c r="S414" s="974"/>
      <c r="T414" s="976"/>
      <c r="U414" s="693"/>
    </row>
    <row r="415" spans="2:21" x14ac:dyDescent="0.25">
      <c r="B415" s="1187" t="s">
        <v>576</v>
      </c>
      <c r="C415" s="1187"/>
      <c r="D415" s="976" t="s">
        <v>1301</v>
      </c>
      <c r="E415" s="1107" t="s">
        <v>708</v>
      </c>
      <c r="F415" s="973">
        <v>8485000</v>
      </c>
      <c r="G415" s="974"/>
      <c r="H415" s="974">
        <v>8485000</v>
      </c>
      <c r="I415" s="974"/>
      <c r="J415" s="975"/>
      <c r="K415" s="974"/>
      <c r="L415" s="974">
        <f t="shared" si="25"/>
        <v>8485000</v>
      </c>
      <c r="M415" s="991"/>
      <c r="N415" s="1013">
        <f t="shared" si="22"/>
        <v>0</v>
      </c>
      <c r="O415" s="976"/>
      <c r="P415" s="977"/>
      <c r="Q415" s="974"/>
      <c r="R415" s="1147"/>
      <c r="S415" s="974"/>
      <c r="T415" s="976"/>
      <c r="U415" s="693"/>
    </row>
    <row r="416" spans="2:21" x14ac:dyDescent="0.25">
      <c r="B416" s="1187" t="s">
        <v>576</v>
      </c>
      <c r="C416" s="1187"/>
      <c r="D416" s="976" t="s">
        <v>1302</v>
      </c>
      <c r="E416" s="1107" t="s">
        <v>1303</v>
      </c>
      <c r="F416" s="973">
        <v>2000000</v>
      </c>
      <c r="G416" s="974"/>
      <c r="H416" s="974">
        <v>2000000</v>
      </c>
      <c r="I416" s="974"/>
      <c r="J416" s="975"/>
      <c r="K416" s="974"/>
      <c r="L416" s="974">
        <f t="shared" si="25"/>
        <v>2000000</v>
      </c>
      <c r="M416" s="991"/>
      <c r="N416" s="1013">
        <f t="shared" si="22"/>
        <v>0</v>
      </c>
      <c r="O416" s="976"/>
      <c r="P416" s="977"/>
      <c r="Q416" s="974"/>
      <c r="R416" s="1147"/>
      <c r="S416" s="974"/>
      <c r="T416" s="976"/>
      <c r="U416" s="693"/>
    </row>
    <row r="417" spans="2:21" x14ac:dyDescent="0.25">
      <c r="B417" s="1187" t="s">
        <v>576</v>
      </c>
      <c r="C417" s="1187"/>
      <c r="D417" s="976" t="s">
        <v>1288</v>
      </c>
      <c r="E417" s="1107" t="s">
        <v>1304</v>
      </c>
      <c r="F417" s="973">
        <v>4080000</v>
      </c>
      <c r="G417" s="974"/>
      <c r="H417" s="974">
        <v>4080000</v>
      </c>
      <c r="I417" s="974"/>
      <c r="J417" s="975"/>
      <c r="K417" s="974"/>
      <c r="L417" s="974">
        <f t="shared" si="25"/>
        <v>4080000</v>
      </c>
      <c r="M417" s="991"/>
      <c r="N417" s="1013">
        <f t="shared" si="22"/>
        <v>0</v>
      </c>
      <c r="O417" s="976"/>
      <c r="P417" s="977"/>
      <c r="Q417" s="974"/>
      <c r="R417" s="1147"/>
      <c r="S417" s="974"/>
      <c r="T417" s="976"/>
      <c r="U417" s="693"/>
    </row>
    <row r="418" spans="2:21" x14ac:dyDescent="0.25">
      <c r="B418" s="1187" t="s">
        <v>576</v>
      </c>
      <c r="C418" s="1187"/>
      <c r="D418" s="976" t="s">
        <v>1305</v>
      </c>
      <c r="E418" s="1107" t="s">
        <v>1306</v>
      </c>
      <c r="F418" s="973">
        <v>5000000</v>
      </c>
      <c r="G418" s="974"/>
      <c r="H418" s="974">
        <v>5000000</v>
      </c>
      <c r="I418" s="974"/>
      <c r="J418" s="975"/>
      <c r="K418" s="974"/>
      <c r="L418" s="974">
        <f t="shared" si="25"/>
        <v>5000000</v>
      </c>
      <c r="M418" s="991"/>
      <c r="N418" s="1013">
        <f t="shared" si="22"/>
        <v>0</v>
      </c>
      <c r="O418" s="976"/>
      <c r="P418" s="977"/>
      <c r="Q418" s="974"/>
      <c r="R418" s="1147"/>
      <c r="S418" s="974"/>
      <c r="T418" s="976"/>
      <c r="U418" s="693"/>
    </row>
    <row r="419" spans="2:21" x14ac:dyDescent="0.25">
      <c r="B419" s="1187" t="s">
        <v>576</v>
      </c>
      <c r="C419" s="1187"/>
      <c r="D419" s="976" t="s">
        <v>1307</v>
      </c>
      <c r="E419" s="1107" t="s">
        <v>1308</v>
      </c>
      <c r="F419" s="973">
        <v>32000000</v>
      </c>
      <c r="G419" s="974"/>
      <c r="H419" s="974">
        <v>16000000</v>
      </c>
      <c r="I419" s="974">
        <v>16000000</v>
      </c>
      <c r="J419" s="975"/>
      <c r="K419" s="974"/>
      <c r="L419" s="974">
        <f t="shared" si="25"/>
        <v>32000000</v>
      </c>
      <c r="M419" s="991"/>
      <c r="N419" s="1013">
        <f t="shared" si="22"/>
        <v>0</v>
      </c>
      <c r="O419" s="976"/>
      <c r="P419" s="977"/>
      <c r="Q419" s="974"/>
      <c r="R419" s="1147"/>
      <c r="S419" s="974"/>
      <c r="T419" s="976"/>
      <c r="U419" s="693"/>
    </row>
    <row r="420" spans="2:21" x14ac:dyDescent="0.25">
      <c r="B420" s="1187" t="s">
        <v>576</v>
      </c>
      <c r="C420" s="1187"/>
      <c r="D420" s="976" t="s">
        <v>1062</v>
      </c>
      <c r="E420" s="1107">
        <v>126</v>
      </c>
      <c r="F420" s="973">
        <v>97713730</v>
      </c>
      <c r="G420" s="974"/>
      <c r="H420" s="974">
        <v>72103130</v>
      </c>
      <c r="I420" s="974">
        <v>25610600</v>
      </c>
      <c r="J420" s="975"/>
      <c r="K420" s="974"/>
      <c r="L420" s="974">
        <f t="shared" si="25"/>
        <v>97713730</v>
      </c>
      <c r="M420" s="991"/>
      <c r="N420" s="1013">
        <f t="shared" si="22"/>
        <v>0</v>
      </c>
      <c r="O420" s="976"/>
      <c r="P420" s="977"/>
      <c r="Q420" s="974"/>
      <c r="R420" s="1147"/>
      <c r="S420" s="974"/>
      <c r="T420" s="976"/>
      <c r="U420" s="693"/>
    </row>
    <row r="421" spans="2:21" x14ac:dyDescent="0.25">
      <c r="B421" s="1187" t="s">
        <v>576</v>
      </c>
      <c r="C421" s="1187"/>
      <c r="D421" s="976" t="s">
        <v>1309</v>
      </c>
      <c r="E421" s="1107" t="s">
        <v>1308</v>
      </c>
      <c r="F421" s="973">
        <v>700000</v>
      </c>
      <c r="G421" s="974"/>
      <c r="H421" s="974">
        <v>700000</v>
      </c>
      <c r="I421" s="974"/>
      <c r="J421" s="975"/>
      <c r="K421" s="974"/>
      <c r="L421" s="974">
        <f t="shared" si="25"/>
        <v>700000</v>
      </c>
      <c r="M421" s="991"/>
      <c r="N421" s="1013">
        <f t="shared" si="22"/>
        <v>0</v>
      </c>
      <c r="O421" s="976"/>
      <c r="P421" s="977"/>
      <c r="Q421" s="974"/>
      <c r="R421" s="1147"/>
      <c r="S421" s="974"/>
      <c r="T421" s="976"/>
      <c r="U421" s="693"/>
    </row>
    <row r="422" spans="2:21" x14ac:dyDescent="0.25">
      <c r="B422" s="1187" t="s">
        <v>576</v>
      </c>
      <c r="C422" s="1187"/>
      <c r="D422" s="976" t="s">
        <v>1310</v>
      </c>
      <c r="E422" s="1107" t="s">
        <v>708</v>
      </c>
      <c r="F422" s="973">
        <v>7340000</v>
      </c>
      <c r="G422" s="974"/>
      <c r="H422" s="974">
        <v>7340000</v>
      </c>
      <c r="I422" s="974"/>
      <c r="J422" s="975"/>
      <c r="K422" s="974"/>
      <c r="L422" s="974">
        <f t="shared" si="25"/>
        <v>7340000</v>
      </c>
      <c r="M422" s="991"/>
      <c r="N422" s="1013">
        <f t="shared" si="22"/>
        <v>0</v>
      </c>
      <c r="O422" s="976"/>
      <c r="P422" s="977"/>
      <c r="Q422" s="974"/>
      <c r="R422" s="1147"/>
      <c r="S422" s="974"/>
      <c r="T422" s="976"/>
      <c r="U422" s="693"/>
    </row>
    <row r="423" spans="2:21" x14ac:dyDescent="0.25">
      <c r="B423" s="1187" t="s">
        <v>576</v>
      </c>
      <c r="C423" s="1187"/>
      <c r="D423" s="976" t="s">
        <v>1311</v>
      </c>
      <c r="E423" s="1107" t="s">
        <v>1312</v>
      </c>
      <c r="F423" s="973">
        <v>9850000</v>
      </c>
      <c r="G423" s="974"/>
      <c r="H423" s="974">
        <v>9850000</v>
      </c>
      <c r="I423" s="974"/>
      <c r="J423" s="975"/>
      <c r="K423" s="974"/>
      <c r="L423" s="974">
        <f t="shared" si="25"/>
        <v>9850000</v>
      </c>
      <c r="M423" s="991"/>
      <c r="N423" s="1013">
        <f t="shared" si="22"/>
        <v>0</v>
      </c>
      <c r="O423" s="976"/>
      <c r="P423" s="977"/>
      <c r="Q423" s="974"/>
      <c r="R423" s="1147"/>
      <c r="S423" s="974"/>
      <c r="T423" s="976"/>
      <c r="U423" s="693"/>
    </row>
    <row r="424" spans="2:21" x14ac:dyDescent="0.25">
      <c r="B424" s="1187" t="s">
        <v>576</v>
      </c>
      <c r="C424" s="1187"/>
      <c r="D424" s="976" t="s">
        <v>1313</v>
      </c>
      <c r="E424" s="1107" t="s">
        <v>684</v>
      </c>
      <c r="F424" s="973">
        <v>2500000</v>
      </c>
      <c r="G424" s="974"/>
      <c r="H424" s="974">
        <v>2500000</v>
      </c>
      <c r="I424" s="974"/>
      <c r="J424" s="975"/>
      <c r="K424" s="974"/>
      <c r="L424" s="974">
        <f t="shared" si="25"/>
        <v>2500000</v>
      </c>
      <c r="M424" s="991"/>
      <c r="N424" s="1013">
        <f t="shared" si="22"/>
        <v>0</v>
      </c>
      <c r="O424" s="976"/>
      <c r="P424" s="977"/>
      <c r="Q424" s="974"/>
      <c r="R424" s="1147"/>
      <c r="S424" s="974"/>
      <c r="T424" s="976"/>
      <c r="U424" s="693"/>
    </row>
    <row r="425" spans="2:21" x14ac:dyDescent="0.25">
      <c r="B425" s="1187" t="s">
        <v>576</v>
      </c>
      <c r="C425" s="1187"/>
      <c r="D425" s="976" t="s">
        <v>1314</v>
      </c>
      <c r="E425" s="1107" t="s">
        <v>1208</v>
      </c>
      <c r="F425" s="973">
        <v>1499000</v>
      </c>
      <c r="G425" s="974"/>
      <c r="H425" s="974">
        <v>1499000</v>
      </c>
      <c r="I425" s="974"/>
      <c r="J425" s="975"/>
      <c r="K425" s="974"/>
      <c r="L425" s="974">
        <f t="shared" si="25"/>
        <v>1499000</v>
      </c>
      <c r="M425" s="991"/>
      <c r="N425" s="1013">
        <f t="shared" si="22"/>
        <v>0</v>
      </c>
      <c r="O425" s="976"/>
      <c r="P425" s="977"/>
      <c r="Q425" s="974"/>
      <c r="R425" s="1147"/>
      <c r="S425" s="974"/>
      <c r="T425" s="976"/>
      <c r="U425" s="693"/>
    </row>
    <row r="426" spans="2:21" x14ac:dyDescent="0.25">
      <c r="B426" s="1187" t="s">
        <v>576</v>
      </c>
      <c r="C426" s="1187"/>
      <c r="D426" s="976" t="s">
        <v>1315</v>
      </c>
      <c r="E426" s="1107" t="s">
        <v>1316</v>
      </c>
      <c r="F426" s="973">
        <v>2000000</v>
      </c>
      <c r="G426" s="974"/>
      <c r="H426" s="974">
        <v>2000000</v>
      </c>
      <c r="I426" s="974"/>
      <c r="J426" s="975"/>
      <c r="K426" s="974"/>
      <c r="L426" s="974">
        <f t="shared" si="25"/>
        <v>2000000</v>
      </c>
      <c r="M426" s="991"/>
      <c r="N426" s="1013">
        <f t="shared" si="22"/>
        <v>0</v>
      </c>
      <c r="O426" s="976"/>
      <c r="P426" s="977"/>
      <c r="Q426" s="974"/>
      <c r="R426" s="1147"/>
      <c r="S426" s="974"/>
      <c r="T426" s="976"/>
      <c r="U426" s="693"/>
    </row>
    <row r="427" spans="2:21" x14ac:dyDescent="0.25">
      <c r="B427" s="1187" t="s">
        <v>576</v>
      </c>
      <c r="C427" s="1187"/>
      <c r="D427" s="976" t="s">
        <v>1288</v>
      </c>
      <c r="E427" s="1107" t="s">
        <v>1306</v>
      </c>
      <c r="F427" s="973">
        <v>11320000</v>
      </c>
      <c r="G427" s="974"/>
      <c r="H427" s="974">
        <v>11320000</v>
      </c>
      <c r="I427" s="974"/>
      <c r="J427" s="975"/>
      <c r="K427" s="974"/>
      <c r="L427" s="974">
        <f t="shared" si="25"/>
        <v>11320000</v>
      </c>
      <c r="M427" s="991"/>
      <c r="N427" s="1013">
        <f t="shared" si="22"/>
        <v>0</v>
      </c>
      <c r="O427" s="976"/>
      <c r="P427" s="977"/>
      <c r="Q427" s="974"/>
      <c r="R427" s="1147"/>
      <c r="S427" s="974"/>
      <c r="T427" s="976"/>
      <c r="U427" s="693"/>
    </row>
    <row r="428" spans="2:21" x14ac:dyDescent="0.25">
      <c r="B428" s="1188" t="s">
        <v>576</v>
      </c>
      <c r="C428" s="1188"/>
      <c r="D428" s="983" t="s">
        <v>1317</v>
      </c>
      <c r="E428" s="1138" t="s">
        <v>1306</v>
      </c>
      <c r="F428" s="1139">
        <v>1100000</v>
      </c>
      <c r="G428" s="1003"/>
      <c r="H428" s="1003">
        <v>1100000</v>
      </c>
      <c r="I428" s="981"/>
      <c r="J428" s="1140"/>
      <c r="K428" s="1003"/>
      <c r="L428" s="1003">
        <f t="shared" si="25"/>
        <v>1100000</v>
      </c>
      <c r="M428" s="1141"/>
      <c r="N428" s="1142">
        <f t="shared" si="22"/>
        <v>0</v>
      </c>
      <c r="O428" s="983"/>
      <c r="P428" s="1143"/>
      <c r="Q428" s="1003"/>
      <c r="R428" s="1150"/>
      <c r="S428" s="1003"/>
      <c r="T428" s="983"/>
      <c r="U428" s="693"/>
    </row>
    <row r="429" spans="2:21" x14ac:dyDescent="0.25">
      <c r="B429" s="1188" t="s">
        <v>576</v>
      </c>
      <c r="C429" s="1188"/>
      <c r="D429" s="976" t="s">
        <v>1318</v>
      </c>
      <c r="E429" s="1107" t="s">
        <v>1319</v>
      </c>
      <c r="F429" s="1139">
        <v>5250000</v>
      </c>
      <c r="G429" s="1003"/>
      <c r="H429" s="1003">
        <v>5250000</v>
      </c>
      <c r="I429" s="981"/>
      <c r="J429" s="1140"/>
      <c r="K429" s="1003"/>
      <c r="L429" s="1003">
        <f t="shared" si="25"/>
        <v>5250000</v>
      </c>
      <c r="M429" s="1141"/>
      <c r="N429" s="1142">
        <f t="shared" si="22"/>
        <v>0</v>
      </c>
      <c r="O429" s="983"/>
      <c r="P429" s="1143"/>
      <c r="Q429" s="1003"/>
      <c r="R429" s="1150"/>
      <c r="S429" s="1003"/>
      <c r="T429" s="983"/>
      <c r="U429" s="693"/>
    </row>
    <row r="430" spans="2:21" x14ac:dyDescent="0.25">
      <c r="B430" s="1188" t="s">
        <v>576</v>
      </c>
      <c r="C430" s="1188"/>
      <c r="D430" s="983" t="s">
        <v>1320</v>
      </c>
      <c r="E430" s="1138" t="s">
        <v>1321</v>
      </c>
      <c r="F430" s="1139">
        <v>15510000</v>
      </c>
      <c r="G430" s="1003"/>
      <c r="H430" s="1003">
        <v>15510000</v>
      </c>
      <c r="I430" s="981"/>
      <c r="J430" s="1140"/>
      <c r="K430" s="1003"/>
      <c r="L430" s="1003">
        <f t="shared" si="25"/>
        <v>15510000</v>
      </c>
      <c r="M430" s="1141"/>
      <c r="N430" s="1142">
        <f t="shared" si="22"/>
        <v>0</v>
      </c>
      <c r="O430" s="983"/>
      <c r="P430" s="1143"/>
      <c r="Q430" s="1003"/>
      <c r="R430" s="1150"/>
      <c r="S430" s="1003" t="s">
        <v>1322</v>
      </c>
      <c r="T430" s="983" t="s">
        <v>1323</v>
      </c>
      <c r="U430" s="693"/>
    </row>
    <row r="431" spans="2:21" x14ac:dyDescent="0.25">
      <c r="B431" s="1188" t="s">
        <v>576</v>
      </c>
      <c r="C431" s="1188"/>
      <c r="D431" s="983" t="s">
        <v>1324</v>
      </c>
      <c r="E431" s="1138" t="s">
        <v>1325</v>
      </c>
      <c r="F431" s="1139">
        <v>4400000</v>
      </c>
      <c r="G431" s="1003"/>
      <c r="H431" s="1003">
        <v>4400000</v>
      </c>
      <c r="I431" s="981"/>
      <c r="J431" s="1140"/>
      <c r="K431" s="1003"/>
      <c r="L431" s="1003">
        <f t="shared" si="25"/>
        <v>4400000</v>
      </c>
      <c r="M431" s="1141"/>
      <c r="N431" s="1142">
        <f t="shared" si="22"/>
        <v>0</v>
      </c>
      <c r="O431" s="983"/>
      <c r="P431" s="1143"/>
      <c r="Q431" s="1003"/>
      <c r="R431" s="1150"/>
      <c r="S431" s="1003"/>
      <c r="T431" s="983"/>
      <c r="U431" s="693"/>
    </row>
    <row r="432" spans="2:21" x14ac:dyDescent="0.25">
      <c r="B432" s="1188" t="s">
        <v>576</v>
      </c>
      <c r="C432" s="1188"/>
      <c r="D432" s="983" t="s">
        <v>1326</v>
      </c>
      <c r="E432" s="1138" t="s">
        <v>1079</v>
      </c>
      <c r="F432" s="1139">
        <v>22403000</v>
      </c>
      <c r="G432" s="1003"/>
      <c r="H432" s="1003">
        <v>22403000</v>
      </c>
      <c r="I432" s="981"/>
      <c r="J432" s="1140"/>
      <c r="K432" s="1003"/>
      <c r="L432" s="1003">
        <f t="shared" si="25"/>
        <v>22403000</v>
      </c>
      <c r="M432" s="1141"/>
      <c r="N432" s="1142">
        <f t="shared" si="22"/>
        <v>0</v>
      </c>
      <c r="O432" s="983"/>
      <c r="P432" s="1143"/>
      <c r="Q432" s="1003"/>
      <c r="R432" s="1150"/>
      <c r="S432" s="1003"/>
      <c r="T432" s="983"/>
      <c r="U432" s="693"/>
    </row>
    <row r="433" spans="2:21" x14ac:dyDescent="0.25">
      <c r="B433" s="1188" t="s">
        <v>576</v>
      </c>
      <c r="C433" s="1188"/>
      <c r="D433" s="983" t="s">
        <v>1104</v>
      </c>
      <c r="E433" s="1138">
        <v>126</v>
      </c>
      <c r="F433" s="1139">
        <v>163956300</v>
      </c>
      <c r="G433" s="1003"/>
      <c r="H433" s="1003">
        <v>85349900</v>
      </c>
      <c r="I433" s="981">
        <v>78606400</v>
      </c>
      <c r="J433" s="1140"/>
      <c r="K433" s="1003"/>
      <c r="L433" s="1003">
        <f t="shared" si="25"/>
        <v>163956300</v>
      </c>
      <c r="M433" s="1141"/>
      <c r="N433" s="1142">
        <f t="shared" si="22"/>
        <v>0</v>
      </c>
      <c r="O433" s="983"/>
      <c r="P433" s="1143"/>
      <c r="Q433" s="1003"/>
      <c r="R433" s="1150"/>
      <c r="S433" s="1003"/>
      <c r="T433" s="983"/>
      <c r="U433" s="693"/>
    </row>
    <row r="434" spans="2:21" x14ac:dyDescent="0.25">
      <c r="B434" s="1188" t="s">
        <v>576</v>
      </c>
      <c r="C434" s="1188"/>
      <c r="D434" s="983" t="s">
        <v>1104</v>
      </c>
      <c r="E434" s="1138">
        <v>126</v>
      </c>
      <c r="F434" s="1139">
        <v>535524155</v>
      </c>
      <c r="G434" s="1003"/>
      <c r="H434" s="1003">
        <v>452201455</v>
      </c>
      <c r="I434" s="981">
        <v>83322700</v>
      </c>
      <c r="J434" s="1140"/>
      <c r="K434" s="1003"/>
      <c r="L434" s="1003">
        <f t="shared" si="25"/>
        <v>535524155</v>
      </c>
      <c r="M434" s="1141"/>
      <c r="N434" s="1142">
        <f t="shared" si="22"/>
        <v>0</v>
      </c>
      <c r="O434" s="983"/>
      <c r="P434" s="1143"/>
      <c r="Q434" s="1003"/>
      <c r="R434" s="1150"/>
      <c r="S434" s="1003"/>
      <c r="T434" s="983"/>
      <c r="U434" s="693"/>
    </row>
    <row r="435" spans="2:21" x14ac:dyDescent="0.25">
      <c r="B435" s="1188" t="s">
        <v>576</v>
      </c>
      <c r="C435" s="1188"/>
      <c r="D435" s="983" t="s">
        <v>1327</v>
      </c>
      <c r="E435" s="1138">
        <v>126</v>
      </c>
      <c r="F435" s="1139">
        <v>52718000</v>
      </c>
      <c r="G435" s="1003"/>
      <c r="H435" s="1003">
        <v>52718000</v>
      </c>
      <c r="I435" s="981"/>
      <c r="J435" s="1140"/>
      <c r="K435" s="1003"/>
      <c r="L435" s="1003">
        <f t="shared" si="25"/>
        <v>52718000</v>
      </c>
      <c r="M435" s="1141"/>
      <c r="N435" s="1142">
        <f t="shared" si="22"/>
        <v>0</v>
      </c>
      <c r="O435" s="983"/>
      <c r="P435" s="1143"/>
      <c r="Q435" s="1003"/>
      <c r="R435" s="1150"/>
      <c r="S435" s="1003"/>
      <c r="T435" s="983"/>
      <c r="U435" s="693"/>
    </row>
    <row r="436" spans="2:21" x14ac:dyDescent="0.25">
      <c r="B436" s="1188" t="s">
        <v>576</v>
      </c>
      <c r="C436" s="1188"/>
      <c r="D436" s="983" t="s">
        <v>1328</v>
      </c>
      <c r="E436" s="1138" t="s">
        <v>1329</v>
      </c>
      <c r="F436" s="1139">
        <v>50825007</v>
      </c>
      <c r="G436" s="1003"/>
      <c r="H436" s="1003">
        <v>50825007</v>
      </c>
      <c r="I436" s="981"/>
      <c r="J436" s="1140"/>
      <c r="K436" s="1003"/>
      <c r="L436" s="1003">
        <f t="shared" si="25"/>
        <v>50825007</v>
      </c>
      <c r="M436" s="1141"/>
      <c r="N436" s="1142">
        <f t="shared" si="22"/>
        <v>0</v>
      </c>
      <c r="O436" s="983"/>
      <c r="P436" s="1143"/>
      <c r="Q436" s="1003"/>
      <c r="R436" s="1150"/>
      <c r="S436" s="1003"/>
      <c r="T436" s="983"/>
      <c r="U436" s="693"/>
    </row>
    <row r="437" spans="2:21" x14ac:dyDescent="0.25">
      <c r="B437" s="1188" t="s">
        <v>576</v>
      </c>
      <c r="C437" s="1188"/>
      <c r="D437" s="983" t="s">
        <v>1330</v>
      </c>
      <c r="E437" s="1138" t="s">
        <v>1331</v>
      </c>
      <c r="F437" s="1139">
        <v>17000000</v>
      </c>
      <c r="G437" s="1003"/>
      <c r="H437" s="1003">
        <v>17000000</v>
      </c>
      <c r="I437" s="981"/>
      <c r="J437" s="1140"/>
      <c r="K437" s="1003"/>
      <c r="L437" s="1003">
        <f t="shared" si="25"/>
        <v>17000000</v>
      </c>
      <c r="M437" s="1141"/>
      <c r="N437" s="1142">
        <f t="shared" si="22"/>
        <v>0</v>
      </c>
      <c r="O437" s="983"/>
      <c r="P437" s="1143"/>
      <c r="Q437" s="1003"/>
      <c r="R437" s="1150"/>
      <c r="S437" s="1003"/>
      <c r="T437" s="983"/>
      <c r="U437" s="693"/>
    </row>
    <row r="438" spans="2:21" x14ac:dyDescent="0.25">
      <c r="B438" s="1188" t="s">
        <v>576</v>
      </c>
      <c r="C438" s="1188"/>
      <c r="D438" s="983" t="s">
        <v>1332</v>
      </c>
      <c r="E438" s="1138" t="s">
        <v>1298</v>
      </c>
      <c r="F438" s="1139">
        <v>84265000</v>
      </c>
      <c r="G438" s="1003"/>
      <c r="H438" s="1003">
        <v>84265000</v>
      </c>
      <c r="I438" s="981"/>
      <c r="J438" s="1140"/>
      <c r="K438" s="1003"/>
      <c r="L438" s="1003">
        <f t="shared" si="25"/>
        <v>84265000</v>
      </c>
      <c r="M438" s="1141"/>
      <c r="N438" s="1142">
        <f t="shared" si="22"/>
        <v>0</v>
      </c>
      <c r="O438" s="983"/>
      <c r="P438" s="1143"/>
      <c r="Q438" s="1003"/>
      <c r="R438" s="1150"/>
      <c r="S438" s="1003"/>
      <c r="T438" s="983"/>
      <c r="U438" s="693"/>
    </row>
    <row r="439" spans="2:21" x14ac:dyDescent="0.25">
      <c r="B439" s="1188" t="s">
        <v>576</v>
      </c>
      <c r="C439" s="1188"/>
      <c r="D439" s="983" t="s">
        <v>1333</v>
      </c>
      <c r="E439" s="1138" t="s">
        <v>1334</v>
      </c>
      <c r="F439" s="1139">
        <v>5000000</v>
      </c>
      <c r="G439" s="1003"/>
      <c r="H439" s="1003">
        <v>5000000</v>
      </c>
      <c r="I439" s="981"/>
      <c r="J439" s="1140"/>
      <c r="K439" s="1003"/>
      <c r="L439" s="1003">
        <f t="shared" si="25"/>
        <v>5000000</v>
      </c>
      <c r="M439" s="1141"/>
      <c r="N439" s="1142">
        <f t="shared" si="22"/>
        <v>0</v>
      </c>
      <c r="O439" s="983"/>
      <c r="P439" s="1143"/>
      <c r="Q439" s="1003"/>
      <c r="R439" s="1150"/>
      <c r="S439" s="1003"/>
      <c r="T439" s="983"/>
      <c r="U439" s="693"/>
    </row>
    <row r="440" spans="2:21" x14ac:dyDescent="0.25">
      <c r="B440" s="1188" t="s">
        <v>576</v>
      </c>
      <c r="C440" s="1188"/>
      <c r="D440" s="983" t="s">
        <v>1335</v>
      </c>
      <c r="E440" s="1138" t="s">
        <v>1336</v>
      </c>
      <c r="F440" s="1139">
        <v>1500000</v>
      </c>
      <c r="G440" s="1003"/>
      <c r="H440" s="1003">
        <v>1500000</v>
      </c>
      <c r="I440" s="981"/>
      <c r="J440" s="1140"/>
      <c r="K440" s="1003"/>
      <c r="L440" s="1003">
        <f t="shared" si="25"/>
        <v>1500000</v>
      </c>
      <c r="M440" s="1141"/>
      <c r="N440" s="1142">
        <f t="shared" si="22"/>
        <v>0</v>
      </c>
      <c r="O440" s="983"/>
      <c r="P440" s="1143"/>
      <c r="Q440" s="1003"/>
      <c r="R440" s="1150"/>
      <c r="S440" s="1003"/>
      <c r="T440" s="983"/>
      <c r="U440" s="693"/>
    </row>
    <row r="441" spans="2:21" x14ac:dyDescent="0.25">
      <c r="B441" s="1188" t="s">
        <v>576</v>
      </c>
      <c r="C441" s="1188"/>
      <c r="D441" s="983" t="s">
        <v>1337</v>
      </c>
      <c r="E441" s="1138" t="s">
        <v>1338</v>
      </c>
      <c r="F441" s="1139">
        <v>25146000</v>
      </c>
      <c r="G441" s="1003"/>
      <c r="H441" s="1003">
        <v>25146000</v>
      </c>
      <c r="I441" s="981"/>
      <c r="J441" s="1140"/>
      <c r="K441" s="1003"/>
      <c r="L441" s="1003">
        <f t="shared" si="25"/>
        <v>25146000</v>
      </c>
      <c r="M441" s="1141"/>
      <c r="N441" s="1142">
        <f t="shared" si="22"/>
        <v>0</v>
      </c>
      <c r="O441" s="983"/>
      <c r="P441" s="1143"/>
      <c r="Q441" s="1003"/>
      <c r="R441" s="1150"/>
      <c r="S441" s="1003"/>
      <c r="T441" s="983"/>
      <c r="U441" s="693"/>
    </row>
    <row r="442" spans="2:21" x14ac:dyDescent="0.25">
      <c r="B442" s="1188" t="s">
        <v>576</v>
      </c>
      <c r="C442" s="1188"/>
      <c r="D442" s="983" t="s">
        <v>1104</v>
      </c>
      <c r="E442" s="1138">
        <v>126</v>
      </c>
      <c r="F442" s="1139">
        <v>180608340</v>
      </c>
      <c r="G442" s="1003"/>
      <c r="H442" s="1003">
        <v>180608340</v>
      </c>
      <c r="I442" s="981"/>
      <c r="J442" s="1140"/>
      <c r="K442" s="1003"/>
      <c r="L442" s="1003">
        <f t="shared" si="25"/>
        <v>180608340</v>
      </c>
      <c r="M442" s="1141"/>
      <c r="N442" s="1142">
        <f t="shared" si="22"/>
        <v>0</v>
      </c>
      <c r="O442" s="983"/>
      <c r="P442" s="1143"/>
      <c r="Q442" s="1003"/>
      <c r="R442" s="1150"/>
      <c r="S442" s="1003"/>
      <c r="T442" s="983"/>
      <c r="U442" s="693"/>
    </row>
    <row r="443" spans="2:21" x14ac:dyDescent="0.25">
      <c r="B443" s="1188" t="s">
        <v>576</v>
      </c>
      <c r="C443" s="1188"/>
      <c r="D443" s="983" t="s">
        <v>1104</v>
      </c>
      <c r="E443" s="1138">
        <v>126</v>
      </c>
      <c r="F443" s="1139">
        <v>49771280</v>
      </c>
      <c r="G443" s="1003"/>
      <c r="H443" s="1003">
        <v>49771280</v>
      </c>
      <c r="I443" s="981"/>
      <c r="J443" s="1140"/>
      <c r="K443" s="1003"/>
      <c r="L443" s="1003">
        <f t="shared" si="25"/>
        <v>49771280</v>
      </c>
      <c r="M443" s="1141"/>
      <c r="N443" s="1142">
        <f t="shared" si="22"/>
        <v>0</v>
      </c>
      <c r="O443" s="983"/>
      <c r="P443" s="1143"/>
      <c r="Q443" s="1003"/>
      <c r="R443" s="1150"/>
      <c r="S443" s="1003"/>
      <c r="T443" s="983"/>
      <c r="U443" s="693"/>
    </row>
    <row r="444" spans="2:21" x14ac:dyDescent="0.25">
      <c r="B444" s="1188" t="s">
        <v>576</v>
      </c>
      <c r="C444" s="1188"/>
      <c r="D444" s="983" t="s">
        <v>1339</v>
      </c>
      <c r="E444" s="1138" t="s">
        <v>1340</v>
      </c>
      <c r="F444" s="1139">
        <v>2500000</v>
      </c>
      <c r="G444" s="1003"/>
      <c r="H444" s="1003">
        <v>2500000</v>
      </c>
      <c r="I444" s="981"/>
      <c r="J444" s="1140"/>
      <c r="K444" s="1003"/>
      <c r="L444" s="1003">
        <f t="shared" si="25"/>
        <v>2500000</v>
      </c>
      <c r="M444" s="1141"/>
      <c r="N444" s="1142">
        <f t="shared" si="22"/>
        <v>0</v>
      </c>
      <c r="O444" s="983"/>
      <c r="P444" s="1143"/>
      <c r="Q444" s="1003"/>
      <c r="R444" s="1150"/>
      <c r="S444" s="1003"/>
      <c r="T444" s="983"/>
      <c r="U444" s="693"/>
    </row>
    <row r="445" spans="2:21" x14ac:dyDescent="0.25">
      <c r="B445" s="1188" t="s">
        <v>576</v>
      </c>
      <c r="C445" s="1188"/>
      <c r="D445" s="983" t="s">
        <v>1341</v>
      </c>
      <c r="E445" s="1138" t="s">
        <v>1342</v>
      </c>
      <c r="F445" s="1139">
        <v>24000000</v>
      </c>
      <c r="G445" s="1003"/>
      <c r="H445" s="1003">
        <v>24000000</v>
      </c>
      <c r="I445" s="981"/>
      <c r="J445" s="1140"/>
      <c r="K445" s="1003"/>
      <c r="L445" s="1003">
        <f t="shared" si="25"/>
        <v>24000000</v>
      </c>
      <c r="M445" s="1141"/>
      <c r="N445" s="1142">
        <f t="shared" si="22"/>
        <v>0</v>
      </c>
      <c r="O445" s="983"/>
      <c r="P445" s="1143"/>
      <c r="Q445" s="1003"/>
      <c r="R445" s="1150"/>
      <c r="S445" s="1003"/>
      <c r="T445" s="983"/>
      <c r="U445" s="693"/>
    </row>
    <row r="446" spans="2:21" x14ac:dyDescent="0.25">
      <c r="B446" s="1188" t="s">
        <v>576</v>
      </c>
      <c r="C446" s="1188"/>
      <c r="D446" s="983" t="s">
        <v>1343</v>
      </c>
      <c r="E446" s="1138" t="s">
        <v>1344</v>
      </c>
      <c r="F446" s="1139">
        <v>10890000</v>
      </c>
      <c r="G446" s="1003"/>
      <c r="H446" s="1003">
        <v>10890000</v>
      </c>
      <c r="I446" s="981"/>
      <c r="J446" s="1140"/>
      <c r="K446" s="1003"/>
      <c r="L446" s="1003">
        <f t="shared" si="25"/>
        <v>10890000</v>
      </c>
      <c r="M446" s="1141"/>
      <c r="N446" s="1142">
        <f t="shared" si="22"/>
        <v>0</v>
      </c>
      <c r="O446" s="983"/>
      <c r="P446" s="1143"/>
      <c r="Q446" s="1003"/>
      <c r="R446" s="1150"/>
      <c r="S446" s="1003"/>
      <c r="T446" s="983"/>
      <c r="U446" s="693"/>
    </row>
    <row r="447" spans="2:21" x14ac:dyDescent="0.25">
      <c r="B447" s="1188" t="s">
        <v>576</v>
      </c>
      <c r="C447" s="1188"/>
      <c r="D447" s="983" t="s">
        <v>1345</v>
      </c>
      <c r="E447" s="1138" t="s">
        <v>457</v>
      </c>
      <c r="F447" s="1139">
        <v>2350000</v>
      </c>
      <c r="G447" s="1003"/>
      <c r="H447" s="1003">
        <v>2350000</v>
      </c>
      <c r="I447" s="981"/>
      <c r="J447" s="1140"/>
      <c r="K447" s="1003"/>
      <c r="L447" s="1003">
        <f t="shared" si="25"/>
        <v>2350000</v>
      </c>
      <c r="M447" s="1141"/>
      <c r="N447" s="1142">
        <f t="shared" si="22"/>
        <v>0</v>
      </c>
      <c r="O447" s="983"/>
      <c r="P447" s="1143"/>
      <c r="Q447" s="1003"/>
      <c r="R447" s="1150"/>
      <c r="S447" s="1003"/>
      <c r="T447" s="983"/>
      <c r="U447" s="693"/>
    </row>
    <row r="448" spans="2:21" x14ac:dyDescent="0.25">
      <c r="B448" s="1188" t="s">
        <v>576</v>
      </c>
      <c r="C448" s="1188"/>
      <c r="D448" s="983" t="s">
        <v>1346</v>
      </c>
      <c r="E448" s="1138" t="s">
        <v>1347</v>
      </c>
      <c r="F448" s="1139">
        <v>2860000</v>
      </c>
      <c r="G448" s="1003"/>
      <c r="H448" s="1003">
        <v>2860000</v>
      </c>
      <c r="I448" s="981"/>
      <c r="J448" s="1140"/>
      <c r="K448" s="1003"/>
      <c r="L448" s="1003">
        <f t="shared" si="25"/>
        <v>2860000</v>
      </c>
      <c r="M448" s="1141"/>
      <c r="N448" s="1142">
        <f t="shared" si="22"/>
        <v>0</v>
      </c>
      <c r="O448" s="983"/>
      <c r="P448" s="1143"/>
      <c r="Q448" s="1003"/>
      <c r="R448" s="1150"/>
      <c r="S448" s="1003"/>
      <c r="T448" s="983" t="s">
        <v>1323</v>
      </c>
      <c r="U448" s="693"/>
    </row>
    <row r="449" spans="1:25" x14ac:dyDescent="0.25">
      <c r="B449" s="1188" t="s">
        <v>576</v>
      </c>
      <c r="C449" s="1188"/>
      <c r="D449" s="983" t="s">
        <v>1348</v>
      </c>
      <c r="E449" s="1138" t="s">
        <v>1349</v>
      </c>
      <c r="F449" s="1139">
        <v>1264000</v>
      </c>
      <c r="G449" s="1003"/>
      <c r="H449" s="1003">
        <v>1264000</v>
      </c>
      <c r="I449" s="981"/>
      <c r="J449" s="1140"/>
      <c r="K449" s="1003"/>
      <c r="L449" s="1003">
        <f t="shared" si="25"/>
        <v>1264000</v>
      </c>
      <c r="M449" s="1141"/>
      <c r="N449" s="1142">
        <f t="shared" si="22"/>
        <v>0</v>
      </c>
      <c r="O449" s="983"/>
      <c r="P449" s="1143"/>
      <c r="Q449" s="1003"/>
      <c r="R449" s="1150"/>
      <c r="S449" s="1003"/>
      <c r="T449" s="983"/>
      <c r="U449" s="693"/>
    </row>
    <row r="450" spans="1:25" x14ac:dyDescent="0.25">
      <c r="B450" s="1188" t="s">
        <v>576</v>
      </c>
      <c r="C450" s="1188"/>
      <c r="D450" s="983" t="s">
        <v>1350</v>
      </c>
      <c r="E450" s="1138" t="s">
        <v>1351</v>
      </c>
      <c r="F450" s="1139">
        <v>620000</v>
      </c>
      <c r="G450" s="1003"/>
      <c r="H450" s="1003">
        <v>620000</v>
      </c>
      <c r="I450" s="981"/>
      <c r="J450" s="1140"/>
      <c r="K450" s="1003"/>
      <c r="L450" s="1003">
        <f t="shared" si="25"/>
        <v>620000</v>
      </c>
      <c r="M450" s="1141"/>
      <c r="N450" s="1142">
        <f t="shared" si="22"/>
        <v>0</v>
      </c>
      <c r="O450" s="983"/>
      <c r="P450" s="1143"/>
      <c r="Q450" s="1003"/>
      <c r="R450" s="1150"/>
      <c r="S450" s="1003"/>
      <c r="T450" s="983"/>
      <c r="U450" s="693"/>
    </row>
    <row r="451" spans="1:25" x14ac:dyDescent="0.25">
      <c r="B451" s="1188" t="s">
        <v>576</v>
      </c>
      <c r="C451" s="1188"/>
      <c r="D451" s="983" t="s">
        <v>1352</v>
      </c>
      <c r="E451" s="1138" t="s">
        <v>662</v>
      </c>
      <c r="F451" s="1139">
        <v>6425000</v>
      </c>
      <c r="G451" s="1003"/>
      <c r="H451" s="1003">
        <v>6425000</v>
      </c>
      <c r="I451" s="981"/>
      <c r="J451" s="1140"/>
      <c r="K451" s="1003"/>
      <c r="L451" s="1003">
        <f t="shared" si="25"/>
        <v>6425000</v>
      </c>
      <c r="M451" s="1141"/>
      <c r="N451" s="1142">
        <f t="shared" si="22"/>
        <v>0</v>
      </c>
      <c r="O451" s="983"/>
      <c r="P451" s="1143"/>
      <c r="Q451" s="1003"/>
      <c r="R451" s="1150"/>
      <c r="S451" s="1003"/>
      <c r="T451" s="983"/>
      <c r="U451" s="693"/>
    </row>
    <row r="452" spans="1:25" x14ac:dyDescent="0.25">
      <c r="B452" s="1188" t="s">
        <v>576</v>
      </c>
      <c r="C452" s="1188"/>
      <c r="D452" s="983" t="s">
        <v>1353</v>
      </c>
      <c r="E452" s="1138" t="s">
        <v>1354</v>
      </c>
      <c r="F452" s="1139">
        <v>250000</v>
      </c>
      <c r="G452" s="1003"/>
      <c r="H452" s="1003">
        <v>250000</v>
      </c>
      <c r="I452" s="981"/>
      <c r="J452" s="1140"/>
      <c r="K452" s="1003"/>
      <c r="L452" s="1003">
        <f t="shared" si="25"/>
        <v>250000</v>
      </c>
      <c r="M452" s="1141"/>
      <c r="N452" s="1142">
        <f t="shared" si="22"/>
        <v>0</v>
      </c>
      <c r="O452" s="983"/>
      <c r="P452" s="1143"/>
      <c r="Q452" s="1003"/>
      <c r="R452" s="1150"/>
      <c r="S452" s="1003"/>
      <c r="T452" s="983"/>
      <c r="U452" s="693"/>
    </row>
    <row r="453" spans="1:25" x14ac:dyDescent="0.25">
      <c r="B453" s="1188" t="s">
        <v>576</v>
      </c>
      <c r="C453" s="1188"/>
      <c r="D453" s="983" t="s">
        <v>1355</v>
      </c>
      <c r="E453" s="1138" t="s">
        <v>1319</v>
      </c>
      <c r="F453" s="1139">
        <v>7400000</v>
      </c>
      <c r="G453" s="1003"/>
      <c r="H453" s="1003">
        <v>7400000</v>
      </c>
      <c r="I453" s="981"/>
      <c r="J453" s="1140"/>
      <c r="K453" s="1003"/>
      <c r="L453" s="1003">
        <f t="shared" si="25"/>
        <v>7400000</v>
      </c>
      <c r="M453" s="1141"/>
      <c r="N453" s="1142">
        <f t="shared" si="22"/>
        <v>0</v>
      </c>
      <c r="O453" s="983"/>
      <c r="P453" s="1143"/>
      <c r="Q453" s="1003"/>
      <c r="R453" s="1150"/>
      <c r="S453" s="1003"/>
      <c r="T453" s="983"/>
      <c r="U453" s="693"/>
    </row>
    <row r="454" spans="1:25" x14ac:dyDescent="0.25">
      <c r="B454" s="1188" t="s">
        <v>576</v>
      </c>
      <c r="C454" s="1188"/>
      <c r="D454" s="983" t="s">
        <v>1356</v>
      </c>
      <c r="E454" s="1138" t="s">
        <v>1357</v>
      </c>
      <c r="F454" s="1139">
        <v>10000000</v>
      </c>
      <c r="G454" s="1003"/>
      <c r="H454" s="1003">
        <v>10000000</v>
      </c>
      <c r="I454" s="981"/>
      <c r="J454" s="1140"/>
      <c r="K454" s="1003"/>
      <c r="L454" s="1003">
        <f t="shared" si="25"/>
        <v>10000000</v>
      </c>
      <c r="M454" s="1141"/>
      <c r="N454" s="1142">
        <f t="shared" si="22"/>
        <v>0</v>
      </c>
      <c r="O454" s="983"/>
      <c r="P454" s="1143"/>
      <c r="Q454" s="1003"/>
      <c r="R454" s="1150"/>
      <c r="S454" s="1003"/>
      <c r="T454" s="983"/>
      <c r="U454" s="693"/>
    </row>
    <row r="455" spans="1:25" ht="15.75" customHeight="1" x14ac:dyDescent="0.25">
      <c r="B455" s="1188" t="s">
        <v>576</v>
      </c>
      <c r="C455" s="1188"/>
      <c r="D455" s="983" t="s">
        <v>1358</v>
      </c>
      <c r="E455" s="1138" t="s">
        <v>1319</v>
      </c>
      <c r="F455" s="1139">
        <v>8460000</v>
      </c>
      <c r="G455" s="1003"/>
      <c r="H455" s="1003">
        <v>8460000</v>
      </c>
      <c r="I455" s="981"/>
      <c r="J455" s="1140"/>
      <c r="K455" s="1003"/>
      <c r="L455" s="1003">
        <f t="shared" si="25"/>
        <v>8460000</v>
      </c>
      <c r="M455" s="1141"/>
      <c r="N455" s="1142">
        <f t="shared" si="22"/>
        <v>0</v>
      </c>
      <c r="O455" s="983"/>
      <c r="P455" s="1143"/>
      <c r="Q455" s="1003"/>
      <c r="R455" s="1150"/>
      <c r="S455" s="1003"/>
      <c r="T455" s="983"/>
      <c r="U455" s="693"/>
    </row>
    <row r="456" spans="1:25" s="723" customFormat="1" ht="15.75" x14ac:dyDescent="0.25">
      <c r="B456" s="748" t="s">
        <v>997</v>
      </c>
      <c r="C456" s="748"/>
      <c r="D456" s="699" t="s">
        <v>1067</v>
      </c>
      <c r="E456" s="706"/>
      <c r="F456" s="733"/>
      <c r="G456" s="711"/>
      <c r="H456" s="711"/>
      <c r="I456" s="701"/>
      <c r="J456" s="734"/>
      <c r="K456" s="711"/>
      <c r="L456" s="735">
        <f>SUM(L387:L455)</f>
        <v>2966333995</v>
      </c>
      <c r="M456" s="735" t="e">
        <f>SUM(M387:M402)</f>
        <v>#REF!</v>
      </c>
      <c r="N456" s="870">
        <f>SUM(N387:N455)</f>
        <v>-145000</v>
      </c>
      <c r="O456" s="706"/>
      <c r="P456" s="736"/>
      <c r="Q456" s="711"/>
      <c r="R456" s="1151"/>
      <c r="S456" s="711"/>
      <c r="T456" s="706"/>
      <c r="U456" s="706"/>
      <c r="V456" s="722"/>
      <c r="W456" s="722"/>
      <c r="X456" s="722"/>
      <c r="Y456" s="722"/>
    </row>
    <row r="457" spans="1:25" x14ac:dyDescent="0.25">
      <c r="A457" s="686">
        <v>18</v>
      </c>
      <c r="B457" s="1187" t="s">
        <v>1068</v>
      </c>
      <c r="C457" s="1187">
        <v>1029</v>
      </c>
      <c r="D457" s="976" t="s">
        <v>1069</v>
      </c>
      <c r="E457" s="972" t="s">
        <v>1070</v>
      </c>
      <c r="F457" s="973">
        <v>2000000</v>
      </c>
      <c r="G457" s="974"/>
      <c r="H457" s="974">
        <v>2000000</v>
      </c>
      <c r="I457" s="974"/>
      <c r="J457" s="975"/>
      <c r="K457" s="974"/>
      <c r="L457" s="974">
        <f t="shared" ref="L457:L463" si="26">SUM(H457:K457)</f>
        <v>2000000</v>
      </c>
      <c r="M457" s="991" t="e">
        <f>IF(G457="",F457-L457-#REF!,G457-L457-#REF!)</f>
        <v>#REF!</v>
      </c>
      <c r="N457" s="1013">
        <f t="shared" si="22"/>
        <v>0</v>
      </c>
      <c r="O457" s="976"/>
      <c r="P457" s="977"/>
      <c r="Q457" s="974"/>
      <c r="R457" s="1147"/>
      <c r="S457" s="974"/>
      <c r="T457" s="976"/>
      <c r="V457" s="687" t="s">
        <v>1071</v>
      </c>
      <c r="W457" s="687">
        <v>800000</v>
      </c>
    </row>
    <row r="458" spans="1:25" x14ac:dyDescent="0.25">
      <c r="B458" s="1187" t="s">
        <v>1068</v>
      </c>
      <c r="C458" s="1187">
        <v>1029</v>
      </c>
      <c r="D458" s="976" t="s">
        <v>1359</v>
      </c>
      <c r="E458" s="976" t="s">
        <v>1073</v>
      </c>
      <c r="F458" s="973">
        <v>5000000</v>
      </c>
      <c r="G458" s="974">
        <v>12422500</v>
      </c>
      <c r="H458" s="974">
        <v>5000000</v>
      </c>
      <c r="I458" s="974">
        <v>5000000</v>
      </c>
      <c r="J458" s="975">
        <v>2422500</v>
      </c>
      <c r="K458" s="974"/>
      <c r="L458" s="974">
        <f t="shared" si="26"/>
        <v>12422500</v>
      </c>
      <c r="M458" s="991" t="e">
        <f>IF(G458="",F458-L458-#REF!,G458-L458-#REF!)</f>
        <v>#REF!</v>
      </c>
      <c r="N458" s="1013">
        <f t="shared" si="22"/>
        <v>0</v>
      </c>
      <c r="O458" s="976"/>
      <c r="P458" s="977"/>
      <c r="Q458" s="974"/>
      <c r="R458" s="1147"/>
      <c r="S458" s="974"/>
      <c r="T458" s="976"/>
      <c r="V458" s="687" t="s">
        <v>1074</v>
      </c>
      <c r="W458" s="687">
        <v>1620000</v>
      </c>
    </row>
    <row r="459" spans="1:25" x14ac:dyDescent="0.25">
      <c r="B459" s="1187" t="s">
        <v>1068</v>
      </c>
      <c r="C459" s="1187">
        <v>1029</v>
      </c>
      <c r="D459" s="976" t="s">
        <v>175</v>
      </c>
      <c r="E459" s="976" t="s">
        <v>1075</v>
      </c>
      <c r="F459" s="973">
        <v>1100000</v>
      </c>
      <c r="G459" s="974"/>
      <c r="H459" s="973">
        <v>1100000</v>
      </c>
      <c r="I459" s="974"/>
      <c r="J459" s="975"/>
      <c r="K459" s="974"/>
      <c r="L459" s="974">
        <f t="shared" si="26"/>
        <v>1100000</v>
      </c>
      <c r="M459" s="991" t="e">
        <f>IF(G459="",F459-L459-#REF!,G459-L459-#REF!)</f>
        <v>#REF!</v>
      </c>
      <c r="N459" s="1013">
        <f t="shared" si="22"/>
        <v>0</v>
      </c>
      <c r="O459" s="976"/>
      <c r="P459" s="977"/>
      <c r="Q459" s="974"/>
      <c r="R459" s="1147"/>
      <c r="S459" s="974"/>
      <c r="T459" s="976"/>
      <c r="V459" s="687" t="s">
        <v>1076</v>
      </c>
      <c r="W459" s="687">
        <v>1870000</v>
      </c>
    </row>
    <row r="460" spans="1:25" x14ac:dyDescent="0.25">
      <c r="B460" s="1187" t="s">
        <v>1068</v>
      </c>
      <c r="C460" s="1187">
        <v>1029</v>
      </c>
      <c r="D460" s="976" t="s">
        <v>823</v>
      </c>
      <c r="E460" s="976" t="s">
        <v>1075</v>
      </c>
      <c r="F460" s="973">
        <v>1584000</v>
      </c>
      <c r="G460" s="974"/>
      <c r="H460" s="973">
        <v>1584000</v>
      </c>
      <c r="I460" s="974"/>
      <c r="J460" s="975"/>
      <c r="K460" s="974"/>
      <c r="L460" s="974">
        <f t="shared" si="26"/>
        <v>1584000</v>
      </c>
      <c r="M460" s="991" t="e">
        <f>IF(G460="",F460-L460-#REF!,G460-L460-#REF!)</f>
        <v>#REF!</v>
      </c>
      <c r="N460" s="1013">
        <f t="shared" si="22"/>
        <v>0</v>
      </c>
      <c r="O460" s="976"/>
      <c r="P460" s="977"/>
      <c r="Q460" s="974"/>
      <c r="R460" s="1147"/>
      <c r="S460" s="974"/>
      <c r="T460" s="976"/>
      <c r="V460" s="721" t="s">
        <v>1077</v>
      </c>
      <c r="W460" s="749">
        <v>1860000</v>
      </c>
    </row>
    <row r="461" spans="1:25" x14ac:dyDescent="0.25">
      <c r="B461" s="1187" t="s">
        <v>1068</v>
      </c>
      <c r="C461" s="1187">
        <v>1029</v>
      </c>
      <c r="D461" s="976" t="s">
        <v>1078</v>
      </c>
      <c r="E461" s="976" t="s">
        <v>1079</v>
      </c>
      <c r="F461" s="973">
        <v>230853099</v>
      </c>
      <c r="G461" s="974">
        <v>238353099</v>
      </c>
      <c r="H461" s="973">
        <v>69255929</v>
      </c>
      <c r="I461" s="974">
        <v>169097171</v>
      </c>
      <c r="J461" s="975"/>
      <c r="K461" s="974"/>
      <c r="L461" s="974">
        <f t="shared" si="26"/>
        <v>238353100</v>
      </c>
      <c r="M461" s="991"/>
      <c r="N461" s="1013">
        <f t="shared" si="22"/>
        <v>-1</v>
      </c>
      <c r="O461" s="976"/>
      <c r="P461" s="977"/>
      <c r="Q461" s="974"/>
      <c r="R461" s="1147"/>
      <c r="S461" s="974"/>
      <c r="T461" s="976"/>
      <c r="V461" s="721"/>
      <c r="W461" s="1170"/>
    </row>
    <row r="462" spans="1:25" x14ac:dyDescent="0.25">
      <c r="B462" s="1187" t="s">
        <v>1068</v>
      </c>
      <c r="C462" s="1187">
        <v>1029</v>
      </c>
      <c r="D462" s="976" t="s">
        <v>1360</v>
      </c>
      <c r="E462" s="976" t="s">
        <v>1079</v>
      </c>
      <c r="F462" s="973">
        <v>71566000</v>
      </c>
      <c r="G462" s="974">
        <v>65292000</v>
      </c>
      <c r="H462" s="973">
        <v>35783000</v>
      </c>
      <c r="I462" s="974">
        <v>29509000</v>
      </c>
      <c r="J462" s="975"/>
      <c r="K462" s="974"/>
      <c r="L462" s="974">
        <f t="shared" si="26"/>
        <v>65292000</v>
      </c>
      <c r="M462" s="991"/>
      <c r="N462" s="1013">
        <f t="shared" si="22"/>
        <v>0</v>
      </c>
      <c r="O462" s="976"/>
      <c r="P462" s="977"/>
      <c r="Q462" s="974"/>
      <c r="R462" s="1147"/>
      <c r="S462" s="974"/>
      <c r="T462" s="976"/>
      <c r="V462" s="721"/>
      <c r="W462" s="1170"/>
    </row>
    <row r="463" spans="1:25" x14ac:dyDescent="0.25">
      <c r="B463" s="1187" t="s">
        <v>1068</v>
      </c>
      <c r="C463" s="1187">
        <v>1029</v>
      </c>
      <c r="D463" s="976" t="s">
        <v>1080</v>
      </c>
      <c r="E463" s="976" t="s">
        <v>1081</v>
      </c>
      <c r="F463" s="973">
        <f>3490000+4660000</f>
        <v>8150000</v>
      </c>
      <c r="G463" s="974"/>
      <c r="H463" s="973">
        <v>3490000</v>
      </c>
      <c r="I463" s="974">
        <v>4660000</v>
      </c>
      <c r="J463" s="975"/>
      <c r="K463" s="974"/>
      <c r="L463" s="974">
        <f t="shared" si="26"/>
        <v>8150000</v>
      </c>
      <c r="M463" s="991" t="e">
        <f>IF(G463="",F463-L463-#REF!,G463-L463-#REF!)</f>
        <v>#REF!</v>
      </c>
      <c r="N463" s="1013">
        <f t="shared" si="22"/>
        <v>0</v>
      </c>
      <c r="O463" s="976"/>
      <c r="P463" s="977"/>
      <c r="Q463" s="974"/>
      <c r="R463" s="1147"/>
      <c r="S463" s="974"/>
      <c r="T463" s="976"/>
      <c r="V463" s="687" t="s">
        <v>1240</v>
      </c>
      <c r="W463" s="687">
        <v>500000</v>
      </c>
    </row>
    <row r="464" spans="1:25" x14ac:dyDescent="0.25">
      <c r="B464" s="1187" t="s">
        <v>1068</v>
      </c>
      <c r="C464" s="1187">
        <v>1029</v>
      </c>
      <c r="D464" s="976" t="s">
        <v>1082</v>
      </c>
      <c r="E464" s="976" t="s">
        <v>1083</v>
      </c>
      <c r="F464" s="1108">
        <v>7200000</v>
      </c>
      <c r="G464" s="974"/>
      <c r="H464" s="973">
        <v>7200000</v>
      </c>
      <c r="I464" s="974"/>
      <c r="J464" s="975"/>
      <c r="K464" s="974"/>
      <c r="L464" s="974">
        <f t="shared" ref="L464:L485" si="27">SUM(H464:K464)</f>
        <v>7200000</v>
      </c>
      <c r="M464" s="991" t="e">
        <f>IF(G464="",F464-L464-#REF!,G464-L464-#REF!)</f>
        <v>#REF!</v>
      </c>
      <c r="N464" s="1013">
        <f t="shared" si="22"/>
        <v>0</v>
      </c>
      <c r="O464" s="976"/>
      <c r="P464" s="977"/>
      <c r="Q464" s="974"/>
      <c r="R464" s="1147"/>
      <c r="S464" s="974"/>
      <c r="T464" s="976"/>
    </row>
    <row r="465" spans="2:20" x14ac:dyDescent="0.25">
      <c r="B465" s="1187" t="s">
        <v>1068</v>
      </c>
      <c r="C465" s="1187">
        <v>1029</v>
      </c>
      <c r="D465" s="976" t="s">
        <v>394</v>
      </c>
      <c r="E465" s="976" t="s">
        <v>1084</v>
      </c>
      <c r="F465" s="973">
        <v>102780000</v>
      </c>
      <c r="G465" s="974">
        <v>112224000</v>
      </c>
      <c r="H465" s="973">
        <v>41112000</v>
      </c>
      <c r="I465" s="974">
        <v>41112000</v>
      </c>
      <c r="J465" s="975">
        <v>30000000</v>
      </c>
      <c r="K465" s="974"/>
      <c r="L465" s="974">
        <f t="shared" si="27"/>
        <v>112224000</v>
      </c>
      <c r="M465" s="991" t="e">
        <f>IF(G465="",F465-L465-#REF!,G465-L465-#REF!)</f>
        <v>#REF!</v>
      </c>
      <c r="N465" s="1013">
        <f t="shared" si="22"/>
        <v>0</v>
      </c>
      <c r="O465" s="976"/>
      <c r="P465" s="977"/>
      <c r="Q465" s="974"/>
      <c r="R465" s="1147"/>
      <c r="S465" s="974"/>
      <c r="T465" s="976"/>
    </row>
    <row r="466" spans="2:20" x14ac:dyDescent="0.25">
      <c r="B466" s="1187" t="s">
        <v>1068</v>
      </c>
      <c r="C466" s="1187">
        <v>1029</v>
      </c>
      <c r="D466" s="976" t="s">
        <v>1085</v>
      </c>
      <c r="E466" s="976" t="s">
        <v>887</v>
      </c>
      <c r="F466" s="1108">
        <v>40000000</v>
      </c>
      <c r="G466" s="974">
        <v>65700000</v>
      </c>
      <c r="H466" s="973">
        <v>20000000</v>
      </c>
      <c r="I466" s="974">
        <v>20000000</v>
      </c>
      <c r="J466" s="975">
        <v>15700000</v>
      </c>
      <c r="K466" s="974"/>
      <c r="L466" s="974">
        <f t="shared" si="27"/>
        <v>55700000</v>
      </c>
      <c r="M466" s="991" t="e">
        <f>IF(G466="",F466-L466-#REF!,G466-L466-#REF!)</f>
        <v>#REF!</v>
      </c>
      <c r="N466" s="1013">
        <f t="shared" si="22"/>
        <v>10000000</v>
      </c>
      <c r="O466" s="976"/>
      <c r="P466" s="977"/>
      <c r="Q466" s="974"/>
      <c r="R466" s="1147"/>
      <c r="S466" s="974"/>
      <c r="T466" s="976"/>
    </row>
    <row r="467" spans="2:20" x14ac:dyDescent="0.25">
      <c r="B467" s="1187" t="s">
        <v>1068</v>
      </c>
      <c r="C467" s="1187">
        <v>1029</v>
      </c>
      <c r="D467" s="976" t="s">
        <v>1086</v>
      </c>
      <c r="E467" s="972" t="s">
        <v>1060</v>
      </c>
      <c r="F467" s="974">
        <v>20951000</v>
      </c>
      <c r="G467" s="974"/>
      <c r="H467" s="973">
        <v>20951000</v>
      </c>
      <c r="I467" s="974"/>
      <c r="J467" s="975"/>
      <c r="K467" s="974"/>
      <c r="L467" s="974">
        <f t="shared" si="27"/>
        <v>20951000</v>
      </c>
      <c r="M467" s="991" t="e">
        <f>IF(G467="",F467-L467-#REF!,G467-L467-#REF!)</f>
        <v>#REF!</v>
      </c>
      <c r="N467" s="1013">
        <f t="shared" si="22"/>
        <v>0</v>
      </c>
      <c r="O467" s="976"/>
      <c r="P467" s="977"/>
      <c r="Q467" s="974"/>
      <c r="R467" s="1147"/>
      <c r="S467" s="974"/>
      <c r="T467" s="976"/>
    </row>
    <row r="468" spans="2:20" x14ac:dyDescent="0.25">
      <c r="B468" s="1187" t="s">
        <v>1068</v>
      </c>
      <c r="C468" s="1187">
        <v>1029</v>
      </c>
      <c r="D468" s="976" t="s">
        <v>1087</v>
      </c>
      <c r="E468" s="976" t="s">
        <v>1088</v>
      </c>
      <c r="F468" s="974">
        <v>15246000</v>
      </c>
      <c r="G468" s="974"/>
      <c r="H468" s="974">
        <v>15246000</v>
      </c>
      <c r="I468" s="974"/>
      <c r="J468" s="975"/>
      <c r="K468" s="974"/>
      <c r="L468" s="974">
        <f t="shared" si="27"/>
        <v>15246000</v>
      </c>
      <c r="M468" s="991" t="e">
        <f>IF(G468="",F468-L468-#REF!,G468-L468-#REF!)</f>
        <v>#REF!</v>
      </c>
      <c r="N468" s="1013">
        <f t="shared" si="22"/>
        <v>0</v>
      </c>
      <c r="O468" s="976"/>
      <c r="P468" s="977"/>
      <c r="Q468" s="974"/>
      <c r="R468" s="1147"/>
      <c r="S468" s="974"/>
      <c r="T468" s="976"/>
    </row>
    <row r="469" spans="2:20" x14ac:dyDescent="0.25">
      <c r="B469" s="1187" t="s">
        <v>1068</v>
      </c>
      <c r="C469" s="1187">
        <v>1029</v>
      </c>
      <c r="D469" s="976" t="s">
        <v>1089</v>
      </c>
      <c r="E469" s="976" t="s">
        <v>1090</v>
      </c>
      <c r="F469" s="973">
        <v>3158000</v>
      </c>
      <c r="G469" s="974"/>
      <c r="H469" s="973">
        <v>3158000</v>
      </c>
      <c r="I469" s="974"/>
      <c r="J469" s="975"/>
      <c r="K469" s="974"/>
      <c r="L469" s="974">
        <f t="shared" si="27"/>
        <v>3158000</v>
      </c>
      <c r="M469" s="991" t="e">
        <f>IF(G469="",F469-L469-#REF!,G469-L469-#REF!)</f>
        <v>#REF!</v>
      </c>
      <c r="N469" s="1013">
        <f t="shared" si="22"/>
        <v>0</v>
      </c>
      <c r="O469" s="976"/>
      <c r="P469" s="977"/>
      <c r="Q469" s="974"/>
      <c r="R469" s="1147"/>
      <c r="S469" s="974"/>
      <c r="T469" s="976"/>
    </row>
    <row r="470" spans="2:20" x14ac:dyDescent="0.25">
      <c r="B470" s="1187" t="s">
        <v>1068</v>
      </c>
      <c r="C470" s="1187">
        <v>1029</v>
      </c>
      <c r="D470" s="976" t="s">
        <v>1082</v>
      </c>
      <c r="E470" s="976" t="s">
        <v>1083</v>
      </c>
      <c r="F470" s="973">
        <v>8900000</v>
      </c>
      <c r="G470" s="974"/>
      <c r="H470" s="973">
        <v>8900000</v>
      </c>
      <c r="I470" s="974"/>
      <c r="J470" s="975"/>
      <c r="K470" s="974"/>
      <c r="L470" s="974">
        <f t="shared" si="27"/>
        <v>8900000</v>
      </c>
      <c r="M470" s="991" t="e">
        <f>IF(G470="",F470-L470-#REF!,G470-L470-#REF!)</f>
        <v>#REF!</v>
      </c>
      <c r="N470" s="1013">
        <f t="shared" si="22"/>
        <v>0</v>
      </c>
      <c r="O470" s="976"/>
      <c r="P470" s="977"/>
      <c r="Q470" s="974"/>
      <c r="R470" s="1147"/>
      <c r="S470" s="974"/>
      <c r="T470" s="976"/>
    </row>
    <row r="471" spans="2:20" x14ac:dyDescent="0.25">
      <c r="B471" s="1187" t="s">
        <v>1068</v>
      </c>
      <c r="C471" s="1187">
        <v>1029</v>
      </c>
      <c r="D471" s="976" t="s">
        <v>1091</v>
      </c>
      <c r="E471" s="976" t="s">
        <v>1090</v>
      </c>
      <c r="F471" s="973">
        <v>8270000</v>
      </c>
      <c r="G471" s="974"/>
      <c r="H471" s="973">
        <v>8270000</v>
      </c>
      <c r="I471" s="974"/>
      <c r="J471" s="975"/>
      <c r="K471" s="974"/>
      <c r="L471" s="974">
        <f t="shared" si="27"/>
        <v>8270000</v>
      </c>
      <c r="M471" s="991" t="e">
        <f>IF(G471="",F471-L471-#REF!,G471-L471-#REF!)</f>
        <v>#REF!</v>
      </c>
      <c r="N471" s="1013">
        <f t="shared" si="22"/>
        <v>0</v>
      </c>
      <c r="O471" s="976"/>
      <c r="P471" s="977"/>
      <c r="Q471" s="974"/>
      <c r="R471" s="1147"/>
      <c r="S471" s="974"/>
      <c r="T471" s="976"/>
    </row>
    <row r="472" spans="2:20" x14ac:dyDescent="0.25">
      <c r="B472" s="1187" t="s">
        <v>1068</v>
      </c>
      <c r="C472" s="1187">
        <v>1029</v>
      </c>
      <c r="D472" s="976" t="s">
        <v>1092</v>
      </c>
      <c r="E472" s="976" t="s">
        <v>1093</v>
      </c>
      <c r="F472" s="974">
        <v>35596000</v>
      </c>
      <c r="G472" s="974"/>
      <c r="H472" s="973">
        <v>17798000</v>
      </c>
      <c r="I472" s="974">
        <v>17798000</v>
      </c>
      <c r="J472" s="975"/>
      <c r="K472" s="974"/>
      <c r="L472" s="974">
        <f t="shared" si="27"/>
        <v>35596000</v>
      </c>
      <c r="M472" s="991" t="e">
        <f>IF(G472="",F472-L472-#REF!,G472-L472-#REF!)</f>
        <v>#REF!</v>
      </c>
      <c r="N472" s="1013">
        <f t="shared" si="22"/>
        <v>0</v>
      </c>
      <c r="O472" s="976"/>
      <c r="P472" s="977"/>
      <c r="Q472" s="974"/>
      <c r="R472" s="1147"/>
      <c r="S472" s="974"/>
      <c r="T472" s="976"/>
    </row>
    <row r="473" spans="2:20" x14ac:dyDescent="0.25">
      <c r="B473" s="1187" t="s">
        <v>1068</v>
      </c>
      <c r="C473" s="1187">
        <v>1029</v>
      </c>
      <c r="D473" s="976" t="s">
        <v>1094</v>
      </c>
      <c r="E473" s="976" t="s">
        <v>1095</v>
      </c>
      <c r="F473" s="1014">
        <v>665000</v>
      </c>
      <c r="G473" s="974"/>
      <c r="H473" s="1014">
        <v>665000</v>
      </c>
      <c r="I473" s="974"/>
      <c r="J473" s="975"/>
      <c r="K473" s="974"/>
      <c r="L473" s="974">
        <f t="shared" si="27"/>
        <v>665000</v>
      </c>
      <c r="M473" s="991"/>
      <c r="N473" s="1013">
        <f t="shared" si="22"/>
        <v>0</v>
      </c>
      <c r="O473" s="976"/>
      <c r="P473" s="977"/>
      <c r="Q473" s="974"/>
      <c r="R473" s="1147"/>
      <c r="S473" s="974"/>
      <c r="T473" s="976"/>
    </row>
    <row r="474" spans="2:20" x14ac:dyDescent="0.25">
      <c r="B474" s="1187" t="s">
        <v>1068</v>
      </c>
      <c r="C474" s="1187">
        <v>1029</v>
      </c>
      <c r="D474" s="976" t="s">
        <v>1361</v>
      </c>
      <c r="E474" s="976" t="s">
        <v>1362</v>
      </c>
      <c r="F474" s="1014">
        <v>145820000</v>
      </c>
      <c r="G474" s="974"/>
      <c r="H474" s="1014">
        <v>74590000</v>
      </c>
      <c r="I474" s="974">
        <v>71230000</v>
      </c>
      <c r="J474" s="975"/>
      <c r="K474" s="974"/>
      <c r="L474" s="974">
        <f t="shared" si="27"/>
        <v>145820000</v>
      </c>
      <c r="M474" s="991"/>
      <c r="N474" s="1013">
        <f t="shared" si="22"/>
        <v>0</v>
      </c>
      <c r="O474" s="976"/>
      <c r="P474" s="977"/>
      <c r="Q474" s="974"/>
      <c r="R474" s="1147"/>
      <c r="S474" s="974"/>
      <c r="T474" s="976"/>
    </row>
    <row r="475" spans="2:20" x14ac:dyDescent="0.25">
      <c r="B475" s="1187" t="s">
        <v>1068</v>
      </c>
      <c r="C475" s="1187">
        <v>1029</v>
      </c>
      <c r="D475" s="972" t="s">
        <v>215</v>
      </c>
      <c r="E475" s="972" t="s">
        <v>1363</v>
      </c>
      <c r="F475" s="1114">
        <v>9548000</v>
      </c>
      <c r="G475" s="1115"/>
      <c r="H475" s="1114">
        <v>2864400</v>
      </c>
      <c r="I475" s="1115">
        <v>6683600</v>
      </c>
      <c r="J475" s="975"/>
      <c r="K475" s="974"/>
      <c r="L475" s="974">
        <f t="shared" si="27"/>
        <v>9548000</v>
      </c>
      <c r="M475" s="991"/>
      <c r="N475" s="1013">
        <f t="shared" si="22"/>
        <v>0</v>
      </c>
      <c r="O475" s="976"/>
      <c r="P475" s="977"/>
      <c r="Q475" s="974"/>
      <c r="R475" s="1147"/>
      <c r="S475" s="974" t="s">
        <v>1364</v>
      </c>
      <c r="T475" s="977" t="s">
        <v>1365</v>
      </c>
    </row>
    <row r="476" spans="2:20" x14ac:dyDescent="0.25">
      <c r="B476" s="1187" t="s">
        <v>1068</v>
      </c>
      <c r="C476" s="1187">
        <v>1029</v>
      </c>
      <c r="D476" s="972" t="s">
        <v>1366</v>
      </c>
      <c r="E476" s="972" t="s">
        <v>1367</v>
      </c>
      <c r="F476" s="1114">
        <v>20472800</v>
      </c>
      <c r="G476" s="1115"/>
      <c r="H476" s="1114">
        <v>20472800</v>
      </c>
      <c r="I476" s="1115"/>
      <c r="J476" s="975"/>
      <c r="K476" s="974"/>
      <c r="L476" s="974">
        <f t="shared" si="27"/>
        <v>20472800</v>
      </c>
      <c r="M476" s="991"/>
      <c r="N476" s="1013">
        <f t="shared" si="22"/>
        <v>0</v>
      </c>
      <c r="O476" s="976"/>
      <c r="P476" s="977"/>
      <c r="Q476" s="974"/>
      <c r="R476" s="1147"/>
      <c r="S476" s="974"/>
      <c r="T476" s="976"/>
    </row>
    <row r="477" spans="2:20" x14ac:dyDescent="0.25">
      <c r="B477" s="1187" t="s">
        <v>1068</v>
      </c>
      <c r="C477" s="1187">
        <v>1029</v>
      </c>
      <c r="D477" s="972" t="s">
        <v>723</v>
      </c>
      <c r="E477" s="972" t="s">
        <v>1368</v>
      </c>
      <c r="F477" s="1114">
        <v>9570000</v>
      </c>
      <c r="G477" s="1115">
        <v>11154000</v>
      </c>
      <c r="H477" s="1114">
        <v>5742000</v>
      </c>
      <c r="I477" s="1115">
        <v>5412000</v>
      </c>
      <c r="J477" s="975"/>
      <c r="K477" s="974"/>
      <c r="L477" s="974">
        <f t="shared" si="27"/>
        <v>11154000</v>
      </c>
      <c r="M477" s="991"/>
      <c r="N477" s="1013">
        <f t="shared" si="22"/>
        <v>0</v>
      </c>
      <c r="O477" s="976"/>
      <c r="P477" s="977"/>
      <c r="Q477" s="974"/>
      <c r="R477" s="1147"/>
      <c r="S477" s="974"/>
      <c r="T477" s="976"/>
    </row>
    <row r="478" spans="2:20" x14ac:dyDescent="0.25">
      <c r="B478" s="1187" t="s">
        <v>1068</v>
      </c>
      <c r="C478" s="1187">
        <v>1029</v>
      </c>
      <c r="D478" s="976" t="s">
        <v>1369</v>
      </c>
      <c r="E478" s="976" t="s">
        <v>1370</v>
      </c>
      <c r="F478" s="1014">
        <v>18666500</v>
      </c>
      <c r="G478" s="974"/>
      <c r="H478" s="1014">
        <v>18666500</v>
      </c>
      <c r="I478" s="974"/>
      <c r="J478" s="975"/>
      <c r="K478" s="974"/>
      <c r="L478" s="974">
        <f t="shared" si="27"/>
        <v>18666500</v>
      </c>
      <c r="M478" s="991"/>
      <c r="N478" s="1013">
        <f t="shared" si="22"/>
        <v>0</v>
      </c>
      <c r="O478" s="976"/>
      <c r="P478" s="977"/>
      <c r="Q478" s="974"/>
      <c r="R478" s="1147"/>
      <c r="S478" s="974"/>
      <c r="T478" s="976"/>
    </row>
    <row r="479" spans="2:20" x14ac:dyDescent="0.25">
      <c r="B479" s="1187" t="s">
        <v>1068</v>
      </c>
      <c r="C479" s="1187">
        <v>1029</v>
      </c>
      <c r="D479" s="976" t="s">
        <v>1371</v>
      </c>
      <c r="E479" s="976" t="s">
        <v>1372</v>
      </c>
      <c r="F479" s="1014">
        <v>22477000</v>
      </c>
      <c r="G479" s="974"/>
      <c r="H479" s="1014">
        <v>22477000</v>
      </c>
      <c r="I479" s="974"/>
      <c r="J479" s="975"/>
      <c r="K479" s="974"/>
      <c r="L479" s="974">
        <f t="shared" si="27"/>
        <v>22477000</v>
      </c>
      <c r="M479" s="991"/>
      <c r="N479" s="1013">
        <f t="shared" si="22"/>
        <v>0</v>
      </c>
      <c r="O479" s="976"/>
      <c r="P479" s="977"/>
      <c r="Q479" s="974"/>
      <c r="R479" s="1147"/>
      <c r="S479" s="974"/>
      <c r="T479" s="976"/>
    </row>
    <row r="480" spans="2:20" x14ac:dyDescent="0.25">
      <c r="B480" s="1187" t="s">
        <v>1068</v>
      </c>
      <c r="C480" s="1187">
        <v>1029</v>
      </c>
      <c r="D480" s="976" t="s">
        <v>1373</v>
      </c>
      <c r="E480" s="976" t="s">
        <v>315</v>
      </c>
      <c r="F480" s="1014">
        <v>78574725</v>
      </c>
      <c r="G480" s="974"/>
      <c r="H480" s="1014">
        <v>15000000</v>
      </c>
      <c r="I480" s="974">
        <v>63574725</v>
      </c>
      <c r="J480" s="975"/>
      <c r="K480" s="974"/>
      <c r="L480" s="974">
        <f t="shared" si="27"/>
        <v>78574725</v>
      </c>
      <c r="M480" s="991"/>
      <c r="N480" s="1013">
        <f t="shared" si="22"/>
        <v>0</v>
      </c>
      <c r="O480" s="976"/>
      <c r="P480" s="977"/>
      <c r="Q480" s="974"/>
      <c r="R480" s="1147"/>
      <c r="S480" s="974"/>
      <c r="T480" s="976"/>
    </row>
    <row r="481" spans="1:25" x14ac:dyDescent="0.25">
      <c r="B481" s="1187" t="s">
        <v>1068</v>
      </c>
      <c r="C481" s="1187">
        <v>1029</v>
      </c>
      <c r="D481" s="976" t="s">
        <v>1374</v>
      </c>
      <c r="E481" s="976" t="s">
        <v>1375</v>
      </c>
      <c r="F481" s="1014">
        <v>2651000</v>
      </c>
      <c r="G481" s="974"/>
      <c r="H481" s="1014">
        <v>2651000</v>
      </c>
      <c r="I481" s="974"/>
      <c r="J481" s="975"/>
      <c r="K481" s="974"/>
      <c r="L481" s="974">
        <f t="shared" si="27"/>
        <v>2651000</v>
      </c>
      <c r="M481" s="991"/>
      <c r="N481" s="1013">
        <f t="shared" si="22"/>
        <v>0</v>
      </c>
      <c r="O481" s="976"/>
      <c r="P481" s="977"/>
      <c r="Q481" s="974"/>
      <c r="R481" s="1147"/>
      <c r="S481" s="974"/>
      <c r="T481" s="976"/>
    </row>
    <row r="482" spans="1:25" x14ac:dyDescent="0.25">
      <c r="B482" s="1187" t="s">
        <v>1068</v>
      </c>
      <c r="C482" s="1187">
        <v>1029</v>
      </c>
      <c r="D482" s="976" t="s">
        <v>1376</v>
      </c>
      <c r="E482" s="976" t="s">
        <v>1377</v>
      </c>
      <c r="F482" s="1014">
        <v>7700000</v>
      </c>
      <c r="G482" s="974"/>
      <c r="H482" s="1014">
        <v>7700000</v>
      </c>
      <c r="I482" s="974"/>
      <c r="J482" s="975"/>
      <c r="K482" s="974"/>
      <c r="L482" s="974">
        <f t="shared" si="27"/>
        <v>7700000</v>
      </c>
      <c r="M482" s="991"/>
      <c r="N482" s="1013">
        <f t="shared" si="22"/>
        <v>0</v>
      </c>
      <c r="O482" s="976"/>
      <c r="P482" s="977"/>
      <c r="Q482" s="974"/>
      <c r="R482" s="1147"/>
      <c r="S482" s="974"/>
      <c r="T482" s="976"/>
    </row>
    <row r="483" spans="1:25" x14ac:dyDescent="0.25">
      <c r="B483" s="1187" t="s">
        <v>1068</v>
      </c>
      <c r="C483" s="1187">
        <v>1029</v>
      </c>
      <c r="D483" s="976" t="s">
        <v>1378</v>
      </c>
      <c r="E483" s="976" t="s">
        <v>1261</v>
      </c>
      <c r="F483" s="1014">
        <v>571200</v>
      </c>
      <c r="G483" s="974"/>
      <c r="H483" s="1014">
        <v>571200</v>
      </c>
      <c r="I483" s="974"/>
      <c r="J483" s="975"/>
      <c r="K483" s="974"/>
      <c r="L483" s="974">
        <f t="shared" si="27"/>
        <v>571200</v>
      </c>
      <c r="M483" s="991"/>
      <c r="N483" s="1013">
        <f t="shared" si="22"/>
        <v>0</v>
      </c>
      <c r="O483" s="976"/>
      <c r="P483" s="977"/>
      <c r="Q483" s="974"/>
      <c r="R483" s="1147"/>
      <c r="S483" s="974"/>
      <c r="T483" s="976"/>
    </row>
    <row r="484" spans="1:25" x14ac:dyDescent="0.25">
      <c r="B484" s="1187" t="s">
        <v>1068</v>
      </c>
      <c r="C484" s="1187">
        <v>1029</v>
      </c>
      <c r="D484" s="976" t="s">
        <v>1379</v>
      </c>
      <c r="E484" s="976" t="s">
        <v>1380</v>
      </c>
      <c r="F484" s="1014">
        <v>20123000</v>
      </c>
      <c r="G484" s="974"/>
      <c r="H484" s="1014">
        <v>20123000</v>
      </c>
      <c r="I484" s="974"/>
      <c r="J484" s="975"/>
      <c r="K484" s="974"/>
      <c r="L484" s="974">
        <f t="shared" si="27"/>
        <v>20123000</v>
      </c>
      <c r="M484" s="991"/>
      <c r="N484" s="1013">
        <f t="shared" si="22"/>
        <v>0</v>
      </c>
      <c r="O484" s="976"/>
      <c r="P484" s="977"/>
      <c r="Q484" s="974"/>
      <c r="R484" s="1147"/>
      <c r="S484" s="974"/>
      <c r="T484" s="976"/>
    </row>
    <row r="485" spans="1:25" x14ac:dyDescent="0.25">
      <c r="B485" s="1187" t="s">
        <v>1068</v>
      </c>
      <c r="C485" s="1187">
        <v>1029</v>
      </c>
      <c r="D485" s="976" t="s">
        <v>947</v>
      </c>
      <c r="E485" s="976"/>
      <c r="F485" s="973">
        <v>8150000</v>
      </c>
      <c r="G485" s="974"/>
      <c r="H485" s="973">
        <f>W485</f>
        <v>6650000</v>
      </c>
      <c r="I485" s="974"/>
      <c r="J485" s="975"/>
      <c r="K485" s="974"/>
      <c r="L485" s="974">
        <f t="shared" si="27"/>
        <v>6650000</v>
      </c>
      <c r="M485" s="991" t="e">
        <f>IF(G485="",F485-L485-#REF!,G485-L485-#REF!)</f>
        <v>#REF!</v>
      </c>
      <c r="N485" s="1013">
        <f t="shared" si="22"/>
        <v>1500000</v>
      </c>
      <c r="O485" s="976"/>
      <c r="P485" s="977"/>
      <c r="Q485" s="974"/>
      <c r="R485" s="1147"/>
      <c r="S485" s="974"/>
      <c r="T485" s="976"/>
      <c r="V485" s="1000" t="s">
        <v>948</v>
      </c>
      <c r="W485" s="1000">
        <f>SUM(W457:W474)</f>
        <v>6650000</v>
      </c>
    </row>
    <row r="486" spans="1:25" s="723" customFormat="1" ht="15.75" x14ac:dyDescent="0.25">
      <c r="B486" s="720" t="s">
        <v>997</v>
      </c>
      <c r="C486" s="720"/>
      <c r="D486" s="699" t="s">
        <v>1068</v>
      </c>
      <c r="E486" s="700"/>
      <c r="F486" s="724"/>
      <c r="G486" s="702"/>
      <c r="H486" s="711"/>
      <c r="I486" s="701"/>
      <c r="J486" s="726"/>
      <c r="K486" s="702"/>
      <c r="L486" s="707">
        <f>SUM(L457:L485)</f>
        <v>941219825</v>
      </c>
      <c r="M486" s="707" t="e">
        <f>SUM(M457:M485)</f>
        <v>#REF!</v>
      </c>
      <c r="N486" s="869">
        <f>SUM(N457:N485)</f>
        <v>11499999</v>
      </c>
      <c r="O486" s="700"/>
      <c r="P486" s="704"/>
      <c r="Q486" s="742"/>
      <c r="R486" s="1148"/>
      <c r="S486" s="742"/>
      <c r="T486" s="705"/>
      <c r="U486" s="705"/>
      <c r="V486" s="722"/>
      <c r="W486" s="722"/>
      <c r="X486" s="722"/>
      <c r="Y486" s="722"/>
    </row>
    <row r="487" spans="1:25" x14ac:dyDescent="0.25">
      <c r="A487" s="686">
        <v>19</v>
      </c>
      <c r="B487" s="1187" t="s">
        <v>1096</v>
      </c>
      <c r="C487" s="1187">
        <v>1017</v>
      </c>
      <c r="D487" s="976" t="s">
        <v>1097</v>
      </c>
      <c r="E487" s="972" t="s">
        <v>1381</v>
      </c>
      <c r="F487" s="973">
        <v>30000000</v>
      </c>
      <c r="G487" s="974"/>
      <c r="H487" s="974">
        <v>30000000</v>
      </c>
      <c r="I487" s="974"/>
      <c r="J487" s="975"/>
      <c r="K487" s="974"/>
      <c r="L487" s="974">
        <f t="shared" ref="L487:L520" si="28">SUM(H487:K487)</f>
        <v>30000000</v>
      </c>
      <c r="M487" s="991" t="e">
        <f>IF(G487="",F487-L487-#REF!,G487-L487-#REF!)</f>
        <v>#REF!</v>
      </c>
      <c r="N487" s="1013">
        <f t="shared" si="22"/>
        <v>0</v>
      </c>
      <c r="O487" s="976"/>
      <c r="P487" s="977"/>
      <c r="Q487" s="974"/>
      <c r="R487" s="1147"/>
      <c r="S487" s="974"/>
      <c r="T487" s="976"/>
      <c r="V487" s="687" t="s">
        <v>1074</v>
      </c>
      <c r="W487" s="687">
        <v>840000</v>
      </c>
    </row>
    <row r="488" spans="1:25" x14ac:dyDescent="0.25">
      <c r="B488" s="1187" t="s">
        <v>1096</v>
      </c>
      <c r="C488" s="1187">
        <v>1017</v>
      </c>
      <c r="D488" s="976" t="s">
        <v>1099</v>
      </c>
      <c r="E488" s="972" t="s">
        <v>1382</v>
      </c>
      <c r="F488" s="973">
        <v>11260004.285714287</v>
      </c>
      <c r="G488" s="974"/>
      <c r="H488" s="974">
        <v>7882003.0000000009</v>
      </c>
      <c r="I488" s="974">
        <v>3378000</v>
      </c>
      <c r="J488" s="975"/>
      <c r="K488" s="974"/>
      <c r="L488" s="974">
        <f t="shared" si="28"/>
        <v>11260003</v>
      </c>
      <c r="M488" s="991" t="e">
        <f>IF(G488="",F488-L488-#REF!,G488-L488-#REF!)</f>
        <v>#REF!</v>
      </c>
      <c r="N488" s="1013">
        <f t="shared" si="22"/>
        <v>1.2857142873108387</v>
      </c>
      <c r="O488" s="976"/>
      <c r="P488" s="977"/>
      <c r="Q488" s="974"/>
      <c r="R488" s="1147"/>
      <c r="S488" s="974"/>
      <c r="T488" s="976"/>
      <c r="V488" s="687" t="s">
        <v>1076</v>
      </c>
      <c r="W488" s="687">
        <v>1960000</v>
      </c>
    </row>
    <row r="489" spans="1:25" x14ac:dyDescent="0.25">
      <c r="B489" s="1187" t="s">
        <v>1096</v>
      </c>
      <c r="C489" s="1187">
        <v>1017</v>
      </c>
      <c r="D489" s="976" t="s">
        <v>1100</v>
      </c>
      <c r="E489" s="976" t="s">
        <v>1101</v>
      </c>
      <c r="F489" s="1108">
        <v>5000000</v>
      </c>
      <c r="G489" s="974"/>
      <c r="H489" s="974">
        <v>5000000</v>
      </c>
      <c r="I489" s="974"/>
      <c r="J489" s="975"/>
      <c r="K489" s="974"/>
      <c r="L489" s="974">
        <f t="shared" si="28"/>
        <v>5000000</v>
      </c>
      <c r="M489" s="991" t="e">
        <f>IF(G489="",F489-L489-#REF!,G489-L489-#REF!)</f>
        <v>#REF!</v>
      </c>
      <c r="N489" s="1013">
        <f t="shared" si="22"/>
        <v>0</v>
      </c>
      <c r="O489" s="976"/>
      <c r="P489" s="977"/>
      <c r="Q489" s="974"/>
      <c r="R489" s="1147"/>
      <c r="S489" s="974"/>
      <c r="T489" s="976"/>
      <c r="V489" s="721" t="s">
        <v>1077</v>
      </c>
      <c r="W489" s="749">
        <v>1680000</v>
      </c>
    </row>
    <row r="490" spans="1:25" x14ac:dyDescent="0.25">
      <c r="B490" s="1187" t="s">
        <v>1096</v>
      </c>
      <c r="C490" s="1187">
        <v>1017</v>
      </c>
      <c r="D490" s="976" t="s">
        <v>1102</v>
      </c>
      <c r="E490" s="972" t="s">
        <v>1060</v>
      </c>
      <c r="F490" s="973">
        <v>1900000</v>
      </c>
      <c r="G490" s="974"/>
      <c r="H490" s="973">
        <v>1900000</v>
      </c>
      <c r="I490" s="974"/>
      <c r="J490" s="975"/>
      <c r="K490" s="974"/>
      <c r="L490" s="974">
        <f t="shared" si="28"/>
        <v>1900000</v>
      </c>
      <c r="M490" s="991" t="e">
        <f>IF(G490="",F490-L490-#REF!,G490-L490-#REF!)</f>
        <v>#REF!</v>
      </c>
      <c r="N490" s="1013">
        <f t="shared" si="22"/>
        <v>0</v>
      </c>
      <c r="O490" s="976"/>
      <c r="P490" s="977"/>
      <c r="Q490" s="974"/>
      <c r="R490" s="1147"/>
      <c r="S490" s="974"/>
      <c r="T490" s="976"/>
      <c r="V490" s="721" t="s">
        <v>1211</v>
      </c>
      <c r="W490" s="687">
        <v>1990000</v>
      </c>
    </row>
    <row r="491" spans="1:25" x14ac:dyDescent="0.25">
      <c r="B491" s="1187" t="s">
        <v>1096</v>
      </c>
      <c r="C491" s="1187">
        <v>1017</v>
      </c>
      <c r="D491" s="976" t="s">
        <v>1103</v>
      </c>
      <c r="E491" s="972" t="s">
        <v>1060</v>
      </c>
      <c r="F491" s="973">
        <v>2282000</v>
      </c>
      <c r="G491" s="974"/>
      <c r="H491" s="973">
        <v>2282000</v>
      </c>
      <c r="I491" s="974"/>
      <c r="J491" s="975"/>
      <c r="K491" s="974"/>
      <c r="L491" s="974">
        <f t="shared" si="28"/>
        <v>2282000</v>
      </c>
      <c r="M491" s="991" t="e">
        <f>IF(G491="",F491-L491-#REF!,G491-L491-#REF!)</f>
        <v>#REF!</v>
      </c>
      <c r="N491" s="1013">
        <f t="shared" si="22"/>
        <v>0</v>
      </c>
      <c r="O491" s="976"/>
      <c r="P491" s="977"/>
      <c r="Q491" s="974"/>
      <c r="R491" s="1147"/>
      <c r="S491" s="974"/>
      <c r="T491" s="976"/>
      <c r="V491" s="687" t="s">
        <v>1240</v>
      </c>
      <c r="W491" s="687">
        <v>1892000</v>
      </c>
    </row>
    <row r="492" spans="1:25" x14ac:dyDescent="0.25">
      <c r="B492" s="1187" t="s">
        <v>1096</v>
      </c>
      <c r="C492" s="1187">
        <v>1017</v>
      </c>
      <c r="D492" s="976" t="s">
        <v>1104</v>
      </c>
      <c r="E492" s="1109">
        <v>126</v>
      </c>
      <c r="F492" s="973">
        <v>200000000</v>
      </c>
      <c r="G492" s="974"/>
      <c r="H492" s="973">
        <v>200000000</v>
      </c>
      <c r="I492" s="974"/>
      <c r="J492" s="975"/>
      <c r="K492" s="974"/>
      <c r="L492" s="974">
        <f t="shared" si="28"/>
        <v>200000000</v>
      </c>
      <c r="M492" s="991" t="e">
        <f>IF(G492="",F492-L492-#REF!,G492-L492-#REF!)</f>
        <v>#REF!</v>
      </c>
      <c r="N492" s="1013">
        <f t="shared" si="22"/>
        <v>0</v>
      </c>
      <c r="O492" s="976"/>
      <c r="P492" s="977"/>
      <c r="Q492" s="974"/>
      <c r="R492" s="1147"/>
      <c r="S492" s="974"/>
      <c r="T492" s="976"/>
      <c r="V492" s="687" t="s">
        <v>1241</v>
      </c>
      <c r="W492" s="687">
        <v>2104000</v>
      </c>
    </row>
    <row r="493" spans="1:25" x14ac:dyDescent="0.25">
      <c r="B493" s="1187" t="s">
        <v>1096</v>
      </c>
      <c r="C493" s="1187">
        <v>1017</v>
      </c>
      <c r="D493" s="976" t="s">
        <v>1105</v>
      </c>
      <c r="E493" s="976" t="s">
        <v>815</v>
      </c>
      <c r="F493" s="974">
        <v>16108313</v>
      </c>
      <c r="G493" s="974"/>
      <c r="H493" s="973">
        <f>F493</f>
        <v>16108313</v>
      </c>
      <c r="I493" s="974"/>
      <c r="J493" s="975"/>
      <c r="K493" s="974"/>
      <c r="L493" s="974">
        <f t="shared" si="28"/>
        <v>16108313</v>
      </c>
      <c r="M493" s="991" t="e">
        <f>IF(G493="",F493-L493-#REF!,G493-L493-#REF!)</f>
        <v>#REF!</v>
      </c>
      <c r="N493" s="1013">
        <f t="shared" si="22"/>
        <v>0</v>
      </c>
      <c r="O493" s="976"/>
      <c r="P493" s="977"/>
      <c r="Q493" s="974"/>
      <c r="R493" s="1147"/>
      <c r="S493" s="974"/>
      <c r="T493" s="976"/>
      <c r="V493" s="687" t="s">
        <v>1242</v>
      </c>
      <c r="W493" s="687">
        <v>2240000</v>
      </c>
    </row>
    <row r="494" spans="1:25" x14ac:dyDescent="0.25">
      <c r="B494" s="1187" t="s">
        <v>1096</v>
      </c>
      <c r="C494" s="1187">
        <v>1017</v>
      </c>
      <c r="D494" s="976" t="s">
        <v>1106</v>
      </c>
      <c r="E494" s="976" t="s">
        <v>815</v>
      </c>
      <c r="F494" s="974">
        <f>645000</f>
        <v>645000</v>
      </c>
      <c r="G494" s="974"/>
      <c r="H494" s="973">
        <f>F494</f>
        <v>645000</v>
      </c>
      <c r="I494" s="974"/>
      <c r="J494" s="975"/>
      <c r="K494" s="974"/>
      <c r="L494" s="974">
        <f t="shared" si="28"/>
        <v>645000</v>
      </c>
      <c r="M494" s="991" t="e">
        <f>IF(G494="",F494-L494-#REF!,G494-L494-#REF!)</f>
        <v>#REF!</v>
      </c>
      <c r="N494" s="1013">
        <f t="shared" si="22"/>
        <v>0</v>
      </c>
      <c r="O494" s="976"/>
      <c r="P494" s="977"/>
      <c r="Q494" s="974"/>
      <c r="R494" s="1147"/>
      <c r="S494" s="974"/>
      <c r="T494" s="976"/>
      <c r="V494" s="687" t="s">
        <v>1243</v>
      </c>
      <c r="W494" s="687">
        <v>1680000</v>
      </c>
    </row>
    <row r="495" spans="1:25" x14ac:dyDescent="0.25">
      <c r="B495" s="1187" t="s">
        <v>1096</v>
      </c>
      <c r="C495" s="1187">
        <v>1017</v>
      </c>
      <c r="D495" s="976" t="s">
        <v>1107</v>
      </c>
      <c r="E495" s="976" t="s">
        <v>1108</v>
      </c>
      <c r="F495" s="974">
        <v>7488000</v>
      </c>
      <c r="G495" s="974"/>
      <c r="H495" s="974">
        <v>7488000</v>
      </c>
      <c r="I495" s="974"/>
      <c r="J495" s="975"/>
      <c r="K495" s="974"/>
      <c r="L495" s="974">
        <f t="shared" si="28"/>
        <v>7488000</v>
      </c>
      <c r="M495" s="991" t="e">
        <f>IF(G495="",F495-L495-#REF!,G495-L495-#REF!)</f>
        <v>#REF!</v>
      </c>
      <c r="N495" s="1013">
        <f t="shared" si="22"/>
        <v>0</v>
      </c>
      <c r="O495" s="976"/>
      <c r="P495" s="977"/>
      <c r="Q495" s="974"/>
      <c r="R495" s="1147"/>
      <c r="S495" s="974"/>
      <c r="T495" s="976"/>
    </row>
    <row r="496" spans="1:25" x14ac:dyDescent="0.25">
      <c r="B496" s="1187" t="s">
        <v>1096</v>
      </c>
      <c r="C496" s="1187">
        <v>1017</v>
      </c>
      <c r="D496" s="976" t="s">
        <v>1109</v>
      </c>
      <c r="E496" s="976" t="s">
        <v>1110</v>
      </c>
      <c r="F496" s="974">
        <v>368043720</v>
      </c>
      <c r="G496" s="974">
        <v>367897750</v>
      </c>
      <c r="H496" s="973">
        <v>110413116</v>
      </c>
      <c r="I496" s="974">
        <v>147217488</v>
      </c>
      <c r="J496" s="975">
        <v>110267146</v>
      </c>
      <c r="K496" s="974"/>
      <c r="L496" s="974">
        <f t="shared" si="28"/>
        <v>367897750</v>
      </c>
      <c r="M496" s="991"/>
      <c r="N496" s="1013">
        <f t="shared" si="22"/>
        <v>0</v>
      </c>
      <c r="O496" s="976"/>
      <c r="P496" s="977"/>
      <c r="Q496" s="974"/>
      <c r="R496" s="1147"/>
      <c r="S496" s="974"/>
      <c r="T496" s="976" t="s">
        <v>1323</v>
      </c>
    </row>
    <row r="497" spans="2:20" x14ac:dyDescent="0.25">
      <c r="B497" s="1187" t="s">
        <v>1096</v>
      </c>
      <c r="C497" s="1187">
        <v>1017</v>
      </c>
      <c r="D497" s="976" t="s">
        <v>1109</v>
      </c>
      <c r="E497" s="976" t="s">
        <v>1113</v>
      </c>
      <c r="F497" s="974">
        <v>37514950</v>
      </c>
      <c r="G497" s="974">
        <v>45416800</v>
      </c>
      <c r="H497" s="974">
        <v>26260465</v>
      </c>
      <c r="I497" s="974">
        <v>19156335</v>
      </c>
      <c r="J497" s="975"/>
      <c r="K497" s="974"/>
      <c r="L497" s="974">
        <f t="shared" si="28"/>
        <v>45416800</v>
      </c>
      <c r="M497" s="991"/>
      <c r="N497" s="1013">
        <f t="shared" si="22"/>
        <v>0</v>
      </c>
      <c r="O497" s="976"/>
      <c r="P497" s="977"/>
      <c r="Q497" s="974"/>
      <c r="R497" s="1147"/>
      <c r="S497" s="974"/>
      <c r="T497" s="976"/>
    </row>
    <row r="498" spans="2:20" x14ac:dyDescent="0.25">
      <c r="B498" s="1187" t="s">
        <v>1096</v>
      </c>
      <c r="C498" s="1187">
        <v>1017</v>
      </c>
      <c r="D498" s="976" t="s">
        <v>1115</v>
      </c>
      <c r="E498" s="976" t="s">
        <v>700</v>
      </c>
      <c r="F498" s="974">
        <v>149180000</v>
      </c>
      <c r="G498" s="974">
        <v>145820000</v>
      </c>
      <c r="H498" s="973">
        <v>74590000</v>
      </c>
      <c r="I498" s="974">
        <v>71230000</v>
      </c>
      <c r="J498" s="975"/>
      <c r="K498" s="974"/>
      <c r="L498" s="974">
        <f>SUM(H498:K498)</f>
        <v>145820000</v>
      </c>
      <c r="M498" s="991"/>
      <c r="N498" s="1013">
        <f>IF($G498="",($F498-$L498),($G498-$L498))</f>
        <v>0</v>
      </c>
      <c r="O498" s="976"/>
      <c r="P498" s="977"/>
      <c r="Q498" s="974"/>
      <c r="R498" s="1147"/>
      <c r="S498" s="974"/>
      <c r="T498" s="976"/>
    </row>
    <row r="499" spans="2:20" x14ac:dyDescent="0.25">
      <c r="B499" s="1187" t="s">
        <v>1096</v>
      </c>
      <c r="C499" s="1187">
        <v>1017</v>
      </c>
      <c r="D499" s="976" t="s">
        <v>1116</v>
      </c>
      <c r="E499" s="976" t="s">
        <v>1383</v>
      </c>
      <c r="F499" s="974">
        <v>17538781</v>
      </c>
      <c r="G499" s="974"/>
      <c r="H499" s="973">
        <v>8769390</v>
      </c>
      <c r="I499" s="974">
        <v>8769391</v>
      </c>
      <c r="J499" s="975"/>
      <c r="K499" s="974"/>
      <c r="L499" s="974">
        <f t="shared" si="28"/>
        <v>17538781</v>
      </c>
      <c r="M499" s="991"/>
      <c r="N499" s="1013">
        <f t="shared" si="22"/>
        <v>0</v>
      </c>
      <c r="O499" s="976"/>
      <c r="P499" s="977"/>
      <c r="Q499" s="974"/>
      <c r="R499" s="1147"/>
      <c r="S499" s="974"/>
      <c r="T499" s="976"/>
    </row>
    <row r="500" spans="2:20" x14ac:dyDescent="0.25">
      <c r="B500" s="1187" t="s">
        <v>1096</v>
      </c>
      <c r="C500" s="1187">
        <v>1017</v>
      </c>
      <c r="D500" s="976" t="s">
        <v>1099</v>
      </c>
      <c r="E500" s="976" t="s">
        <v>1119</v>
      </c>
      <c r="F500" s="1014">
        <v>1340900</v>
      </c>
      <c r="G500" s="974"/>
      <c r="H500" s="1014">
        <v>1340900</v>
      </c>
      <c r="I500" s="974"/>
      <c r="J500" s="975"/>
      <c r="K500" s="974"/>
      <c r="L500" s="974">
        <f t="shared" si="28"/>
        <v>1340900</v>
      </c>
      <c r="M500" s="991"/>
      <c r="N500" s="1013">
        <f t="shared" si="22"/>
        <v>0</v>
      </c>
      <c r="O500" s="976"/>
      <c r="P500" s="977"/>
      <c r="Q500" s="974"/>
      <c r="R500" s="1147"/>
      <c r="S500" s="974"/>
      <c r="T500" s="976"/>
    </row>
    <row r="501" spans="2:20" x14ac:dyDescent="0.25">
      <c r="B501" s="1187" t="s">
        <v>1096</v>
      </c>
      <c r="C501" s="1187">
        <v>1017</v>
      </c>
      <c r="D501" s="976" t="s">
        <v>1121</v>
      </c>
      <c r="E501" s="976" t="s">
        <v>1122</v>
      </c>
      <c r="F501" s="1014">
        <v>54000000</v>
      </c>
      <c r="G501" s="974">
        <v>160600000</v>
      </c>
      <c r="H501" s="1014">
        <v>54000000</v>
      </c>
      <c r="I501" s="974">
        <v>72000000</v>
      </c>
      <c r="J501" s="975">
        <v>34600000</v>
      </c>
      <c r="K501" s="974"/>
      <c r="L501" s="974">
        <f t="shared" si="28"/>
        <v>160600000</v>
      </c>
      <c r="M501" s="991"/>
      <c r="N501" s="1013">
        <f t="shared" si="22"/>
        <v>0</v>
      </c>
      <c r="O501" s="976"/>
      <c r="P501" s="977"/>
      <c r="Q501" s="974"/>
      <c r="R501" s="1147"/>
      <c r="S501" s="974"/>
      <c r="T501" s="976"/>
    </row>
    <row r="502" spans="2:20" x14ac:dyDescent="0.25">
      <c r="B502" s="1187" t="s">
        <v>1096</v>
      </c>
      <c r="C502" s="1187">
        <v>1017</v>
      </c>
      <c r="D502" s="976" t="s">
        <v>1123</v>
      </c>
      <c r="E502" s="976" t="s">
        <v>1124</v>
      </c>
      <c r="F502" s="1014">
        <v>97360000</v>
      </c>
      <c r="G502" s="974"/>
      <c r="H502" s="1014">
        <v>30000000</v>
      </c>
      <c r="I502" s="974">
        <v>30000000</v>
      </c>
      <c r="J502" s="975">
        <v>20000000</v>
      </c>
      <c r="K502" s="974">
        <v>17360000</v>
      </c>
      <c r="L502" s="974">
        <f t="shared" si="28"/>
        <v>97360000</v>
      </c>
      <c r="M502" s="991"/>
      <c r="N502" s="1013">
        <f t="shared" si="22"/>
        <v>0</v>
      </c>
      <c r="O502" s="976"/>
      <c r="P502" s="977"/>
      <c r="Q502" s="974"/>
      <c r="R502" s="1147"/>
      <c r="S502" s="974"/>
      <c r="T502" s="976"/>
    </row>
    <row r="503" spans="2:20" x14ac:dyDescent="0.25">
      <c r="B503" s="1187" t="s">
        <v>1096</v>
      </c>
      <c r="C503" s="1187">
        <v>1017</v>
      </c>
      <c r="D503" s="976" t="s">
        <v>1099</v>
      </c>
      <c r="E503" s="976" t="s">
        <v>1382</v>
      </c>
      <c r="F503" s="1014">
        <v>207020000</v>
      </c>
      <c r="G503" s="974"/>
      <c r="H503" s="1014">
        <v>62106000</v>
      </c>
      <c r="I503" s="974">
        <v>57965600</v>
      </c>
      <c r="J503" s="975">
        <v>86948400</v>
      </c>
      <c r="K503" s="974"/>
      <c r="L503" s="974">
        <f t="shared" si="28"/>
        <v>207020000</v>
      </c>
      <c r="M503" s="991"/>
      <c r="N503" s="1013">
        <f t="shared" si="22"/>
        <v>0</v>
      </c>
      <c r="O503" s="976"/>
      <c r="P503" s="977"/>
      <c r="Q503" s="974"/>
      <c r="R503" s="1147"/>
      <c r="S503" s="974"/>
      <c r="T503" s="976"/>
    </row>
    <row r="504" spans="2:20" x14ac:dyDescent="0.25">
      <c r="B504" s="1187" t="s">
        <v>1096</v>
      </c>
      <c r="C504" s="1187">
        <v>1017</v>
      </c>
      <c r="D504" s="976" t="s">
        <v>1099</v>
      </c>
      <c r="E504" s="976" t="s">
        <v>1125</v>
      </c>
      <c r="F504" s="1014">
        <v>4290000</v>
      </c>
      <c r="G504" s="974"/>
      <c r="H504" s="1014">
        <v>4290000</v>
      </c>
      <c r="I504" s="974"/>
      <c r="J504" s="975"/>
      <c r="K504" s="974"/>
      <c r="L504" s="974">
        <f t="shared" si="28"/>
        <v>4290000</v>
      </c>
      <c r="M504" s="991"/>
      <c r="N504" s="1013">
        <f t="shared" si="22"/>
        <v>0</v>
      </c>
      <c r="O504" s="976"/>
      <c r="P504" s="977"/>
      <c r="Q504" s="974"/>
      <c r="R504" s="1147"/>
      <c r="S504" s="974"/>
      <c r="T504" s="976"/>
    </row>
    <row r="505" spans="2:20" x14ac:dyDescent="0.25">
      <c r="B505" s="1187" t="s">
        <v>1096</v>
      </c>
      <c r="C505" s="1187">
        <v>1017</v>
      </c>
      <c r="D505" s="976" t="s">
        <v>1104</v>
      </c>
      <c r="E505" s="976" t="s">
        <v>1384</v>
      </c>
      <c r="F505" s="1014">
        <v>127488000</v>
      </c>
      <c r="G505" s="974"/>
      <c r="H505" s="1014">
        <v>41356800</v>
      </c>
      <c r="I505" s="974">
        <v>63744000</v>
      </c>
      <c r="J505" s="975">
        <v>22387200</v>
      </c>
      <c r="K505" s="974"/>
      <c r="L505" s="974">
        <f t="shared" si="28"/>
        <v>127488000</v>
      </c>
      <c r="M505" s="991"/>
      <c r="N505" s="1013">
        <f t="shared" si="22"/>
        <v>0</v>
      </c>
      <c r="O505" s="976"/>
      <c r="P505" s="977"/>
      <c r="Q505" s="974"/>
      <c r="R505" s="1147"/>
      <c r="S505" s="974"/>
      <c r="T505" s="976"/>
    </row>
    <row r="506" spans="2:20" x14ac:dyDescent="0.25">
      <c r="B506" s="1187" t="s">
        <v>1096</v>
      </c>
      <c r="C506" s="1187">
        <v>1017</v>
      </c>
      <c r="D506" s="976" t="s">
        <v>1385</v>
      </c>
      <c r="E506" s="976" t="s">
        <v>1386</v>
      </c>
      <c r="F506" s="1014">
        <v>55664400</v>
      </c>
      <c r="G506" s="974"/>
      <c r="H506" s="1014">
        <v>55664400</v>
      </c>
      <c r="I506" s="974"/>
      <c r="J506" s="975"/>
      <c r="K506" s="974"/>
      <c r="L506" s="974">
        <f t="shared" si="28"/>
        <v>55664400</v>
      </c>
      <c r="M506" s="991"/>
      <c r="N506" s="1013">
        <f t="shared" si="22"/>
        <v>0</v>
      </c>
      <c r="O506" s="976"/>
      <c r="P506" s="977"/>
      <c r="Q506" s="974"/>
      <c r="R506" s="1147"/>
      <c r="S506" s="974"/>
      <c r="T506" s="976"/>
    </row>
    <row r="507" spans="2:20" x14ac:dyDescent="0.25">
      <c r="B507" s="1187" t="s">
        <v>1096</v>
      </c>
      <c r="C507" s="1187">
        <v>1017</v>
      </c>
      <c r="D507" s="976" t="s">
        <v>1387</v>
      </c>
      <c r="E507" s="976" t="s">
        <v>1388</v>
      </c>
      <c r="F507" s="1014">
        <v>59708880</v>
      </c>
      <c r="G507" s="974">
        <v>57657600</v>
      </c>
      <c r="H507" s="1014">
        <v>29854440</v>
      </c>
      <c r="I507" s="974">
        <v>27803160</v>
      </c>
      <c r="J507" s="975"/>
      <c r="K507" s="974"/>
      <c r="L507" s="974">
        <f t="shared" si="28"/>
        <v>57657600</v>
      </c>
      <c r="M507" s="991"/>
      <c r="N507" s="1013">
        <f t="shared" si="22"/>
        <v>0</v>
      </c>
      <c r="O507" s="976"/>
      <c r="P507" s="977"/>
      <c r="Q507" s="974">
        <v>57657600</v>
      </c>
      <c r="R507" s="1147" t="s">
        <v>1389</v>
      </c>
      <c r="S507" s="974"/>
      <c r="T507" s="976"/>
    </row>
    <row r="508" spans="2:20" x14ac:dyDescent="0.25">
      <c r="B508" s="1187" t="s">
        <v>1096</v>
      </c>
      <c r="C508" s="1187">
        <v>1017</v>
      </c>
      <c r="D508" s="976" t="s">
        <v>1390</v>
      </c>
      <c r="E508" s="976" t="s">
        <v>1088</v>
      </c>
      <c r="F508" s="1014">
        <v>29504000</v>
      </c>
      <c r="G508" s="974"/>
      <c r="H508" s="1014">
        <v>29504000</v>
      </c>
      <c r="I508" s="974"/>
      <c r="J508" s="975"/>
      <c r="K508" s="974"/>
      <c r="L508" s="974">
        <f t="shared" si="28"/>
        <v>29504000</v>
      </c>
      <c r="M508" s="991"/>
      <c r="N508" s="1013">
        <f t="shared" si="22"/>
        <v>0</v>
      </c>
      <c r="O508" s="976"/>
      <c r="P508" s="977"/>
      <c r="Q508" s="974"/>
      <c r="R508" s="1147"/>
      <c r="S508" s="974"/>
      <c r="T508" s="976"/>
    </row>
    <row r="509" spans="2:20" x14ac:dyDescent="0.25">
      <c r="B509" s="1187" t="s">
        <v>1096</v>
      </c>
      <c r="C509" s="1187">
        <v>1017</v>
      </c>
      <c r="D509" s="1087" t="s">
        <v>1391</v>
      </c>
      <c r="E509" s="976" t="s">
        <v>659</v>
      </c>
      <c r="F509" s="1014">
        <v>1880000</v>
      </c>
      <c r="G509" s="974"/>
      <c r="H509" s="1014">
        <v>1880000</v>
      </c>
      <c r="I509" s="974"/>
      <c r="J509" s="975"/>
      <c r="K509" s="974"/>
      <c r="L509" s="974">
        <f t="shared" si="28"/>
        <v>1880000</v>
      </c>
      <c r="M509" s="991"/>
      <c r="N509" s="1013">
        <f t="shared" si="22"/>
        <v>0</v>
      </c>
      <c r="O509" s="976"/>
      <c r="P509" s="977"/>
      <c r="Q509" s="974"/>
      <c r="R509" s="1147"/>
      <c r="S509" s="974"/>
      <c r="T509" s="976"/>
    </row>
    <row r="510" spans="2:20" x14ac:dyDescent="0.25">
      <c r="B510" s="1187" t="s">
        <v>1096</v>
      </c>
      <c r="C510" s="1187">
        <v>1017</v>
      </c>
      <c r="D510" s="1087" t="s">
        <v>1392</v>
      </c>
      <c r="E510" s="976" t="s">
        <v>1393</v>
      </c>
      <c r="F510" s="1014">
        <v>2915000</v>
      </c>
      <c r="G510" s="974"/>
      <c r="H510" s="1014">
        <v>2915000</v>
      </c>
      <c r="I510" s="974"/>
      <c r="J510" s="975"/>
      <c r="K510" s="974"/>
      <c r="L510" s="974">
        <f t="shared" si="28"/>
        <v>2915000</v>
      </c>
      <c r="M510" s="991"/>
      <c r="N510" s="1013">
        <f t="shared" si="22"/>
        <v>0</v>
      </c>
      <c r="O510" s="976"/>
      <c r="P510" s="977"/>
      <c r="Q510" s="974"/>
      <c r="R510" s="1147"/>
      <c r="S510" s="974"/>
      <c r="T510" s="976"/>
    </row>
    <row r="511" spans="2:20" x14ac:dyDescent="0.25">
      <c r="B511" s="1187" t="s">
        <v>1096</v>
      </c>
      <c r="C511" s="1187">
        <v>1017</v>
      </c>
      <c r="D511" s="1087" t="s">
        <v>1394</v>
      </c>
      <c r="E511" s="976" t="s">
        <v>1395</v>
      </c>
      <c r="F511" s="1014">
        <v>24098250</v>
      </c>
      <c r="G511" s="974"/>
      <c r="H511" s="1014">
        <v>24098250</v>
      </c>
      <c r="I511" s="974"/>
      <c r="J511" s="975"/>
      <c r="K511" s="974"/>
      <c r="L511" s="974">
        <f t="shared" si="28"/>
        <v>24098250</v>
      </c>
      <c r="M511" s="991"/>
      <c r="N511" s="1013">
        <f t="shared" si="22"/>
        <v>0</v>
      </c>
      <c r="O511" s="976"/>
      <c r="P511" s="977"/>
      <c r="Q511" s="974"/>
      <c r="R511" s="1147"/>
      <c r="S511" s="974"/>
      <c r="T511" s="976"/>
    </row>
    <row r="512" spans="2:20" x14ac:dyDescent="0.25">
      <c r="B512" s="1187" t="s">
        <v>1096</v>
      </c>
      <c r="C512" s="1187">
        <v>1017</v>
      </c>
      <c r="D512" s="1087" t="s">
        <v>1396</v>
      </c>
      <c r="E512" s="976" t="s">
        <v>1380</v>
      </c>
      <c r="F512" s="1014">
        <v>120295416</v>
      </c>
      <c r="G512" s="974">
        <f>120295416-(6009135+1400000)</f>
        <v>112886281</v>
      </c>
      <c r="H512" s="1014">
        <v>80000000</v>
      </c>
      <c r="I512" s="974">
        <v>32886281</v>
      </c>
      <c r="J512" s="975"/>
      <c r="K512" s="974"/>
      <c r="L512" s="974">
        <f t="shared" si="28"/>
        <v>112886281</v>
      </c>
      <c r="M512" s="991"/>
      <c r="N512" s="1013">
        <f t="shared" si="22"/>
        <v>0</v>
      </c>
      <c r="O512" s="976"/>
      <c r="P512" s="977"/>
      <c r="Q512" s="974"/>
      <c r="R512" s="1147"/>
      <c r="S512" s="974"/>
      <c r="T512" s="976"/>
    </row>
    <row r="513" spans="1:23" x14ac:dyDescent="0.25">
      <c r="B513" s="1187" t="s">
        <v>1096</v>
      </c>
      <c r="C513" s="1187">
        <v>1017</v>
      </c>
      <c r="D513" s="1087" t="s">
        <v>1397</v>
      </c>
      <c r="E513" s="976" t="s">
        <v>1367</v>
      </c>
      <c r="F513" s="1014">
        <v>99642400</v>
      </c>
      <c r="G513" s="974"/>
      <c r="H513" s="1014">
        <v>46646600</v>
      </c>
      <c r="I513" s="974">
        <v>52995800</v>
      </c>
      <c r="J513" s="975"/>
      <c r="K513" s="974"/>
      <c r="L513" s="974">
        <f t="shared" si="28"/>
        <v>99642400</v>
      </c>
      <c r="M513" s="991"/>
      <c r="N513" s="1013">
        <f t="shared" si="22"/>
        <v>0</v>
      </c>
      <c r="O513" s="976"/>
      <c r="P513" s="977"/>
      <c r="Q513" s="974"/>
      <c r="R513" s="1147"/>
      <c r="S513" s="974"/>
      <c r="T513" s="976"/>
    </row>
    <row r="514" spans="1:23" x14ac:dyDescent="0.25">
      <c r="B514" s="1187" t="s">
        <v>1096</v>
      </c>
      <c r="C514" s="1187">
        <v>1017</v>
      </c>
      <c r="D514" s="976" t="s">
        <v>1398</v>
      </c>
      <c r="E514" s="976" t="s">
        <v>1095</v>
      </c>
      <c r="F514" s="1014">
        <v>3240000</v>
      </c>
      <c r="G514" s="974"/>
      <c r="H514" s="1014">
        <v>3240000</v>
      </c>
      <c r="I514" s="974"/>
      <c r="J514" s="975"/>
      <c r="K514" s="974"/>
      <c r="L514" s="974">
        <f t="shared" si="28"/>
        <v>3240000</v>
      </c>
      <c r="M514" s="991"/>
      <c r="N514" s="1013">
        <f t="shared" si="22"/>
        <v>0</v>
      </c>
      <c r="O514" s="976"/>
      <c r="P514" s="977"/>
      <c r="Q514" s="974"/>
      <c r="R514" s="1147"/>
      <c r="S514" s="974"/>
      <c r="T514" s="976"/>
    </row>
    <row r="515" spans="1:23" x14ac:dyDescent="0.25">
      <c r="B515" s="1187" t="s">
        <v>1096</v>
      </c>
      <c r="C515" s="1187">
        <v>1017</v>
      </c>
      <c r="D515" s="976" t="s">
        <v>1399</v>
      </c>
      <c r="E515" s="976" t="s">
        <v>1400</v>
      </c>
      <c r="F515" s="1014">
        <v>182235000</v>
      </c>
      <c r="G515" s="974"/>
      <c r="H515" s="1014">
        <v>54000000</v>
      </c>
      <c r="I515" s="974">
        <v>72000000</v>
      </c>
      <c r="J515" s="975"/>
      <c r="K515" s="974"/>
      <c r="L515" s="974">
        <f t="shared" si="28"/>
        <v>126000000</v>
      </c>
      <c r="M515" s="991"/>
      <c r="N515" s="1013">
        <f t="shared" si="22"/>
        <v>56235000</v>
      </c>
      <c r="O515" s="976"/>
      <c r="P515" s="977"/>
      <c r="Q515" s="974"/>
      <c r="R515" s="1147"/>
      <c r="S515" s="974"/>
      <c r="T515" s="976"/>
    </row>
    <row r="516" spans="1:23" x14ac:dyDescent="0.25">
      <c r="B516" s="1187" t="s">
        <v>1096</v>
      </c>
      <c r="C516" s="1187">
        <v>1017</v>
      </c>
      <c r="D516" s="976" t="s">
        <v>1401</v>
      </c>
      <c r="E516" s="976" t="s">
        <v>1402</v>
      </c>
      <c r="F516" s="1014">
        <v>17450000</v>
      </c>
      <c r="G516" s="974"/>
      <c r="H516" s="1014">
        <v>4000000</v>
      </c>
      <c r="I516" s="974">
        <v>13450000</v>
      </c>
      <c r="J516" s="975"/>
      <c r="K516" s="974"/>
      <c r="L516" s="974">
        <f t="shared" si="28"/>
        <v>17450000</v>
      </c>
      <c r="M516" s="991"/>
      <c r="N516" s="1013">
        <f t="shared" si="22"/>
        <v>0</v>
      </c>
      <c r="O516" s="976"/>
      <c r="P516" s="977"/>
      <c r="Q516" s="974"/>
      <c r="R516" s="1147"/>
      <c r="S516" s="974"/>
      <c r="T516" s="976"/>
    </row>
    <row r="517" spans="1:23" x14ac:dyDescent="0.25">
      <c r="B517" s="1187" t="s">
        <v>1096</v>
      </c>
      <c r="C517" s="1187">
        <v>1017</v>
      </c>
      <c r="D517" s="976" t="s">
        <v>1403</v>
      </c>
      <c r="E517" s="976" t="s">
        <v>1404</v>
      </c>
      <c r="F517" s="1014">
        <v>2496000</v>
      </c>
      <c r="G517" s="974"/>
      <c r="H517" s="1014">
        <v>2496000</v>
      </c>
      <c r="I517" s="974"/>
      <c r="J517" s="975"/>
      <c r="K517" s="974"/>
      <c r="L517" s="974">
        <f t="shared" si="28"/>
        <v>2496000</v>
      </c>
      <c r="M517" s="991"/>
      <c r="N517" s="1013">
        <f t="shared" si="22"/>
        <v>0</v>
      </c>
      <c r="O517" s="976"/>
      <c r="P517" s="977"/>
      <c r="Q517" s="974"/>
      <c r="R517" s="1147"/>
      <c r="S517" s="974"/>
      <c r="T517" s="976"/>
    </row>
    <row r="518" spans="1:23" x14ac:dyDescent="0.25">
      <c r="B518" s="1187" t="s">
        <v>1096</v>
      </c>
      <c r="C518" s="1187">
        <v>1017</v>
      </c>
      <c r="D518" s="976" t="s">
        <v>132</v>
      </c>
      <c r="E518" s="976" t="s">
        <v>1249</v>
      </c>
      <c r="F518" s="1014">
        <v>3590000</v>
      </c>
      <c r="G518" s="974"/>
      <c r="H518" s="1014">
        <v>1077000</v>
      </c>
      <c r="I518" s="974">
        <v>2513000</v>
      </c>
      <c r="J518" s="975"/>
      <c r="K518" s="974"/>
      <c r="L518" s="974">
        <f t="shared" si="28"/>
        <v>3590000</v>
      </c>
      <c r="M518" s="991"/>
      <c r="N518" s="1013">
        <f t="shared" si="22"/>
        <v>0</v>
      </c>
      <c r="O518" s="976"/>
      <c r="P518" s="977"/>
      <c r="Q518" s="974"/>
      <c r="R518" s="1147"/>
      <c r="S518" s="974"/>
      <c r="T518" s="976"/>
    </row>
    <row r="519" spans="1:23" x14ac:dyDescent="0.25">
      <c r="B519" s="1187" t="s">
        <v>1096</v>
      </c>
      <c r="C519" s="1187">
        <v>1017</v>
      </c>
      <c r="D519" s="976" t="s">
        <v>1405</v>
      </c>
      <c r="E519" s="976" t="s">
        <v>76</v>
      </c>
      <c r="F519" s="1014">
        <v>7557000</v>
      </c>
      <c r="G519" s="974"/>
      <c r="H519" s="1014">
        <v>7557000</v>
      </c>
      <c r="I519" s="974"/>
      <c r="J519" s="975"/>
      <c r="K519" s="974"/>
      <c r="L519" s="974">
        <f t="shared" si="28"/>
        <v>7557000</v>
      </c>
      <c r="M519" s="991"/>
      <c r="N519" s="1013">
        <f t="shared" si="22"/>
        <v>0</v>
      </c>
      <c r="O519" s="976"/>
      <c r="P519" s="977"/>
      <c r="Q519" s="974"/>
      <c r="R519" s="1147"/>
      <c r="S519" s="974"/>
      <c r="T519" s="976"/>
    </row>
    <row r="520" spans="1:23" x14ac:dyDescent="0.25">
      <c r="B520" s="1187" t="s">
        <v>1096</v>
      </c>
      <c r="C520" s="1187">
        <v>1017</v>
      </c>
      <c r="D520" s="976" t="s">
        <v>947</v>
      </c>
      <c r="E520" s="976"/>
      <c r="F520" s="973">
        <v>14386000</v>
      </c>
      <c r="G520" s="974"/>
      <c r="H520" s="974">
        <f>W520</f>
        <v>14386000</v>
      </c>
      <c r="I520" s="974"/>
      <c r="J520" s="975"/>
      <c r="K520" s="974"/>
      <c r="L520" s="974">
        <f t="shared" si="28"/>
        <v>14386000</v>
      </c>
      <c r="M520" s="991" t="e">
        <f>IF(G520="",F520-L520-#REF!,G520-L520-#REF!)</f>
        <v>#REF!</v>
      </c>
      <c r="N520" s="1013">
        <f t="shared" si="22"/>
        <v>0</v>
      </c>
      <c r="O520" s="976"/>
      <c r="P520" s="977"/>
      <c r="Q520" s="974"/>
      <c r="R520" s="1147"/>
      <c r="S520" s="974"/>
      <c r="T520" s="976"/>
      <c r="V520" s="1007" t="s">
        <v>948</v>
      </c>
      <c r="W520" s="1007">
        <f>SUM(W487:W513)</f>
        <v>14386000</v>
      </c>
    </row>
    <row r="521" spans="1:23" ht="15.75" x14ac:dyDescent="0.25">
      <c r="A521" s="723"/>
      <c r="B521" s="720" t="s">
        <v>997</v>
      </c>
      <c r="C521" s="720"/>
      <c r="D521" s="699" t="s">
        <v>1096</v>
      </c>
      <c r="E521" s="705"/>
      <c r="F521" s="724"/>
      <c r="G521" s="702"/>
      <c r="H521" s="711"/>
      <c r="I521" s="701"/>
      <c r="J521" s="726"/>
      <c r="K521" s="702"/>
      <c r="L521" s="707">
        <f>SUM(L487:L520)</f>
        <v>2008422478</v>
      </c>
      <c r="M521" s="707" t="e">
        <f>SUM(M487:M520)</f>
        <v>#REF!</v>
      </c>
      <c r="N521" s="869">
        <f>SUM(N487:N520)</f>
        <v>56235001.285714284</v>
      </c>
      <c r="O521" s="700"/>
      <c r="P521" s="704"/>
      <c r="Q521" s="742"/>
      <c r="R521" s="1148"/>
      <c r="S521" s="742"/>
      <c r="T521" s="705"/>
    </row>
    <row r="522" spans="1:23" x14ac:dyDescent="0.25">
      <c r="A522" s="686">
        <v>20</v>
      </c>
      <c r="B522" s="1187" t="s">
        <v>1406</v>
      </c>
      <c r="C522" s="1187">
        <v>1051</v>
      </c>
      <c r="D522" s="976" t="s">
        <v>1127</v>
      </c>
      <c r="E522" s="976" t="s">
        <v>1108</v>
      </c>
      <c r="F522" s="974">
        <v>5883000</v>
      </c>
      <c r="G522" s="974"/>
      <c r="H522" s="974">
        <v>5883000</v>
      </c>
      <c r="I522" s="974"/>
      <c r="J522" s="975"/>
      <c r="K522" s="974"/>
      <c r="L522" s="974">
        <f t="shared" ref="L522:L550" si="29">SUM(H522:K522)</f>
        <v>5883000</v>
      </c>
      <c r="M522" s="991" t="e">
        <f>IF(G522="",F522-L522-#REF!,G522-L522-#REF!)</f>
        <v>#REF!</v>
      </c>
      <c r="N522" s="1013">
        <f t="shared" si="22"/>
        <v>0</v>
      </c>
      <c r="O522" s="976"/>
      <c r="P522" s="977"/>
      <c r="Q522" s="974"/>
      <c r="R522" s="1147"/>
      <c r="S522" s="974"/>
      <c r="T522" s="976"/>
      <c r="V522" s="687" t="s">
        <v>1407</v>
      </c>
      <c r="W522" s="687">
        <v>1264000</v>
      </c>
    </row>
    <row r="523" spans="1:23" x14ac:dyDescent="0.25">
      <c r="B523" s="1187" t="s">
        <v>1406</v>
      </c>
      <c r="C523" s="1187">
        <v>1051</v>
      </c>
      <c r="D523" s="976" t="s">
        <v>1117</v>
      </c>
      <c r="E523" s="972" t="s">
        <v>1118</v>
      </c>
      <c r="F523" s="973">
        <v>47070000</v>
      </c>
      <c r="G523" s="974"/>
      <c r="H523" s="973">
        <v>47070000</v>
      </c>
      <c r="I523" s="974"/>
      <c r="J523" s="975"/>
      <c r="K523" s="974"/>
      <c r="L523" s="974">
        <f t="shared" si="29"/>
        <v>47070000</v>
      </c>
      <c r="M523" s="991" t="e">
        <f>IF(G523="",F523-L523-#REF!,G523-L523-#REF!)</f>
        <v>#REF!</v>
      </c>
      <c r="N523" s="1013">
        <f t="shared" si="22"/>
        <v>0</v>
      </c>
      <c r="O523" s="976"/>
      <c r="P523" s="977"/>
      <c r="Q523" s="974"/>
      <c r="R523" s="1147"/>
      <c r="S523" s="974"/>
      <c r="T523" s="976"/>
      <c r="V523" s="687" t="s">
        <v>1408</v>
      </c>
      <c r="W523" s="687">
        <v>3111000</v>
      </c>
    </row>
    <row r="524" spans="1:23" x14ac:dyDescent="0.25">
      <c r="B524" s="1187" t="s">
        <v>1406</v>
      </c>
      <c r="C524" s="1187">
        <v>1051</v>
      </c>
      <c r="D524" s="976" t="s">
        <v>1409</v>
      </c>
      <c r="E524" s="976" t="s">
        <v>1410</v>
      </c>
      <c r="F524" s="973">
        <v>40000000</v>
      </c>
      <c r="G524" s="974"/>
      <c r="H524" s="974">
        <v>40000000</v>
      </c>
      <c r="I524" s="974"/>
      <c r="J524" s="975"/>
      <c r="K524" s="974"/>
      <c r="L524" s="974">
        <f t="shared" si="29"/>
        <v>40000000</v>
      </c>
      <c r="M524" s="991" t="e">
        <f>IF(G524="",F524-L524-#REF!,G524-L524-#REF!)</f>
        <v>#REF!</v>
      </c>
      <c r="N524" s="1013">
        <f t="shared" si="22"/>
        <v>0</v>
      </c>
      <c r="O524" s="976"/>
      <c r="P524" s="977"/>
      <c r="Q524" s="974"/>
      <c r="R524" s="1147"/>
      <c r="S524" s="974"/>
      <c r="T524" s="976"/>
      <c r="V524" s="687" t="s">
        <v>1411</v>
      </c>
      <c r="W524" s="687">
        <v>2808000</v>
      </c>
    </row>
    <row r="525" spans="1:23" x14ac:dyDescent="0.25">
      <c r="B525" s="1187" t="s">
        <v>1406</v>
      </c>
      <c r="C525" s="1187">
        <v>1051</v>
      </c>
      <c r="D525" s="976" t="s">
        <v>175</v>
      </c>
      <c r="E525" s="976" t="s">
        <v>815</v>
      </c>
      <c r="F525" s="973">
        <v>2410643</v>
      </c>
      <c r="G525" s="974"/>
      <c r="H525" s="974">
        <v>2410643</v>
      </c>
      <c r="I525" s="974"/>
      <c r="J525" s="975"/>
      <c r="K525" s="974"/>
      <c r="L525" s="974">
        <f t="shared" si="29"/>
        <v>2410643</v>
      </c>
      <c r="M525" s="991" t="e">
        <f>IF(G525="",F525-L525-#REF!,G525-L525-#REF!)</f>
        <v>#REF!</v>
      </c>
      <c r="N525" s="1013">
        <f t="shared" si="22"/>
        <v>0</v>
      </c>
      <c r="O525" s="976"/>
      <c r="P525" s="977"/>
      <c r="Q525" s="974"/>
      <c r="R525" s="1147"/>
      <c r="S525" s="974"/>
      <c r="T525" s="976"/>
      <c r="V525" s="687" t="s">
        <v>1412</v>
      </c>
      <c r="W525" s="687">
        <v>2210000</v>
      </c>
    </row>
    <row r="526" spans="1:23" x14ac:dyDescent="0.25">
      <c r="B526" s="1187" t="s">
        <v>1406</v>
      </c>
      <c r="C526" s="1187">
        <v>1051</v>
      </c>
      <c r="D526" s="976" t="s">
        <v>1413</v>
      </c>
      <c r="E526" s="976" t="s">
        <v>1414</v>
      </c>
      <c r="F526" s="973">
        <v>178940000</v>
      </c>
      <c r="G526" s="974"/>
      <c r="H526" s="974">
        <v>178940000</v>
      </c>
      <c r="I526" s="974"/>
      <c r="J526" s="975"/>
      <c r="K526" s="974"/>
      <c r="L526" s="974">
        <f t="shared" si="29"/>
        <v>178940000</v>
      </c>
      <c r="M526" s="991"/>
      <c r="N526" s="1013">
        <f t="shared" si="22"/>
        <v>0</v>
      </c>
      <c r="O526" s="976"/>
      <c r="P526" s="977"/>
      <c r="Q526" s="974"/>
      <c r="R526" s="1147"/>
      <c r="S526" s="974"/>
      <c r="T526" s="976"/>
      <c r="V526" s="687" t="s">
        <v>1415</v>
      </c>
      <c r="W526" s="687">
        <v>1998000</v>
      </c>
    </row>
    <row r="527" spans="1:23" x14ac:dyDescent="0.25">
      <c r="B527" s="1187" t="s">
        <v>1406</v>
      </c>
      <c r="C527" s="1187">
        <v>1051</v>
      </c>
      <c r="D527" s="976" t="s">
        <v>1416</v>
      </c>
      <c r="E527" s="976" t="s">
        <v>1110</v>
      </c>
      <c r="F527" s="973">
        <v>192325540</v>
      </c>
      <c r="G527" s="974"/>
      <c r="H527" s="974">
        <v>57697662</v>
      </c>
      <c r="I527" s="974">
        <v>76930216</v>
      </c>
      <c r="J527" s="975"/>
      <c r="K527" s="974"/>
      <c r="L527" s="974">
        <f t="shared" si="29"/>
        <v>134627878</v>
      </c>
      <c r="M527" s="991"/>
      <c r="N527" s="1013">
        <f t="shared" si="22"/>
        <v>57697662</v>
      </c>
      <c r="O527" s="976"/>
      <c r="P527" s="977"/>
      <c r="Q527" s="974"/>
      <c r="R527" s="1147"/>
      <c r="S527" s="974" t="s">
        <v>1417</v>
      </c>
      <c r="T527" s="976" t="s">
        <v>1323</v>
      </c>
      <c r="V527" s="687" t="s">
        <v>1418</v>
      </c>
      <c r="W527" s="687">
        <v>1120000</v>
      </c>
    </row>
    <row r="528" spans="1:23" x14ac:dyDescent="0.25">
      <c r="B528" s="1187" t="s">
        <v>1406</v>
      </c>
      <c r="C528" s="1187">
        <v>1051</v>
      </c>
      <c r="D528" s="976" t="s">
        <v>1419</v>
      </c>
      <c r="E528" s="976" t="s">
        <v>1420</v>
      </c>
      <c r="F528" s="973">
        <v>147466000</v>
      </c>
      <c r="G528" s="974">
        <v>124267000</v>
      </c>
      <c r="H528" s="974">
        <v>58986400</v>
      </c>
      <c r="I528" s="974">
        <v>65280600</v>
      </c>
      <c r="J528" s="975"/>
      <c r="K528" s="974"/>
      <c r="L528" s="974">
        <f t="shared" si="29"/>
        <v>124267000</v>
      </c>
      <c r="M528" s="991"/>
      <c r="N528" s="1013">
        <f t="shared" si="22"/>
        <v>0</v>
      </c>
      <c r="O528" s="976"/>
      <c r="P528" s="977"/>
      <c r="Q528" s="974"/>
      <c r="R528" s="1147"/>
      <c r="S528" s="974"/>
      <c r="T528" s="976"/>
      <c r="V528" s="687" t="s">
        <v>1421</v>
      </c>
      <c r="W528" s="687">
        <v>2142000</v>
      </c>
    </row>
    <row r="529" spans="2:20" x14ac:dyDescent="0.25">
      <c r="B529" s="1187" t="s">
        <v>1406</v>
      </c>
      <c r="C529" s="1187">
        <v>1051</v>
      </c>
      <c r="D529" s="976" t="s">
        <v>1422</v>
      </c>
      <c r="E529" s="976" t="s">
        <v>1423</v>
      </c>
      <c r="F529" s="973">
        <v>137988095</v>
      </c>
      <c r="G529" s="974"/>
      <c r="H529" s="974">
        <v>41396428</v>
      </c>
      <c r="I529" s="974">
        <v>55195238</v>
      </c>
      <c r="J529" s="975"/>
      <c r="K529" s="974"/>
      <c r="L529" s="974">
        <f t="shared" si="29"/>
        <v>96591666</v>
      </c>
      <c r="M529" s="991"/>
      <c r="N529" s="1013">
        <f t="shared" si="22"/>
        <v>41396429</v>
      </c>
      <c r="O529" s="976"/>
      <c r="P529" s="977"/>
      <c r="Q529" s="974"/>
      <c r="R529" s="1147"/>
      <c r="S529" s="974"/>
      <c r="T529" s="976"/>
    </row>
    <row r="530" spans="2:20" x14ac:dyDescent="0.25">
      <c r="B530" s="1187" t="s">
        <v>1406</v>
      </c>
      <c r="C530" s="1187">
        <v>1051</v>
      </c>
      <c r="D530" s="976" t="s">
        <v>1424</v>
      </c>
      <c r="E530" s="976" t="s">
        <v>1425</v>
      </c>
      <c r="F530" s="973">
        <v>95502000</v>
      </c>
      <c r="G530" s="974"/>
      <c r="H530" s="974">
        <v>47751000</v>
      </c>
      <c r="I530" s="974"/>
      <c r="J530" s="975"/>
      <c r="K530" s="974"/>
      <c r="L530" s="974">
        <f t="shared" si="29"/>
        <v>47751000</v>
      </c>
      <c r="M530" s="991"/>
      <c r="N530" s="1013">
        <f t="shared" si="22"/>
        <v>47751000</v>
      </c>
      <c r="O530" s="976"/>
      <c r="P530" s="977"/>
      <c r="Q530" s="974"/>
      <c r="R530" s="1147"/>
      <c r="S530" s="974"/>
      <c r="T530" s="976" t="s">
        <v>1323</v>
      </c>
    </row>
    <row r="531" spans="2:20" x14ac:dyDescent="0.25">
      <c r="B531" s="1187" t="s">
        <v>1406</v>
      </c>
      <c r="C531" s="1187">
        <v>1051</v>
      </c>
      <c r="D531" s="976" t="s">
        <v>1426</v>
      </c>
      <c r="E531" s="976" t="s">
        <v>1425</v>
      </c>
      <c r="F531" s="973">
        <v>129756000</v>
      </c>
      <c r="G531" s="974">
        <v>129756000</v>
      </c>
      <c r="H531" s="974">
        <v>59471500</v>
      </c>
      <c r="I531" s="974">
        <v>70284500</v>
      </c>
      <c r="J531" s="975"/>
      <c r="K531" s="974"/>
      <c r="L531" s="974">
        <f t="shared" si="29"/>
        <v>129756000</v>
      </c>
      <c r="M531" s="991"/>
      <c r="N531" s="1013">
        <f t="shared" si="22"/>
        <v>0</v>
      </c>
      <c r="O531" s="976"/>
      <c r="P531" s="977"/>
      <c r="Q531" s="974"/>
      <c r="R531" s="1147"/>
      <c r="S531" s="974"/>
      <c r="T531" s="976" t="s">
        <v>1323</v>
      </c>
    </row>
    <row r="532" spans="2:20" x14ac:dyDescent="0.25">
      <c r="B532" s="1187" t="s">
        <v>1406</v>
      </c>
      <c r="C532" s="1187">
        <v>1051</v>
      </c>
      <c r="D532" s="976" t="s">
        <v>1427</v>
      </c>
      <c r="E532" s="976" t="s">
        <v>1428</v>
      </c>
      <c r="F532" s="973">
        <v>98518200</v>
      </c>
      <c r="G532" s="974"/>
      <c r="H532" s="974">
        <v>39407280</v>
      </c>
      <c r="I532" s="974">
        <v>59110920</v>
      </c>
      <c r="J532" s="975"/>
      <c r="K532" s="974"/>
      <c r="L532" s="974">
        <f t="shared" si="29"/>
        <v>98518200</v>
      </c>
      <c r="M532" s="991"/>
      <c r="N532" s="1013">
        <f t="shared" si="22"/>
        <v>0</v>
      </c>
      <c r="O532" s="976"/>
      <c r="P532" s="977"/>
      <c r="Q532" s="974"/>
      <c r="R532" s="1147"/>
      <c r="S532" s="974"/>
      <c r="T532" s="976" t="s">
        <v>1323</v>
      </c>
    </row>
    <row r="533" spans="2:20" x14ac:dyDescent="0.25">
      <c r="B533" s="1187" t="s">
        <v>1406</v>
      </c>
      <c r="C533" s="1187">
        <v>1051</v>
      </c>
      <c r="D533" s="976" t="s">
        <v>1429</v>
      </c>
      <c r="E533" s="976" t="s">
        <v>1430</v>
      </c>
      <c r="F533" s="973">
        <v>213750000</v>
      </c>
      <c r="G533" s="974"/>
      <c r="H533" s="974">
        <v>64125000</v>
      </c>
      <c r="I533" s="974">
        <v>85500000</v>
      </c>
      <c r="J533" s="975"/>
      <c r="K533" s="974"/>
      <c r="L533" s="974">
        <f t="shared" si="29"/>
        <v>149625000</v>
      </c>
      <c r="M533" s="991"/>
      <c r="N533" s="1013">
        <f t="shared" si="22"/>
        <v>64125000</v>
      </c>
      <c r="O533" s="976"/>
      <c r="P533" s="977"/>
      <c r="Q533" s="974"/>
      <c r="R533" s="1147"/>
      <c r="S533" s="974"/>
      <c r="T533" s="976"/>
    </row>
    <row r="534" spans="2:20" x14ac:dyDescent="0.25">
      <c r="B534" s="1187" t="s">
        <v>1406</v>
      </c>
      <c r="C534" s="1187">
        <v>1051</v>
      </c>
      <c r="D534" s="976" t="s">
        <v>1431</v>
      </c>
      <c r="E534" s="976" t="s">
        <v>1432</v>
      </c>
      <c r="F534" s="973">
        <v>8580000</v>
      </c>
      <c r="G534" s="974"/>
      <c r="H534" s="974">
        <v>4290000</v>
      </c>
      <c r="I534" s="974"/>
      <c r="J534" s="975"/>
      <c r="K534" s="974"/>
      <c r="L534" s="974">
        <f t="shared" si="29"/>
        <v>4290000</v>
      </c>
      <c r="M534" s="991"/>
      <c r="N534" s="1013">
        <f t="shared" si="22"/>
        <v>4290000</v>
      </c>
      <c r="O534" s="976"/>
      <c r="P534" s="977"/>
      <c r="Q534" s="974"/>
      <c r="R534" s="1147"/>
      <c r="S534" s="974"/>
      <c r="T534" s="976" t="s">
        <v>1323</v>
      </c>
    </row>
    <row r="535" spans="2:20" x14ac:dyDescent="0.25">
      <c r="B535" s="1187" t="s">
        <v>1406</v>
      </c>
      <c r="C535" s="1187">
        <v>1051</v>
      </c>
      <c r="D535" s="976" t="s">
        <v>1433</v>
      </c>
      <c r="E535" s="976" t="s">
        <v>887</v>
      </c>
      <c r="F535" s="973">
        <v>24675000</v>
      </c>
      <c r="G535" s="974"/>
      <c r="H535" s="974">
        <v>7402500</v>
      </c>
      <c r="I535" s="974">
        <v>9870000</v>
      </c>
      <c r="J535" s="975"/>
      <c r="K535" s="974"/>
      <c r="L535" s="974">
        <f t="shared" si="29"/>
        <v>17272500</v>
      </c>
      <c r="M535" s="991"/>
      <c r="N535" s="1013">
        <f t="shared" si="22"/>
        <v>7402500</v>
      </c>
      <c r="O535" s="976"/>
      <c r="P535" s="977"/>
      <c r="Q535" s="974"/>
      <c r="R535" s="1147"/>
      <c r="S535" s="974"/>
      <c r="T535" s="976"/>
    </row>
    <row r="536" spans="2:20" x14ac:dyDescent="0.25">
      <c r="B536" s="1187" t="s">
        <v>1406</v>
      </c>
      <c r="C536" s="1187">
        <v>1051</v>
      </c>
      <c r="D536" s="976" t="s">
        <v>1434</v>
      </c>
      <c r="E536" s="976" t="s">
        <v>1435</v>
      </c>
      <c r="F536" s="973">
        <v>17000000</v>
      </c>
      <c r="G536" s="974"/>
      <c r="H536" s="974">
        <v>7800000</v>
      </c>
      <c r="I536" s="974">
        <v>9200000</v>
      </c>
      <c r="J536" s="975"/>
      <c r="K536" s="974"/>
      <c r="L536" s="974">
        <f t="shared" si="29"/>
        <v>17000000</v>
      </c>
      <c r="M536" s="991"/>
      <c r="N536" s="1013">
        <f t="shared" si="22"/>
        <v>0</v>
      </c>
      <c r="O536" s="976"/>
      <c r="P536" s="977"/>
      <c r="Q536" s="974"/>
      <c r="R536" s="1147"/>
      <c r="S536" s="974"/>
      <c r="T536" s="976"/>
    </row>
    <row r="537" spans="2:20" x14ac:dyDescent="0.25">
      <c r="B537" s="1187" t="s">
        <v>1406</v>
      </c>
      <c r="C537" s="1187">
        <v>1051</v>
      </c>
      <c r="D537" s="976" t="s">
        <v>1436</v>
      </c>
      <c r="E537" s="976" t="s">
        <v>1437</v>
      </c>
      <c r="F537" s="973">
        <v>54131000</v>
      </c>
      <c r="G537" s="974"/>
      <c r="H537" s="974">
        <v>21652400</v>
      </c>
      <c r="I537" s="974">
        <v>32478600</v>
      </c>
      <c r="J537" s="975"/>
      <c r="K537" s="974"/>
      <c r="L537" s="974">
        <f t="shared" si="29"/>
        <v>54131000</v>
      </c>
      <c r="M537" s="991"/>
      <c r="N537" s="1013">
        <f t="shared" si="22"/>
        <v>0</v>
      </c>
      <c r="O537" s="976"/>
      <c r="P537" s="977"/>
      <c r="Q537" s="974"/>
      <c r="R537" s="1147"/>
      <c r="S537" s="974"/>
      <c r="T537" s="976"/>
    </row>
    <row r="538" spans="2:20" x14ac:dyDescent="0.25">
      <c r="B538" s="1187" t="s">
        <v>1406</v>
      </c>
      <c r="C538" s="1187">
        <v>1051</v>
      </c>
      <c r="D538" s="976" t="s">
        <v>1438</v>
      </c>
      <c r="E538" s="976" t="s">
        <v>1400</v>
      </c>
      <c r="F538" s="973">
        <v>166230000</v>
      </c>
      <c r="G538" s="974"/>
      <c r="H538" s="974">
        <v>50000000</v>
      </c>
      <c r="I538" s="974">
        <v>65000000</v>
      </c>
      <c r="J538" s="975"/>
      <c r="K538" s="974"/>
      <c r="L538" s="974">
        <f t="shared" si="29"/>
        <v>115000000</v>
      </c>
      <c r="M538" s="991"/>
      <c r="N538" s="1013">
        <f t="shared" si="22"/>
        <v>51230000</v>
      </c>
      <c r="O538" s="976"/>
      <c r="P538" s="977"/>
      <c r="Q538" s="974"/>
      <c r="R538" s="1147"/>
      <c r="S538" s="974"/>
      <c r="T538" s="976"/>
    </row>
    <row r="539" spans="2:20" x14ac:dyDescent="0.25">
      <c r="B539" s="1187" t="s">
        <v>1406</v>
      </c>
      <c r="C539" s="1187">
        <v>1051</v>
      </c>
      <c r="D539" s="976" t="s">
        <v>1439</v>
      </c>
      <c r="E539" s="976" t="s">
        <v>1440</v>
      </c>
      <c r="F539" s="973">
        <v>12250000</v>
      </c>
      <c r="G539" s="974"/>
      <c r="H539" s="974">
        <v>6125000</v>
      </c>
      <c r="I539" s="974">
        <v>6125000</v>
      </c>
      <c r="J539" s="975"/>
      <c r="K539" s="974"/>
      <c r="L539" s="974">
        <f t="shared" si="29"/>
        <v>12250000</v>
      </c>
      <c r="M539" s="991"/>
      <c r="N539" s="1013">
        <f t="shared" si="22"/>
        <v>0</v>
      </c>
      <c r="O539" s="976"/>
      <c r="P539" s="977"/>
      <c r="Q539" s="974">
        <v>12250000</v>
      </c>
      <c r="R539" s="1147" t="s">
        <v>1441</v>
      </c>
      <c r="S539" s="974"/>
      <c r="T539" s="976" t="s">
        <v>1442</v>
      </c>
    </row>
    <row r="540" spans="2:20" x14ac:dyDescent="0.25">
      <c r="B540" s="1187" t="s">
        <v>1406</v>
      </c>
      <c r="C540" s="1187">
        <v>1051</v>
      </c>
      <c r="D540" s="976" t="s">
        <v>1268</v>
      </c>
      <c r="E540" s="976" t="s">
        <v>1118</v>
      </c>
      <c r="F540" s="973">
        <v>167531000</v>
      </c>
      <c r="G540" s="974"/>
      <c r="H540" s="974">
        <v>50259300</v>
      </c>
      <c r="I540" s="974">
        <v>67012400</v>
      </c>
      <c r="J540" s="975"/>
      <c r="K540" s="974"/>
      <c r="L540" s="974">
        <f t="shared" si="29"/>
        <v>117271700</v>
      </c>
      <c r="M540" s="991"/>
      <c r="N540" s="1013">
        <f t="shared" si="22"/>
        <v>50259300</v>
      </c>
      <c r="O540" s="976"/>
      <c r="P540" s="977"/>
      <c r="Q540" s="974"/>
      <c r="R540" s="1147"/>
      <c r="S540" s="974"/>
      <c r="T540" s="976"/>
    </row>
    <row r="541" spans="2:20" x14ac:dyDescent="0.25">
      <c r="B541" s="1187" t="s">
        <v>1406</v>
      </c>
      <c r="C541" s="1187">
        <v>1051</v>
      </c>
      <c r="D541" s="976" t="s">
        <v>1443</v>
      </c>
      <c r="E541" s="976" t="s">
        <v>1232</v>
      </c>
      <c r="F541" s="973">
        <v>2500000</v>
      </c>
      <c r="G541" s="974"/>
      <c r="H541" s="974">
        <v>2500000</v>
      </c>
      <c r="I541" s="974"/>
      <c r="J541" s="975"/>
      <c r="K541" s="974"/>
      <c r="L541" s="974">
        <f t="shared" si="29"/>
        <v>2500000</v>
      </c>
      <c r="M541" s="991"/>
      <c r="N541" s="1013">
        <f t="shared" si="22"/>
        <v>0</v>
      </c>
      <c r="O541" s="976"/>
      <c r="P541" s="977"/>
      <c r="Q541" s="974"/>
      <c r="R541" s="1147"/>
      <c r="S541" s="974"/>
      <c r="T541" s="976"/>
    </row>
    <row r="542" spans="2:20" x14ac:dyDescent="0.25">
      <c r="B542" s="1187" t="s">
        <v>1406</v>
      </c>
      <c r="C542" s="1187">
        <v>1051</v>
      </c>
      <c r="D542" s="976" t="s">
        <v>1444</v>
      </c>
      <c r="E542" s="976" t="s">
        <v>1445</v>
      </c>
      <c r="F542" s="973">
        <v>82500000</v>
      </c>
      <c r="G542" s="974"/>
      <c r="H542" s="974">
        <v>33000000</v>
      </c>
      <c r="I542" s="974"/>
      <c r="J542" s="975"/>
      <c r="K542" s="974"/>
      <c r="L542" s="974">
        <f t="shared" si="29"/>
        <v>33000000</v>
      </c>
      <c r="M542" s="991"/>
      <c r="N542" s="1013">
        <f t="shared" si="22"/>
        <v>49500000</v>
      </c>
      <c r="O542" s="976"/>
      <c r="P542" s="977"/>
      <c r="Q542" s="974"/>
      <c r="R542" s="1147"/>
      <c r="S542" s="974"/>
      <c r="T542" s="976" t="s">
        <v>1323</v>
      </c>
    </row>
    <row r="543" spans="2:20" x14ac:dyDescent="0.25">
      <c r="B543" s="1187" t="s">
        <v>1406</v>
      </c>
      <c r="C543" s="1187">
        <v>1051</v>
      </c>
      <c r="D543" s="976" t="s">
        <v>657</v>
      </c>
      <c r="E543" s="976" t="s">
        <v>1446</v>
      </c>
      <c r="F543" s="973">
        <v>10000000</v>
      </c>
      <c r="G543" s="974"/>
      <c r="H543" s="974">
        <v>10000000</v>
      </c>
      <c r="I543" s="974"/>
      <c r="J543" s="975"/>
      <c r="K543" s="974"/>
      <c r="L543" s="974">
        <f t="shared" si="29"/>
        <v>10000000</v>
      </c>
      <c r="M543" s="991"/>
      <c r="N543" s="1013">
        <f t="shared" si="22"/>
        <v>0</v>
      </c>
      <c r="O543" s="976"/>
      <c r="P543" s="977"/>
      <c r="Q543" s="974"/>
      <c r="R543" s="1147"/>
      <c r="S543" s="974"/>
      <c r="T543" s="976"/>
    </row>
    <row r="544" spans="2:20" x14ac:dyDescent="0.25">
      <c r="B544" s="1187" t="s">
        <v>1406</v>
      </c>
      <c r="C544" s="1187">
        <v>1051</v>
      </c>
      <c r="D544" s="976" t="s">
        <v>1447</v>
      </c>
      <c r="E544" s="976" t="s">
        <v>1266</v>
      </c>
      <c r="F544" s="973">
        <v>26180000</v>
      </c>
      <c r="G544" s="974"/>
      <c r="H544" s="974">
        <v>7854000</v>
      </c>
      <c r="I544" s="974">
        <v>10472000</v>
      </c>
      <c r="J544" s="975"/>
      <c r="K544" s="974"/>
      <c r="L544" s="974">
        <f t="shared" si="29"/>
        <v>18326000</v>
      </c>
      <c r="M544" s="991"/>
      <c r="N544" s="1013">
        <f t="shared" si="22"/>
        <v>7854000</v>
      </c>
      <c r="O544" s="976"/>
      <c r="P544" s="977"/>
      <c r="Q544" s="974"/>
      <c r="R544" s="1147"/>
      <c r="S544" s="974"/>
      <c r="T544" s="976"/>
    </row>
    <row r="545" spans="1:23" x14ac:dyDescent="0.25">
      <c r="B545" s="1187" t="s">
        <v>1406</v>
      </c>
      <c r="C545" s="1187">
        <v>1051</v>
      </c>
      <c r="D545" s="976" t="s">
        <v>1447</v>
      </c>
      <c r="E545" s="976" t="s">
        <v>1266</v>
      </c>
      <c r="F545" s="973">
        <v>80920000</v>
      </c>
      <c r="G545" s="974"/>
      <c r="H545" s="974">
        <v>24276000</v>
      </c>
      <c r="I545" s="974">
        <v>32368000</v>
      </c>
      <c r="J545" s="975"/>
      <c r="K545" s="974"/>
      <c r="L545" s="974">
        <f t="shared" si="29"/>
        <v>56644000</v>
      </c>
      <c r="M545" s="991"/>
      <c r="N545" s="1013">
        <f t="shared" si="22"/>
        <v>24276000</v>
      </c>
      <c r="O545" s="976"/>
      <c r="P545" s="977"/>
      <c r="Q545" s="974"/>
      <c r="R545" s="1147"/>
      <c r="S545" s="974"/>
      <c r="T545" s="976"/>
    </row>
    <row r="546" spans="1:23" x14ac:dyDescent="0.25">
      <c r="B546" s="1187" t="s">
        <v>1406</v>
      </c>
      <c r="C546" s="1187">
        <v>1051</v>
      </c>
      <c r="D546" s="976" t="s">
        <v>1269</v>
      </c>
      <c r="E546" s="976" t="s">
        <v>1448</v>
      </c>
      <c r="F546" s="973">
        <v>27800000</v>
      </c>
      <c r="G546" s="974"/>
      <c r="H546" s="974">
        <v>27800000</v>
      </c>
      <c r="I546" s="974"/>
      <c r="J546" s="975"/>
      <c r="K546" s="974"/>
      <c r="L546" s="974">
        <f t="shared" si="29"/>
        <v>27800000</v>
      </c>
      <c r="M546" s="991"/>
      <c r="N546" s="1013">
        <f t="shared" si="22"/>
        <v>0</v>
      </c>
      <c r="O546" s="976"/>
      <c r="P546" s="977"/>
      <c r="Q546" s="974"/>
      <c r="R546" s="1147"/>
      <c r="S546" s="974"/>
      <c r="T546" s="976"/>
    </row>
    <row r="547" spans="1:23" x14ac:dyDescent="0.25">
      <c r="B547" s="1187" t="s">
        <v>1406</v>
      </c>
      <c r="C547" s="1187">
        <v>1051</v>
      </c>
      <c r="D547" s="976" t="s">
        <v>1449</v>
      </c>
      <c r="E547" s="976" t="s">
        <v>1319</v>
      </c>
      <c r="F547" s="1014">
        <v>21500000</v>
      </c>
      <c r="G547" s="974"/>
      <c r="H547" s="974">
        <v>21500000</v>
      </c>
      <c r="I547" s="974"/>
      <c r="J547" s="975"/>
      <c r="K547" s="974"/>
      <c r="L547" s="974">
        <f t="shared" si="29"/>
        <v>21500000</v>
      </c>
      <c r="M547" s="991"/>
      <c r="N547" s="1013">
        <f t="shared" si="22"/>
        <v>0</v>
      </c>
      <c r="O547" s="976"/>
      <c r="P547" s="977"/>
      <c r="Q547" s="974"/>
      <c r="R547" s="1147"/>
      <c r="S547" s="974"/>
      <c r="T547" s="976"/>
    </row>
    <row r="548" spans="1:23" x14ac:dyDescent="0.25">
      <c r="B548" s="1187" t="s">
        <v>1406</v>
      </c>
      <c r="C548" s="1187">
        <v>1051</v>
      </c>
      <c r="D548" s="976" t="s">
        <v>1450</v>
      </c>
      <c r="E548" s="976" t="s">
        <v>1451</v>
      </c>
      <c r="F548" s="1014">
        <v>8690000</v>
      </c>
      <c r="G548" s="974"/>
      <c r="H548" s="974">
        <v>8690000</v>
      </c>
      <c r="I548" s="974"/>
      <c r="J548" s="975"/>
      <c r="K548" s="974"/>
      <c r="L548" s="974">
        <f t="shared" si="29"/>
        <v>8690000</v>
      </c>
      <c r="M548" s="991"/>
      <c r="N548" s="1013">
        <f t="shared" si="22"/>
        <v>0</v>
      </c>
      <c r="O548" s="976"/>
      <c r="P548" s="977"/>
      <c r="Q548" s="974"/>
      <c r="R548" s="1147"/>
      <c r="S548" s="974"/>
      <c r="T548" s="976"/>
    </row>
    <row r="549" spans="1:23" ht="15.75" customHeight="1" x14ac:dyDescent="0.25">
      <c r="B549" s="1187" t="s">
        <v>1406</v>
      </c>
      <c r="C549" s="1187">
        <v>1051</v>
      </c>
      <c r="D549" s="976" t="s">
        <v>1452</v>
      </c>
      <c r="E549" s="976" t="s">
        <v>1453</v>
      </c>
      <c r="F549" s="1014">
        <v>26096000</v>
      </c>
      <c r="G549" s="974"/>
      <c r="H549" s="1014">
        <v>26096000</v>
      </c>
      <c r="I549" s="974"/>
      <c r="J549" s="975"/>
      <c r="K549" s="974"/>
      <c r="L549" s="974">
        <f t="shared" ref="L549" si="30">SUM(H549:K549)</f>
        <v>26096000</v>
      </c>
      <c r="M549" s="991"/>
      <c r="N549" s="1013">
        <f t="shared" si="22"/>
        <v>0</v>
      </c>
      <c r="O549" s="976"/>
      <c r="P549" s="977"/>
      <c r="Q549" s="974"/>
      <c r="R549" s="1147"/>
      <c r="S549" s="974"/>
      <c r="T549" s="976"/>
      <c r="U549" s="693"/>
    </row>
    <row r="550" spans="1:23" x14ac:dyDescent="0.25">
      <c r="B550" s="1187" t="s">
        <v>1406</v>
      </c>
      <c r="C550" s="1187">
        <v>1051</v>
      </c>
      <c r="D550" s="976" t="s">
        <v>947</v>
      </c>
      <c r="E550" s="976"/>
      <c r="F550" s="973">
        <f>W550</f>
        <v>14653000</v>
      </c>
      <c r="G550" s="974"/>
      <c r="H550" s="974">
        <v>1264000</v>
      </c>
      <c r="I550" s="974">
        <v>3111000</v>
      </c>
      <c r="J550" s="975">
        <v>2808000</v>
      </c>
      <c r="K550" s="974">
        <f>2210000+1998000+1120000+2142000</f>
        <v>7470000</v>
      </c>
      <c r="L550" s="974">
        <f t="shared" si="29"/>
        <v>14653000</v>
      </c>
      <c r="M550" s="991"/>
      <c r="N550" s="1013">
        <f t="shared" si="22"/>
        <v>0</v>
      </c>
      <c r="O550" s="976"/>
      <c r="P550" s="977"/>
      <c r="Q550" s="974"/>
      <c r="R550" s="1147"/>
      <c r="S550" s="974"/>
      <c r="T550" s="976"/>
      <c r="V550" s="1007" t="s">
        <v>948</v>
      </c>
      <c r="W550" s="1000">
        <f>SUM(W522:W528)</f>
        <v>14653000</v>
      </c>
    </row>
    <row r="551" spans="1:23" ht="15.75" x14ac:dyDescent="0.25">
      <c r="A551" s="723"/>
      <c r="B551" s="720" t="s">
        <v>997</v>
      </c>
      <c r="C551" s="720"/>
      <c r="D551" s="699" t="s">
        <v>1126</v>
      </c>
      <c r="E551" s="700"/>
      <c r="F551" s="724"/>
      <c r="G551" s="702"/>
      <c r="H551" s="711"/>
      <c r="I551" s="701"/>
      <c r="J551" s="726"/>
      <c r="K551" s="702"/>
      <c r="L551" s="707">
        <f>SUM(L522:L550)</f>
        <v>1611864587</v>
      </c>
      <c r="M551" s="707" t="e">
        <f>SUM(M522:M525)</f>
        <v>#REF!</v>
      </c>
      <c r="N551" s="869">
        <f>SUM(N522:N550)</f>
        <v>405781891</v>
      </c>
      <c r="O551" s="700"/>
      <c r="P551" s="704"/>
      <c r="Q551" s="742"/>
      <c r="R551" s="1148"/>
      <c r="S551" s="742"/>
      <c r="T551" s="705"/>
    </row>
    <row r="552" spans="1:23" x14ac:dyDescent="0.25">
      <c r="A552" s="686">
        <v>21</v>
      </c>
      <c r="B552" s="1187" t="s">
        <v>585</v>
      </c>
      <c r="C552" s="1187"/>
      <c r="D552" s="976" t="s">
        <v>1128</v>
      </c>
      <c r="E552" s="972" t="s">
        <v>1108</v>
      </c>
      <c r="F552" s="973">
        <v>6980000</v>
      </c>
      <c r="G552" s="974"/>
      <c r="H552" s="973">
        <v>6980000</v>
      </c>
      <c r="I552" s="974"/>
      <c r="J552" s="975"/>
      <c r="K552" s="974"/>
      <c r="L552" s="974">
        <f t="shared" ref="L552:L557" si="31">SUM(H552:K552)</f>
        <v>6980000</v>
      </c>
      <c r="M552" s="991" t="e">
        <f>IF(G552="",F552-L552-#REF!,G552-L552-#REF!)</f>
        <v>#REF!</v>
      </c>
      <c r="N552" s="1013">
        <f t="shared" si="22"/>
        <v>0</v>
      </c>
      <c r="O552" s="976"/>
      <c r="P552" s="977"/>
      <c r="Q552" s="974"/>
      <c r="R552" s="1147"/>
      <c r="S552" s="974"/>
      <c r="T552" s="976"/>
      <c r="V552" s="687" t="s">
        <v>1454</v>
      </c>
      <c r="W552" s="687">
        <v>750000</v>
      </c>
    </row>
    <row r="553" spans="1:23" x14ac:dyDescent="0.25">
      <c r="B553" s="1187" t="s">
        <v>585</v>
      </c>
      <c r="C553" s="1187"/>
      <c r="D553" s="976" t="s">
        <v>884</v>
      </c>
      <c r="E553" s="972" t="s">
        <v>341</v>
      </c>
      <c r="F553" s="973">
        <v>500000</v>
      </c>
      <c r="G553" s="974"/>
      <c r="H553" s="974">
        <v>500000</v>
      </c>
      <c r="I553" s="974"/>
      <c r="J553" s="975"/>
      <c r="K553" s="974"/>
      <c r="L553" s="974">
        <f t="shared" si="31"/>
        <v>500000</v>
      </c>
      <c r="M553" s="991" t="e">
        <f>IF(G553="",F553-L553-#REF!,G553-L553-#REF!)</f>
        <v>#REF!</v>
      </c>
      <c r="N553" s="1013">
        <f t="shared" si="22"/>
        <v>0</v>
      </c>
      <c r="O553" s="976"/>
      <c r="P553" s="977"/>
      <c r="Q553" s="974"/>
      <c r="R553" s="1147"/>
      <c r="S553" s="974"/>
      <c r="T553" s="976"/>
    </row>
    <row r="554" spans="1:23" x14ac:dyDescent="0.25">
      <c r="B554" s="1187" t="s">
        <v>585</v>
      </c>
      <c r="C554" s="1187"/>
      <c r="D554" s="976" t="s">
        <v>1455</v>
      </c>
      <c r="E554" s="976" t="s">
        <v>1232</v>
      </c>
      <c r="F554" s="973">
        <v>500000</v>
      </c>
      <c r="G554" s="974">
        <v>431000</v>
      </c>
      <c r="H554" s="974">
        <v>500000</v>
      </c>
      <c r="I554" s="974"/>
      <c r="J554" s="975"/>
      <c r="K554" s="974"/>
      <c r="L554" s="974">
        <f t="shared" si="31"/>
        <v>500000</v>
      </c>
      <c r="M554" s="991" t="e">
        <f>IF(G554="",F554-L554-#REF!,G554-L554-#REF!)</f>
        <v>#REF!</v>
      </c>
      <c r="N554" s="1013">
        <f t="shared" si="22"/>
        <v>-69000</v>
      </c>
      <c r="O554" s="976"/>
      <c r="P554" s="977"/>
      <c r="Q554" s="974"/>
      <c r="R554" s="1147"/>
      <c r="S554" s="974"/>
      <c r="T554" s="976"/>
    </row>
    <row r="555" spans="1:23" x14ac:dyDescent="0.25">
      <c r="B555" s="1187" t="s">
        <v>585</v>
      </c>
      <c r="C555" s="1187"/>
      <c r="D555" s="976" t="s">
        <v>1456</v>
      </c>
      <c r="E555" s="972" t="s">
        <v>1118</v>
      </c>
      <c r="F555" s="973">
        <v>49490000</v>
      </c>
      <c r="G555" s="974"/>
      <c r="H555" s="974">
        <v>49490000</v>
      </c>
      <c r="I555" s="974"/>
      <c r="J555" s="975"/>
      <c r="K555" s="974"/>
      <c r="L555" s="974">
        <f t="shared" si="31"/>
        <v>49490000</v>
      </c>
      <c r="M555" s="991"/>
      <c r="N555" s="1013">
        <f t="shared" si="22"/>
        <v>0</v>
      </c>
      <c r="O555" s="976"/>
      <c r="P555" s="977"/>
      <c r="Q555" s="974"/>
      <c r="R555" s="1147"/>
      <c r="S555" s="974"/>
      <c r="T555" s="976"/>
    </row>
    <row r="556" spans="1:23" x14ac:dyDescent="0.25">
      <c r="B556" s="1187" t="s">
        <v>585</v>
      </c>
      <c r="C556" s="1187"/>
      <c r="D556" s="976" t="s">
        <v>1457</v>
      </c>
      <c r="E556" s="972" t="s">
        <v>1458</v>
      </c>
      <c r="F556" s="973">
        <v>10800000</v>
      </c>
      <c r="G556" s="974"/>
      <c r="H556" s="974">
        <v>10800000</v>
      </c>
      <c r="I556" s="974"/>
      <c r="J556" s="975"/>
      <c r="K556" s="974"/>
      <c r="L556" s="974">
        <f t="shared" si="31"/>
        <v>10800000</v>
      </c>
      <c r="M556" s="991"/>
      <c r="N556" s="1013">
        <f t="shared" si="22"/>
        <v>0</v>
      </c>
      <c r="O556" s="976"/>
      <c r="P556" s="977"/>
      <c r="Q556" s="974"/>
      <c r="R556" s="1147"/>
      <c r="S556" s="974"/>
      <c r="T556" s="976"/>
    </row>
    <row r="557" spans="1:23" x14ac:dyDescent="0.25">
      <c r="B557" s="1187" t="s">
        <v>585</v>
      </c>
      <c r="C557" s="1187"/>
      <c r="D557" s="976" t="s">
        <v>947</v>
      </c>
      <c r="E557" s="976"/>
      <c r="F557" s="973">
        <f>W557</f>
        <v>750000</v>
      </c>
      <c r="G557" s="974"/>
      <c r="H557" s="974">
        <v>750000</v>
      </c>
      <c r="I557" s="974"/>
      <c r="J557" s="975"/>
      <c r="K557" s="974"/>
      <c r="L557" s="974">
        <f t="shared" si="31"/>
        <v>750000</v>
      </c>
      <c r="M557" s="991" t="e">
        <f>IF(G557="",F557-L557-#REF!,G557-L557-#REF!)</f>
        <v>#REF!</v>
      </c>
      <c r="N557" s="1013">
        <f t="shared" si="22"/>
        <v>0</v>
      </c>
      <c r="O557" s="976"/>
      <c r="P557" s="977"/>
      <c r="Q557" s="974"/>
      <c r="R557" s="1147"/>
      <c r="S557" s="974"/>
      <c r="T557" s="976"/>
      <c r="V557" s="1000" t="s">
        <v>948</v>
      </c>
      <c r="W557" s="1000">
        <f>SUM(W552:W554)</f>
        <v>750000</v>
      </c>
    </row>
    <row r="558" spans="1:23" ht="15.75" x14ac:dyDescent="0.25">
      <c r="A558" s="723"/>
      <c r="B558" s="720" t="s">
        <v>997</v>
      </c>
      <c r="C558" s="720"/>
      <c r="D558" s="699" t="s">
        <v>585</v>
      </c>
      <c r="E558" s="700"/>
      <c r="F558" s="724"/>
      <c r="G558" s="702"/>
      <c r="H558" s="711"/>
      <c r="I558" s="701"/>
      <c r="J558" s="726"/>
      <c r="K558" s="702"/>
      <c r="L558" s="707">
        <f>SUM(L552:L557)</f>
        <v>69020000</v>
      </c>
      <c r="M558" s="707" t="e">
        <f>SUM(M552:M557)</f>
        <v>#REF!</v>
      </c>
      <c r="N558" s="869">
        <f>SUM(N552:N557)</f>
        <v>-69000</v>
      </c>
      <c r="O558" s="700"/>
      <c r="P558" s="704"/>
      <c r="Q558" s="742"/>
      <c r="R558" s="1148"/>
      <c r="S558" s="742"/>
      <c r="T558" s="705"/>
    </row>
    <row r="559" spans="1:23" ht="30.75" customHeight="1" x14ac:dyDescent="0.25">
      <c r="A559" s="686">
        <v>22</v>
      </c>
      <c r="B559" s="1111" t="s">
        <v>1129</v>
      </c>
      <c r="C559" s="1110"/>
      <c r="D559" s="976" t="s">
        <v>1117</v>
      </c>
      <c r="E559" s="972" t="s">
        <v>1118</v>
      </c>
      <c r="F559" s="973">
        <v>31550000</v>
      </c>
      <c r="G559" s="974"/>
      <c r="H559" s="973">
        <v>31550000</v>
      </c>
      <c r="I559" s="974"/>
      <c r="J559" s="975"/>
      <c r="K559" s="974"/>
      <c r="L559" s="974">
        <f>SUM(H559:K559)</f>
        <v>31550000</v>
      </c>
      <c r="M559" s="991" t="e">
        <f>IF(G559="",F559-L559-#REF!,G559-L559-#REF!)</f>
        <v>#REF!</v>
      </c>
      <c r="N559" s="1013">
        <f t="shared" si="22"/>
        <v>0</v>
      </c>
      <c r="O559" s="976"/>
      <c r="P559" s="977"/>
      <c r="Q559" s="974"/>
      <c r="R559" s="1147"/>
      <c r="S559" s="974"/>
      <c r="T559" s="976"/>
    </row>
    <row r="560" spans="1:23" x14ac:dyDescent="0.25">
      <c r="B560" s="1187"/>
      <c r="C560" s="1187"/>
      <c r="D560" s="976"/>
      <c r="E560" s="972"/>
      <c r="F560" s="973"/>
      <c r="G560" s="974"/>
      <c r="H560" s="974"/>
      <c r="I560" s="974"/>
      <c r="J560" s="975"/>
      <c r="K560" s="974"/>
      <c r="L560" s="974">
        <f>SUM(H560:K560)</f>
        <v>0</v>
      </c>
      <c r="M560" s="991" t="e">
        <f>IF(G560="",F560-L560-#REF!,G560-L560-#REF!)</f>
        <v>#REF!</v>
      </c>
      <c r="N560" s="1013">
        <f t="shared" si="22"/>
        <v>0</v>
      </c>
      <c r="O560" s="976"/>
      <c r="P560" s="977"/>
      <c r="Q560" s="974"/>
      <c r="R560" s="1147"/>
      <c r="S560" s="974"/>
      <c r="T560" s="976"/>
    </row>
    <row r="561" spans="1:23" x14ac:dyDescent="0.25">
      <c r="B561" s="1187"/>
      <c r="C561" s="1187"/>
      <c r="D561" s="976"/>
      <c r="E561" s="976"/>
      <c r="F561" s="973"/>
      <c r="G561" s="974"/>
      <c r="H561" s="974"/>
      <c r="I561" s="974"/>
      <c r="J561" s="975"/>
      <c r="K561" s="974"/>
      <c r="L561" s="974">
        <f>SUM(H561:K561)</f>
        <v>0</v>
      </c>
      <c r="M561" s="991" t="e">
        <f>IF(G561="",F561-L561-#REF!,G561-L561-#REF!)</f>
        <v>#REF!</v>
      </c>
      <c r="N561" s="1013">
        <f t="shared" si="22"/>
        <v>0</v>
      </c>
      <c r="O561" s="976"/>
      <c r="P561" s="977"/>
      <c r="Q561" s="974"/>
      <c r="R561" s="1147"/>
      <c r="S561" s="974"/>
      <c r="T561" s="976"/>
    </row>
    <row r="562" spans="1:23" x14ac:dyDescent="0.25">
      <c r="B562" s="1187"/>
      <c r="C562" s="1187"/>
      <c r="D562" s="976"/>
      <c r="E562" s="976"/>
      <c r="F562" s="973"/>
      <c r="G562" s="974"/>
      <c r="H562" s="974"/>
      <c r="I562" s="974"/>
      <c r="J562" s="975"/>
      <c r="K562" s="974"/>
      <c r="L562" s="974">
        <f>SUM(H562:K562)</f>
        <v>0</v>
      </c>
      <c r="M562" s="991" t="e">
        <f>IF(G562="",F562-L562-#REF!,G562-L562-#REF!)</f>
        <v>#REF!</v>
      </c>
      <c r="N562" s="1013">
        <f t="shared" si="22"/>
        <v>0</v>
      </c>
      <c r="O562" s="976"/>
      <c r="P562" s="977"/>
      <c r="Q562" s="974"/>
      <c r="R562" s="1147"/>
      <c r="S562" s="974"/>
      <c r="T562" s="976"/>
    </row>
    <row r="563" spans="1:23" ht="15.75" x14ac:dyDescent="0.25">
      <c r="A563" s="723"/>
      <c r="B563" s="720" t="s">
        <v>997</v>
      </c>
      <c r="C563" s="720"/>
      <c r="D563" s="699" t="s">
        <v>1130</v>
      </c>
      <c r="E563" s="700"/>
      <c r="F563" s="724"/>
      <c r="G563" s="702"/>
      <c r="H563" s="711"/>
      <c r="I563" s="701"/>
      <c r="J563" s="726"/>
      <c r="K563" s="702"/>
      <c r="L563" s="707">
        <f>SUM(L559:L562)</f>
        <v>31550000</v>
      </c>
      <c r="M563" s="707" t="e">
        <f>SUM(M559:M562)</f>
        <v>#REF!</v>
      </c>
      <c r="N563" s="869">
        <f>SUM(N559:N562)</f>
        <v>0</v>
      </c>
      <c r="O563" s="700"/>
      <c r="P563" s="704"/>
      <c r="Q563" s="742"/>
      <c r="R563" s="1148"/>
      <c r="S563" s="742"/>
      <c r="T563" s="705"/>
    </row>
    <row r="564" spans="1:23" ht="30" customHeight="1" x14ac:dyDescent="0.25">
      <c r="A564" s="686">
        <v>23</v>
      </c>
      <c r="B564" s="1111" t="s">
        <v>1131</v>
      </c>
      <c r="C564" s="1110"/>
      <c r="D564" s="976" t="s">
        <v>1117</v>
      </c>
      <c r="E564" s="972" t="s">
        <v>1118</v>
      </c>
      <c r="F564" s="973">
        <v>52330000</v>
      </c>
      <c r="G564" s="974"/>
      <c r="H564" s="973">
        <v>52330000</v>
      </c>
      <c r="I564" s="974"/>
      <c r="J564" s="975"/>
      <c r="K564" s="974"/>
      <c r="L564" s="974">
        <f>SUM(H564:K564)</f>
        <v>52330000</v>
      </c>
      <c r="M564" s="991" t="e">
        <f>IF(G564="",F564-L564-#REF!,G564-L564-#REF!)</f>
        <v>#REF!</v>
      </c>
      <c r="N564" s="1013">
        <f t="shared" si="22"/>
        <v>0</v>
      </c>
      <c r="O564" s="976"/>
      <c r="P564" s="977"/>
      <c r="Q564" s="974"/>
      <c r="R564" s="1147"/>
      <c r="S564" s="974"/>
      <c r="T564" s="976"/>
    </row>
    <row r="565" spans="1:23" x14ac:dyDescent="0.25">
      <c r="B565" s="1111" t="s">
        <v>1131</v>
      </c>
      <c r="C565" s="1110"/>
      <c r="D565" s="976" t="s">
        <v>1459</v>
      </c>
      <c r="E565" s="972" t="s">
        <v>1460</v>
      </c>
      <c r="F565" s="973">
        <v>5903016</v>
      </c>
      <c r="G565" s="974"/>
      <c r="H565" s="973">
        <v>5903016</v>
      </c>
      <c r="I565" s="974"/>
      <c r="J565" s="975"/>
      <c r="K565" s="974"/>
      <c r="L565" s="974">
        <f>SUM(H565:K565)</f>
        <v>5903016</v>
      </c>
      <c r="M565" s="991"/>
      <c r="N565" s="1013">
        <f t="shared" si="22"/>
        <v>0</v>
      </c>
      <c r="O565" s="976"/>
      <c r="P565" s="977"/>
      <c r="Q565" s="974"/>
      <c r="R565" s="1147"/>
      <c r="S565" s="974"/>
      <c r="T565" s="976"/>
    </row>
    <row r="566" spans="1:23" x14ac:dyDescent="0.25">
      <c r="B566" s="1111" t="s">
        <v>1131</v>
      </c>
      <c r="C566" s="1187"/>
      <c r="D566" s="976" t="s">
        <v>607</v>
      </c>
      <c r="E566" s="976" t="s">
        <v>651</v>
      </c>
      <c r="F566" s="973">
        <v>2000000</v>
      </c>
      <c r="G566" s="974">
        <v>3885000</v>
      </c>
      <c r="H566" s="974">
        <v>2000000</v>
      </c>
      <c r="I566" s="974">
        <v>1885000</v>
      </c>
      <c r="J566" s="975"/>
      <c r="K566" s="974"/>
      <c r="L566" s="974">
        <f>SUM(H566:K566)</f>
        <v>3885000</v>
      </c>
      <c r="M566" s="991" t="e">
        <f>IF(G566="",F566-L566-#REF!,G566-L566-#REF!)</f>
        <v>#REF!</v>
      </c>
      <c r="N566" s="1013">
        <f>IF($G566="",($F566-$L566),($G566-$L566))</f>
        <v>0</v>
      </c>
      <c r="O566" s="976"/>
      <c r="P566" s="977"/>
      <c r="Q566" s="974"/>
      <c r="R566" s="1147"/>
      <c r="S566" s="974"/>
      <c r="T566" s="976"/>
    </row>
    <row r="567" spans="1:23" x14ac:dyDescent="0.25">
      <c r="B567" s="1187"/>
      <c r="C567" s="1187"/>
      <c r="D567" s="976"/>
      <c r="E567" s="976"/>
      <c r="F567" s="973"/>
      <c r="G567" s="974"/>
      <c r="H567" s="974"/>
      <c r="I567" s="974"/>
      <c r="J567" s="975"/>
      <c r="K567" s="974"/>
      <c r="L567" s="974">
        <f>SUM(H567:K567)</f>
        <v>0</v>
      </c>
      <c r="M567" s="991" t="e">
        <f>IF(G567="",F567-L567-#REF!,G567-L567-#REF!)</f>
        <v>#REF!</v>
      </c>
      <c r="N567" s="1013">
        <f>IF($G567="",($F567-$L567),($G567-$L567))</f>
        <v>0</v>
      </c>
      <c r="O567" s="976"/>
      <c r="P567" s="977"/>
      <c r="Q567" s="974"/>
      <c r="R567" s="1147"/>
      <c r="S567" s="974"/>
      <c r="T567" s="976"/>
    </row>
    <row r="568" spans="1:23" ht="15.75" x14ac:dyDescent="0.25">
      <c r="A568" s="723"/>
      <c r="B568" s="720" t="s">
        <v>997</v>
      </c>
      <c r="C568" s="720"/>
      <c r="D568" s="699" t="str">
        <f>B564</f>
        <v>AQUA SONATUS-CT Năm 2019</v>
      </c>
      <c r="E568" s="700"/>
      <c r="F568" s="724"/>
      <c r="G568" s="702"/>
      <c r="H568" s="711"/>
      <c r="I568" s="701"/>
      <c r="J568" s="726"/>
      <c r="K568" s="702"/>
      <c r="L568" s="707">
        <f>SUM(L564:L567)</f>
        <v>62118016</v>
      </c>
      <c r="M568" s="707" t="e">
        <f>SUM(M564:M567)</f>
        <v>#REF!</v>
      </c>
      <c r="N568" s="869">
        <f>SUM(N564:N567)</f>
        <v>0</v>
      </c>
      <c r="O568" s="700"/>
      <c r="P568" s="704"/>
      <c r="Q568" s="742"/>
      <c r="R568" s="1148"/>
      <c r="S568" s="742"/>
      <c r="T568" s="705"/>
    </row>
    <row r="569" spans="1:23" ht="31.5" customHeight="1" x14ac:dyDescent="0.25">
      <c r="A569" s="686">
        <v>24</v>
      </c>
      <c r="B569" s="1111" t="s">
        <v>1132</v>
      </c>
      <c r="C569" s="1187">
        <v>1011</v>
      </c>
      <c r="D569" s="976" t="s">
        <v>215</v>
      </c>
      <c r="E569" s="976" t="s">
        <v>1461</v>
      </c>
      <c r="F569" s="1014">
        <v>35261625</v>
      </c>
      <c r="G569" s="974"/>
      <c r="H569" s="973">
        <v>35261625</v>
      </c>
      <c r="I569" s="974"/>
      <c r="J569" s="975"/>
      <c r="K569" s="974"/>
      <c r="L569" s="974">
        <f>SUM(H569:K569)</f>
        <v>35261625</v>
      </c>
      <c r="M569" s="991" t="e">
        <f>IF(G569="",F569-L569-#REF!,G569-L569-#REF!)</f>
        <v>#REF!</v>
      </c>
      <c r="N569" s="1013">
        <f>IF($G569="",($F569-$L569),($G569-$L569))</f>
        <v>0</v>
      </c>
      <c r="O569" s="976"/>
      <c r="P569" s="977"/>
      <c r="Q569" s="974"/>
      <c r="R569" s="1147"/>
      <c r="S569" s="974"/>
      <c r="T569" s="976"/>
    </row>
    <row r="570" spans="1:23" x14ac:dyDescent="0.25">
      <c r="B570" s="1187"/>
      <c r="C570" s="1187">
        <v>1011</v>
      </c>
      <c r="D570" s="976" t="s">
        <v>1462</v>
      </c>
      <c r="E570" s="972" t="s">
        <v>1463</v>
      </c>
      <c r="F570" s="973">
        <v>5550000</v>
      </c>
      <c r="G570" s="974"/>
      <c r="H570" s="974">
        <v>5550000</v>
      </c>
      <c r="I570" s="974"/>
      <c r="J570" s="975"/>
      <c r="K570" s="974"/>
      <c r="L570" s="974">
        <f>SUM(H570:K570)</f>
        <v>5550000</v>
      </c>
      <c r="M570" s="991" t="e">
        <f>IF(G570="",F570-L570-#REF!,G570-L570-#REF!)</f>
        <v>#REF!</v>
      </c>
      <c r="N570" s="1013">
        <f>IF($G570="",($F570-$L570),($G570-$L570))</f>
        <v>0</v>
      </c>
      <c r="O570" s="976"/>
      <c r="P570" s="977"/>
      <c r="Q570" s="974"/>
      <c r="R570" s="1147"/>
      <c r="S570" s="974"/>
      <c r="T570" s="976"/>
    </row>
    <row r="571" spans="1:23" ht="15.75" x14ac:dyDescent="0.25">
      <c r="A571" s="723"/>
      <c r="B571" s="978" t="s">
        <v>997</v>
      </c>
      <c r="C571" s="978"/>
      <c r="D571" s="699" t="str">
        <f>B569</f>
        <v>Nam Thuận T19 - CT Năm 2019</v>
      </c>
      <c r="E571" s="700"/>
      <c r="F571" s="724"/>
      <c r="G571" s="702"/>
      <c r="H571" s="711"/>
      <c r="I571" s="701"/>
      <c r="J571" s="726"/>
      <c r="K571" s="702"/>
      <c r="L571" s="707">
        <f>SUM(L569:L570)</f>
        <v>40811625</v>
      </c>
      <c r="M571" s="707" t="e">
        <f>SUM(M567:M570)</f>
        <v>#REF!</v>
      </c>
      <c r="N571" s="869">
        <f>SUM(N567:N570)</f>
        <v>0</v>
      </c>
      <c r="O571" s="700"/>
      <c r="P571" s="704"/>
      <c r="Q571" s="742"/>
      <c r="R571" s="1148"/>
      <c r="S571" s="742"/>
      <c r="T571" s="705"/>
    </row>
    <row r="572" spans="1:23" ht="15.75" x14ac:dyDescent="0.25">
      <c r="A572" s="690">
        <v>25</v>
      </c>
      <c r="B572" s="1187" t="s">
        <v>643</v>
      </c>
      <c r="C572" s="1187">
        <v>1017</v>
      </c>
      <c r="D572" s="985" t="s">
        <v>1464</v>
      </c>
      <c r="E572" s="985" t="s">
        <v>1465</v>
      </c>
      <c r="F572" s="986">
        <f>30000000</f>
        <v>30000000</v>
      </c>
      <c r="G572" s="987"/>
      <c r="H572" s="987">
        <v>30000000</v>
      </c>
      <c r="I572" s="987"/>
      <c r="J572" s="988"/>
      <c r="K572" s="987"/>
      <c r="L572" s="974">
        <f t="shared" ref="L572:L593" si="32">SUM(H572:K572)</f>
        <v>30000000</v>
      </c>
      <c r="M572" s="989"/>
      <c r="N572" s="1013">
        <f t="shared" ref="N572:N593" si="33">IF($G572="",($F572-$L572),($G572-$L572))</f>
        <v>0</v>
      </c>
      <c r="O572" s="1010"/>
      <c r="P572" s="990"/>
      <c r="Q572" s="987"/>
      <c r="R572" s="1152"/>
      <c r="S572" s="987"/>
      <c r="T572" s="985"/>
      <c r="V572" s="687" t="s">
        <v>1466</v>
      </c>
      <c r="W572" s="687">
        <v>439000</v>
      </c>
    </row>
    <row r="573" spans="1:23" ht="15.75" x14ac:dyDescent="0.25">
      <c r="A573" s="693"/>
      <c r="B573" s="1187" t="s">
        <v>643</v>
      </c>
      <c r="C573" s="1187">
        <v>1017</v>
      </c>
      <c r="D573" s="985" t="s">
        <v>1467</v>
      </c>
      <c r="E573" s="985" t="s">
        <v>1118</v>
      </c>
      <c r="F573" s="986">
        <v>18450000</v>
      </c>
      <c r="G573" s="987"/>
      <c r="H573" s="987">
        <v>18450000</v>
      </c>
      <c r="I573" s="987"/>
      <c r="J573" s="988"/>
      <c r="K573" s="987"/>
      <c r="L573" s="974">
        <f t="shared" si="32"/>
        <v>18450000</v>
      </c>
      <c r="M573" s="989"/>
      <c r="N573" s="1013">
        <f t="shared" si="33"/>
        <v>0</v>
      </c>
      <c r="O573" s="1010"/>
      <c r="P573" s="990"/>
      <c r="Q573" s="987"/>
      <c r="R573" s="1152"/>
      <c r="S573" s="987"/>
      <c r="T573" s="985"/>
      <c r="V573" s="687" t="s">
        <v>1454</v>
      </c>
      <c r="W573" s="687">
        <v>590000</v>
      </c>
    </row>
    <row r="574" spans="1:23" ht="15.75" x14ac:dyDescent="0.25">
      <c r="A574" s="693"/>
      <c r="B574" s="1187" t="s">
        <v>643</v>
      </c>
      <c r="C574" s="1187">
        <v>1017</v>
      </c>
      <c r="D574" s="985" t="s">
        <v>1468</v>
      </c>
      <c r="E574" s="985" t="s">
        <v>1469</v>
      </c>
      <c r="F574" s="986">
        <v>2000000</v>
      </c>
      <c r="G574" s="987"/>
      <c r="H574" s="987">
        <v>2000000</v>
      </c>
      <c r="I574" s="987"/>
      <c r="J574" s="988"/>
      <c r="K574" s="987"/>
      <c r="L574" s="974">
        <f t="shared" si="32"/>
        <v>2000000</v>
      </c>
      <c r="M574" s="989"/>
      <c r="N574" s="1013">
        <f t="shared" si="33"/>
        <v>0</v>
      </c>
      <c r="O574" s="1010"/>
      <c r="P574" s="990"/>
      <c r="Q574" s="987"/>
      <c r="R574" s="1152"/>
      <c r="S574" s="987"/>
      <c r="T574" s="985"/>
      <c r="V574" s="687" t="s">
        <v>1470</v>
      </c>
      <c r="W574" s="687">
        <v>840000</v>
      </c>
    </row>
    <row r="575" spans="1:23" ht="15.75" x14ac:dyDescent="0.25">
      <c r="A575" s="693"/>
      <c r="B575" s="1187" t="s">
        <v>643</v>
      </c>
      <c r="C575" s="1187">
        <v>1017</v>
      </c>
      <c r="D575" s="985" t="s">
        <v>1399</v>
      </c>
      <c r="E575" s="985" t="s">
        <v>1471</v>
      </c>
      <c r="F575" s="986">
        <v>32250000</v>
      </c>
      <c r="G575" s="987"/>
      <c r="H575" s="987">
        <f>31207000+1043000</f>
        <v>32250000</v>
      </c>
      <c r="I575" s="987"/>
      <c r="J575" s="988"/>
      <c r="K575" s="987"/>
      <c r="L575" s="974">
        <f t="shared" si="32"/>
        <v>32250000</v>
      </c>
      <c r="M575" s="989"/>
      <c r="N575" s="1013">
        <f t="shared" si="33"/>
        <v>0</v>
      </c>
      <c r="O575" s="1010"/>
      <c r="P575" s="990"/>
      <c r="Q575" s="987"/>
      <c r="R575" s="1152"/>
      <c r="S575" s="987"/>
      <c r="T575" s="985"/>
    </row>
    <row r="576" spans="1:23" ht="15.75" x14ac:dyDescent="0.25">
      <c r="A576" s="693"/>
      <c r="B576" s="1187" t="s">
        <v>643</v>
      </c>
      <c r="C576" s="1187">
        <v>1017</v>
      </c>
      <c r="D576" s="985" t="s">
        <v>945</v>
      </c>
      <c r="E576" s="985" t="s">
        <v>341</v>
      </c>
      <c r="F576" s="986">
        <v>1000000</v>
      </c>
      <c r="G576" s="987"/>
      <c r="H576" s="987">
        <v>1000000</v>
      </c>
      <c r="I576" s="987"/>
      <c r="J576" s="988"/>
      <c r="K576" s="987"/>
      <c r="L576" s="974">
        <f t="shared" si="32"/>
        <v>1000000</v>
      </c>
      <c r="M576" s="989"/>
      <c r="N576" s="1013">
        <f t="shared" si="33"/>
        <v>0</v>
      </c>
      <c r="O576" s="1010"/>
      <c r="P576" s="990"/>
      <c r="Q576" s="987"/>
      <c r="R576" s="1152"/>
      <c r="S576" s="987"/>
      <c r="T576" s="985"/>
    </row>
    <row r="577" spans="1:20" ht="15.75" x14ac:dyDescent="0.25">
      <c r="A577" s="693"/>
      <c r="B577" s="1187" t="s">
        <v>643</v>
      </c>
      <c r="C577" s="1187">
        <v>1017</v>
      </c>
      <c r="D577" s="985" t="s">
        <v>1472</v>
      </c>
      <c r="E577" s="985" t="s">
        <v>1473</v>
      </c>
      <c r="F577" s="986">
        <v>2000000</v>
      </c>
      <c r="G577" s="987"/>
      <c r="H577" s="987">
        <v>2000000</v>
      </c>
      <c r="I577" s="987"/>
      <c r="J577" s="988"/>
      <c r="K577" s="987"/>
      <c r="L577" s="1008">
        <f t="shared" si="32"/>
        <v>2000000</v>
      </c>
      <c r="M577" s="989"/>
      <c r="N577" s="1013">
        <f t="shared" si="33"/>
        <v>0</v>
      </c>
      <c r="O577" s="1010"/>
      <c r="P577" s="990"/>
      <c r="Q577" s="987"/>
      <c r="R577" s="1152"/>
      <c r="S577" s="987"/>
      <c r="T577" s="985"/>
    </row>
    <row r="578" spans="1:20" ht="15.75" x14ac:dyDescent="0.25">
      <c r="A578" s="693"/>
      <c r="B578" s="1187" t="s">
        <v>643</v>
      </c>
      <c r="C578" s="1187">
        <v>1017</v>
      </c>
      <c r="D578" s="985" t="s">
        <v>1474</v>
      </c>
      <c r="E578" s="983" t="s">
        <v>1475</v>
      </c>
      <c r="F578" s="986">
        <v>3078000</v>
      </c>
      <c r="G578" s="987"/>
      <c r="H578" s="987">
        <v>3078000</v>
      </c>
      <c r="I578" s="987"/>
      <c r="J578" s="988"/>
      <c r="K578" s="987"/>
      <c r="L578" s="1008">
        <f t="shared" si="32"/>
        <v>3078000</v>
      </c>
      <c r="M578" s="989"/>
      <c r="N578" s="1013">
        <f t="shared" si="33"/>
        <v>0</v>
      </c>
      <c r="O578" s="1010"/>
      <c r="P578" s="990"/>
      <c r="Q578" s="987"/>
      <c r="R578" s="1152"/>
      <c r="S578" s="987"/>
      <c r="T578" s="985"/>
    </row>
    <row r="579" spans="1:20" ht="15.75" x14ac:dyDescent="0.25">
      <c r="A579" s="693"/>
      <c r="B579" s="1187" t="s">
        <v>643</v>
      </c>
      <c r="C579" s="1187">
        <v>1017</v>
      </c>
      <c r="D579" s="985" t="s">
        <v>607</v>
      </c>
      <c r="E579" s="983" t="s">
        <v>1208</v>
      </c>
      <c r="F579" s="986">
        <v>723000</v>
      </c>
      <c r="G579" s="987"/>
      <c r="H579" s="987">
        <v>723000</v>
      </c>
      <c r="I579" s="987"/>
      <c r="J579" s="988"/>
      <c r="K579" s="987"/>
      <c r="L579" s="1008">
        <f t="shared" si="32"/>
        <v>723000</v>
      </c>
      <c r="M579" s="989"/>
      <c r="N579" s="1013">
        <f t="shared" si="33"/>
        <v>0</v>
      </c>
      <c r="O579" s="1010"/>
      <c r="P579" s="990"/>
      <c r="Q579" s="987"/>
      <c r="R579" s="1152"/>
      <c r="S579" s="987"/>
      <c r="T579" s="985"/>
    </row>
    <row r="580" spans="1:20" ht="15.75" x14ac:dyDescent="0.25">
      <c r="A580" s="693"/>
      <c r="B580" s="1187" t="s">
        <v>643</v>
      </c>
      <c r="C580" s="1187">
        <v>1017</v>
      </c>
      <c r="D580" s="985" t="s">
        <v>394</v>
      </c>
      <c r="E580" s="983" t="s">
        <v>1316</v>
      </c>
      <c r="F580" s="986">
        <v>3500000</v>
      </c>
      <c r="G580" s="987"/>
      <c r="H580" s="987">
        <v>3500000</v>
      </c>
      <c r="I580" s="987"/>
      <c r="J580" s="988"/>
      <c r="K580" s="987"/>
      <c r="L580" s="1008">
        <f t="shared" si="32"/>
        <v>3500000</v>
      </c>
      <c r="M580" s="989"/>
      <c r="N580" s="1013">
        <f t="shared" si="33"/>
        <v>0</v>
      </c>
      <c r="O580" s="1010"/>
      <c r="P580" s="990"/>
      <c r="Q580" s="987"/>
      <c r="R580" s="1152"/>
      <c r="S580" s="987"/>
      <c r="T580" s="985"/>
    </row>
    <row r="581" spans="1:20" ht="15.75" x14ac:dyDescent="0.25">
      <c r="A581" s="693"/>
      <c r="B581" s="1187" t="s">
        <v>643</v>
      </c>
      <c r="C581" s="1187">
        <v>1017</v>
      </c>
      <c r="D581" s="985" t="s">
        <v>1476</v>
      </c>
      <c r="E581" s="983" t="s">
        <v>1477</v>
      </c>
      <c r="F581" s="986">
        <v>5000000</v>
      </c>
      <c r="G581" s="987"/>
      <c r="H581" s="987">
        <v>2500000</v>
      </c>
      <c r="I581" s="987">
        <v>2500000</v>
      </c>
      <c r="J581" s="988"/>
      <c r="K581" s="987"/>
      <c r="L581" s="1008">
        <f t="shared" si="32"/>
        <v>5000000</v>
      </c>
      <c r="M581" s="989"/>
      <c r="N581" s="1013">
        <f t="shared" si="33"/>
        <v>0</v>
      </c>
      <c r="O581" s="1010"/>
      <c r="P581" s="990"/>
      <c r="Q581" s="987"/>
      <c r="R581" s="1152"/>
      <c r="S581" s="987"/>
      <c r="T581" s="985"/>
    </row>
    <row r="582" spans="1:20" ht="15.75" x14ac:dyDescent="0.25">
      <c r="A582" s="693"/>
      <c r="B582" s="1187" t="s">
        <v>643</v>
      </c>
      <c r="C582" s="1187">
        <v>1017</v>
      </c>
      <c r="D582" s="985" t="s">
        <v>1478</v>
      </c>
      <c r="E582" s="985" t="s">
        <v>1465</v>
      </c>
      <c r="F582" s="986">
        <v>30000000</v>
      </c>
      <c r="G582" s="987"/>
      <c r="H582" s="987">
        <v>30000000</v>
      </c>
      <c r="I582" s="987"/>
      <c r="J582" s="988"/>
      <c r="K582" s="987"/>
      <c r="L582" s="1008">
        <f t="shared" si="32"/>
        <v>30000000</v>
      </c>
      <c r="M582" s="989"/>
      <c r="N582" s="1013">
        <f t="shared" si="33"/>
        <v>0</v>
      </c>
      <c r="O582" s="1010"/>
      <c r="P582" s="990"/>
      <c r="Q582" s="987"/>
      <c r="R582" s="1152"/>
      <c r="S582" s="987"/>
      <c r="T582" s="985"/>
    </row>
    <row r="583" spans="1:20" ht="15.75" x14ac:dyDescent="0.25">
      <c r="A583" s="693"/>
      <c r="B583" s="1187" t="s">
        <v>643</v>
      </c>
      <c r="C583" s="1187">
        <v>1017</v>
      </c>
      <c r="D583" s="985" t="s">
        <v>1479</v>
      </c>
      <c r="E583" s="985" t="s">
        <v>1480</v>
      </c>
      <c r="F583" s="986">
        <v>1100000</v>
      </c>
      <c r="G583" s="987"/>
      <c r="H583" s="987">
        <v>1100000</v>
      </c>
      <c r="I583" s="987"/>
      <c r="J583" s="988"/>
      <c r="K583" s="987"/>
      <c r="L583" s="1008">
        <f t="shared" si="32"/>
        <v>1100000</v>
      </c>
      <c r="M583" s="989"/>
      <c r="N583" s="1013">
        <f t="shared" si="33"/>
        <v>0</v>
      </c>
      <c r="O583" s="1010"/>
      <c r="P583" s="990"/>
      <c r="Q583" s="987"/>
      <c r="R583" s="1152"/>
      <c r="S583" s="987"/>
      <c r="T583" s="985"/>
    </row>
    <row r="584" spans="1:20" ht="15.75" x14ac:dyDescent="0.25">
      <c r="A584" s="693"/>
      <c r="B584" s="1187" t="s">
        <v>643</v>
      </c>
      <c r="C584" s="1187">
        <v>1017</v>
      </c>
      <c r="D584" s="985" t="s">
        <v>1481</v>
      </c>
      <c r="E584" s="985" t="s">
        <v>1480</v>
      </c>
      <c r="F584" s="986">
        <v>1100000</v>
      </c>
      <c r="G584" s="987"/>
      <c r="H584" s="987">
        <v>1100000</v>
      </c>
      <c r="I584" s="987"/>
      <c r="J584" s="988"/>
      <c r="K584" s="987"/>
      <c r="L584" s="1008">
        <f t="shared" si="32"/>
        <v>1100000</v>
      </c>
      <c r="M584" s="989"/>
      <c r="N584" s="1013">
        <f t="shared" si="33"/>
        <v>0</v>
      </c>
      <c r="O584" s="1010"/>
      <c r="P584" s="990"/>
      <c r="Q584" s="987"/>
      <c r="R584" s="1152"/>
      <c r="S584" s="987"/>
      <c r="T584" s="985"/>
    </row>
    <row r="585" spans="1:20" ht="15.75" x14ac:dyDescent="0.25">
      <c r="A585" s="693"/>
      <c r="B585" s="1187" t="s">
        <v>643</v>
      </c>
      <c r="C585" s="1187">
        <v>1017</v>
      </c>
      <c r="D585" s="985" t="s">
        <v>1482</v>
      </c>
      <c r="E585" s="985" t="s">
        <v>662</v>
      </c>
      <c r="F585" s="986">
        <v>4777000</v>
      </c>
      <c r="G585" s="987"/>
      <c r="H585" s="987">
        <v>4777000</v>
      </c>
      <c r="I585" s="987"/>
      <c r="J585" s="988"/>
      <c r="K585" s="987"/>
      <c r="L585" s="1008">
        <f t="shared" si="32"/>
        <v>4777000</v>
      </c>
      <c r="M585" s="989"/>
      <c r="N585" s="1013">
        <f t="shared" si="33"/>
        <v>0</v>
      </c>
      <c r="O585" s="1010"/>
      <c r="P585" s="990"/>
      <c r="Q585" s="987"/>
      <c r="R585" s="1152"/>
      <c r="S585" s="987"/>
      <c r="T585" s="985"/>
    </row>
    <row r="586" spans="1:20" ht="15.75" x14ac:dyDescent="0.25">
      <c r="A586" s="693"/>
      <c r="B586" s="1187" t="s">
        <v>643</v>
      </c>
      <c r="C586" s="1187">
        <v>1017</v>
      </c>
      <c r="D586" s="985" t="s">
        <v>1483</v>
      </c>
      <c r="E586" s="985" t="s">
        <v>1484</v>
      </c>
      <c r="F586" s="986">
        <v>32747440</v>
      </c>
      <c r="G586" s="987"/>
      <c r="H586" s="987">
        <v>16373720</v>
      </c>
      <c r="I586" s="987"/>
      <c r="J586" s="988"/>
      <c r="K586" s="987"/>
      <c r="L586" s="1008">
        <f t="shared" si="32"/>
        <v>16373720</v>
      </c>
      <c r="M586" s="989"/>
      <c r="N586" s="1013">
        <f t="shared" si="33"/>
        <v>16373720</v>
      </c>
      <c r="O586" s="1010"/>
      <c r="P586" s="990"/>
      <c r="Q586" s="987"/>
      <c r="R586" s="1152"/>
      <c r="S586" s="987" t="s">
        <v>1417</v>
      </c>
      <c r="T586" s="985" t="s">
        <v>1323</v>
      </c>
    </row>
    <row r="587" spans="1:20" ht="15.75" x14ac:dyDescent="0.25">
      <c r="A587" s="693"/>
      <c r="B587" s="1187" t="s">
        <v>643</v>
      </c>
      <c r="C587" s="1187">
        <v>1017</v>
      </c>
      <c r="D587" s="985" t="s">
        <v>1485</v>
      </c>
      <c r="E587" s="985" t="s">
        <v>1486</v>
      </c>
      <c r="F587" s="986">
        <v>40260000</v>
      </c>
      <c r="G587" s="987"/>
      <c r="H587" s="987">
        <v>28182000</v>
      </c>
      <c r="I587" s="987"/>
      <c r="J587" s="988"/>
      <c r="K587" s="987"/>
      <c r="L587" s="1008">
        <f t="shared" si="32"/>
        <v>28182000</v>
      </c>
      <c r="M587" s="989"/>
      <c r="N587" s="1013">
        <f t="shared" si="33"/>
        <v>12078000</v>
      </c>
      <c r="O587" s="1010"/>
      <c r="P587" s="990"/>
      <c r="Q587" s="987"/>
      <c r="R587" s="1152"/>
      <c r="S587" s="987" t="s">
        <v>1417</v>
      </c>
      <c r="T587" s="985" t="s">
        <v>1487</v>
      </c>
    </row>
    <row r="588" spans="1:20" ht="15.75" x14ac:dyDescent="0.25">
      <c r="A588" s="693"/>
      <c r="B588" s="1187" t="s">
        <v>643</v>
      </c>
      <c r="C588" s="1187">
        <v>1017</v>
      </c>
      <c r="D588" s="985" t="s">
        <v>1427</v>
      </c>
      <c r="E588" s="985" t="s">
        <v>1237</v>
      </c>
      <c r="F588" s="986">
        <v>1996808</v>
      </c>
      <c r="G588" s="987"/>
      <c r="H588" s="987">
        <v>1996808</v>
      </c>
      <c r="I588" s="987"/>
      <c r="J588" s="988"/>
      <c r="K588" s="987"/>
      <c r="L588" s="1008">
        <f t="shared" si="32"/>
        <v>1996808</v>
      </c>
      <c r="M588" s="989"/>
      <c r="N588" s="1013">
        <f t="shared" si="33"/>
        <v>0</v>
      </c>
      <c r="O588" s="1010"/>
      <c r="P588" s="990"/>
      <c r="Q588" s="987"/>
      <c r="R588" s="1152"/>
      <c r="S588" s="987"/>
      <c r="T588" s="985"/>
    </row>
    <row r="589" spans="1:20" ht="15.75" x14ac:dyDescent="0.25">
      <c r="A589" s="693"/>
      <c r="B589" s="1187" t="s">
        <v>643</v>
      </c>
      <c r="C589" s="1187">
        <v>1017</v>
      </c>
      <c r="D589" s="985" t="s">
        <v>1488</v>
      </c>
      <c r="E589" s="985" t="s">
        <v>521</v>
      </c>
      <c r="F589" s="986">
        <v>1520000</v>
      </c>
      <c r="G589" s="987"/>
      <c r="H589" s="987">
        <v>1520000</v>
      </c>
      <c r="I589" s="987"/>
      <c r="J589" s="988"/>
      <c r="K589" s="987"/>
      <c r="L589" s="1008">
        <f t="shared" si="32"/>
        <v>1520000</v>
      </c>
      <c r="M589" s="989"/>
      <c r="N589" s="1013">
        <f t="shared" si="33"/>
        <v>0</v>
      </c>
      <c r="O589" s="1010"/>
      <c r="P589" s="990"/>
      <c r="Q589" s="987"/>
      <c r="R589" s="1152"/>
      <c r="S589" s="987"/>
      <c r="T589" s="985"/>
    </row>
    <row r="590" spans="1:20" ht="15.75" x14ac:dyDescent="0.25">
      <c r="A590" s="693"/>
      <c r="B590" s="1187" t="s">
        <v>643</v>
      </c>
      <c r="C590" s="1187">
        <v>1017</v>
      </c>
      <c r="D590" s="985" t="s">
        <v>1450</v>
      </c>
      <c r="E590" s="985" t="s">
        <v>1451</v>
      </c>
      <c r="F590" s="986">
        <v>1760000</v>
      </c>
      <c r="G590" s="987"/>
      <c r="H590" s="987">
        <v>1760000</v>
      </c>
      <c r="I590" s="987"/>
      <c r="J590" s="988"/>
      <c r="K590" s="987"/>
      <c r="L590" s="1008">
        <f t="shared" si="32"/>
        <v>1760000</v>
      </c>
      <c r="M590" s="989"/>
      <c r="N590" s="1013">
        <f t="shared" si="33"/>
        <v>0</v>
      </c>
      <c r="O590" s="1010"/>
      <c r="P590" s="990"/>
      <c r="Q590" s="987"/>
      <c r="R590" s="1152"/>
      <c r="S590" s="987"/>
      <c r="T590" s="985"/>
    </row>
    <row r="591" spans="1:20" ht="15.75" x14ac:dyDescent="0.25">
      <c r="A591" s="693"/>
      <c r="B591" s="1187" t="s">
        <v>643</v>
      </c>
      <c r="C591" s="1187">
        <v>1017</v>
      </c>
      <c r="D591" s="985" t="s">
        <v>1489</v>
      </c>
      <c r="E591" s="985" t="s">
        <v>662</v>
      </c>
      <c r="F591" s="986">
        <v>12228000</v>
      </c>
      <c r="G591" s="987"/>
      <c r="H591" s="987">
        <v>12228000</v>
      </c>
      <c r="I591" s="987"/>
      <c r="J591" s="988"/>
      <c r="K591" s="987"/>
      <c r="L591" s="1008">
        <f t="shared" si="32"/>
        <v>12228000</v>
      </c>
      <c r="M591" s="989"/>
      <c r="N591" s="1013">
        <f t="shared" si="33"/>
        <v>0</v>
      </c>
      <c r="O591" s="1010"/>
      <c r="P591" s="990"/>
      <c r="Q591" s="987"/>
      <c r="R591" s="1152"/>
      <c r="S591" s="987"/>
      <c r="T591" s="985"/>
    </row>
    <row r="592" spans="1:20" ht="15.75" x14ac:dyDescent="0.25">
      <c r="A592" s="693"/>
      <c r="B592" s="1187" t="s">
        <v>643</v>
      </c>
      <c r="C592" s="1187">
        <v>1017</v>
      </c>
      <c r="D592" s="985" t="s">
        <v>1490</v>
      </c>
      <c r="E592" s="985" t="s">
        <v>1338</v>
      </c>
      <c r="F592" s="986">
        <v>3750000</v>
      </c>
      <c r="G592" s="987"/>
      <c r="H592" s="987">
        <v>3750000</v>
      </c>
      <c r="I592" s="987"/>
      <c r="J592" s="988"/>
      <c r="K592" s="987"/>
      <c r="L592" s="1008">
        <f t="shared" si="32"/>
        <v>3750000</v>
      </c>
      <c r="M592" s="989"/>
      <c r="N592" s="1013">
        <f t="shared" si="33"/>
        <v>0</v>
      </c>
      <c r="O592" s="1010"/>
      <c r="P592" s="990"/>
      <c r="Q592" s="987"/>
      <c r="R592" s="1152"/>
      <c r="S592" s="987"/>
      <c r="T592" s="985"/>
    </row>
    <row r="593" spans="1:23" x14ac:dyDescent="0.25">
      <c r="A593" s="693"/>
      <c r="B593" s="1187" t="s">
        <v>643</v>
      </c>
      <c r="C593" s="1187">
        <v>1017</v>
      </c>
      <c r="D593" s="976" t="s">
        <v>947</v>
      </c>
      <c r="E593" s="976"/>
      <c r="F593" s="973">
        <f>W593</f>
        <v>1869000</v>
      </c>
      <c r="G593" s="974"/>
      <c r="H593" s="974">
        <v>439000</v>
      </c>
      <c r="I593" s="974">
        <v>590000</v>
      </c>
      <c r="J593" s="975">
        <v>840000</v>
      </c>
      <c r="K593" s="974"/>
      <c r="L593" s="1008">
        <f t="shared" si="32"/>
        <v>1869000</v>
      </c>
      <c r="M593" s="991" t="e">
        <f>IF(G593="",F593-L593-#REF!,G593-L593-#REF!)</f>
        <v>#REF!</v>
      </c>
      <c r="N593" s="1013">
        <f t="shared" si="33"/>
        <v>0</v>
      </c>
      <c r="O593" s="1011"/>
      <c r="P593" s="977"/>
      <c r="Q593" s="974"/>
      <c r="R593" s="1147"/>
      <c r="S593" s="974"/>
      <c r="T593" s="976"/>
      <c r="V593" s="1000" t="s">
        <v>948</v>
      </c>
      <c r="W593" s="1000">
        <f>SUM(W572:W574)</f>
        <v>1869000</v>
      </c>
    </row>
    <row r="594" spans="1:23" ht="15.75" x14ac:dyDescent="0.25">
      <c r="A594" s="723"/>
      <c r="B594" s="999" t="s">
        <v>997</v>
      </c>
      <c r="C594" s="999"/>
      <c r="D594" s="999" t="s">
        <v>643</v>
      </c>
      <c r="E594" s="992"/>
      <c r="F594" s="993"/>
      <c r="G594" s="994"/>
      <c r="H594" s="994"/>
      <c r="I594" s="994"/>
      <c r="J594" s="995"/>
      <c r="K594" s="994"/>
      <c r="L594" s="1009">
        <f>SUM(L572:L593)</f>
        <v>202657528</v>
      </c>
      <c r="M594" s="996" t="e">
        <f>SUM(M569:M593)</f>
        <v>#REF!</v>
      </c>
      <c r="N594" s="997">
        <f>SUM(N569:N593)</f>
        <v>28451720</v>
      </c>
      <c r="O594" s="1012"/>
      <c r="P594" s="998"/>
      <c r="Q594" s="994"/>
      <c r="R594" s="1153"/>
      <c r="S594" s="994"/>
      <c r="T594" s="992"/>
    </row>
    <row r="595" spans="1:23" x14ac:dyDescent="0.25">
      <c r="A595" s="686">
        <v>26</v>
      </c>
      <c r="B595" s="1187" t="s">
        <v>1491</v>
      </c>
      <c r="C595" s="1187">
        <v>1017</v>
      </c>
      <c r="D595" s="976" t="s">
        <v>1117</v>
      </c>
      <c r="E595" s="979" t="s">
        <v>1118</v>
      </c>
      <c r="F595" s="980">
        <v>500939941</v>
      </c>
      <c r="G595" s="1310">
        <v>576341000</v>
      </c>
      <c r="H595" s="981">
        <v>136272582</v>
      </c>
      <c r="I595" s="981">
        <v>181696776</v>
      </c>
      <c r="J595" s="982"/>
      <c r="K595" s="981"/>
      <c r="L595" s="1008">
        <f>SUM(H595:K595)</f>
        <v>317969358</v>
      </c>
      <c r="M595" s="976"/>
      <c r="N595" s="1312">
        <f>G595-L595-L596</f>
        <v>149409642</v>
      </c>
      <c r="O595" s="1006"/>
      <c r="P595" s="984"/>
      <c r="Q595" s="981"/>
      <c r="R595" s="1154"/>
      <c r="S595" s="981"/>
      <c r="T595" s="1314">
        <f>G595*5%</f>
        <v>28817050</v>
      </c>
      <c r="V595" s="687" t="s">
        <v>1243</v>
      </c>
      <c r="W595" s="687">
        <v>240000</v>
      </c>
    </row>
    <row r="596" spans="1:23" x14ac:dyDescent="0.25">
      <c r="B596" s="1187" t="s">
        <v>1491</v>
      </c>
      <c r="C596" s="1187">
        <v>1017</v>
      </c>
      <c r="D596" s="976" t="s">
        <v>1492</v>
      </c>
      <c r="E596" s="972" t="s">
        <v>1118</v>
      </c>
      <c r="F596" s="973">
        <v>108962000</v>
      </c>
      <c r="G596" s="1311"/>
      <c r="H596" s="974"/>
      <c r="I596" s="974">
        <v>108962000</v>
      </c>
      <c r="J596" s="975"/>
      <c r="K596" s="974"/>
      <c r="L596" s="1008">
        <f t="shared" ref="L596:L605" si="34">SUM(H596:K596)</f>
        <v>108962000</v>
      </c>
      <c r="M596" s="976"/>
      <c r="N596" s="1313"/>
      <c r="O596" s="1011"/>
      <c r="P596" s="977"/>
      <c r="Q596" s="974"/>
      <c r="R596" s="1147"/>
      <c r="S596" s="974"/>
      <c r="T596" s="1315"/>
      <c r="V596" s="687" t="s">
        <v>1244</v>
      </c>
      <c r="W596" s="687">
        <v>840000</v>
      </c>
    </row>
    <row r="597" spans="1:23" x14ac:dyDescent="0.25">
      <c r="B597" s="1187" t="s">
        <v>1491</v>
      </c>
      <c r="C597" s="1187">
        <v>1017</v>
      </c>
      <c r="D597" s="976" t="s">
        <v>1493</v>
      </c>
      <c r="E597" s="1001" t="s">
        <v>1494</v>
      </c>
      <c r="F597" s="980">
        <v>19800000</v>
      </c>
      <c r="G597" s="1002"/>
      <c r="H597" s="1003">
        <v>9900000</v>
      </c>
      <c r="I597" s="981">
        <v>9900000</v>
      </c>
      <c r="J597" s="982"/>
      <c r="K597" s="1002"/>
      <c r="L597" s="1008">
        <f t="shared" si="34"/>
        <v>19800000</v>
      </c>
      <c r="M597" s="976"/>
      <c r="N597" s="1013">
        <f t="shared" ref="N597:N634" si="35">IF($G597="",($F597-$L597),($G597-$L597))</f>
        <v>0</v>
      </c>
      <c r="O597" s="1004"/>
      <c r="P597" s="984"/>
      <c r="Q597" s="1005"/>
      <c r="R597" s="1155"/>
      <c r="S597" s="1005"/>
      <c r="T597" s="1006"/>
      <c r="V597" s="687" t="s">
        <v>1495</v>
      </c>
      <c r="W597" s="687">
        <v>826000</v>
      </c>
    </row>
    <row r="598" spans="1:23" x14ac:dyDescent="0.25">
      <c r="B598" s="1187" t="s">
        <v>1491</v>
      </c>
      <c r="C598" s="1187">
        <v>1017</v>
      </c>
      <c r="D598" s="686" t="s">
        <v>1496</v>
      </c>
      <c r="E598" s="1001" t="s">
        <v>1497</v>
      </c>
      <c r="F598" s="980">
        <v>3255000</v>
      </c>
      <c r="G598" s="1002"/>
      <c r="H598" s="1003"/>
      <c r="I598" s="981">
        <v>3255000</v>
      </c>
      <c r="J598" s="982"/>
      <c r="K598" s="1002"/>
      <c r="L598" s="1008">
        <f t="shared" si="34"/>
        <v>3255000</v>
      </c>
      <c r="M598" s="976"/>
      <c r="N598" s="1013">
        <f t="shared" si="35"/>
        <v>0</v>
      </c>
      <c r="O598" s="1004"/>
      <c r="P598" s="984"/>
      <c r="Q598" s="1005"/>
      <c r="R598" s="1155"/>
      <c r="S598" s="1005"/>
      <c r="T598" s="1006"/>
      <c r="V598" s="687" t="s">
        <v>1498</v>
      </c>
      <c r="W598" s="687">
        <v>772000</v>
      </c>
    </row>
    <row r="599" spans="1:23" x14ac:dyDescent="0.25">
      <c r="B599" s="1187" t="s">
        <v>1491</v>
      </c>
      <c r="C599" s="1187">
        <v>1017</v>
      </c>
      <c r="D599" s="976" t="s">
        <v>1499</v>
      </c>
      <c r="E599" s="1001" t="s">
        <v>1500</v>
      </c>
      <c r="F599" s="980">
        <v>21000000</v>
      </c>
      <c r="G599" s="1002"/>
      <c r="H599" s="1003">
        <v>21000000</v>
      </c>
      <c r="I599" s="981"/>
      <c r="J599" s="982"/>
      <c r="K599" s="1002"/>
      <c r="L599" s="1008">
        <f t="shared" si="34"/>
        <v>21000000</v>
      </c>
      <c r="M599" s="976"/>
      <c r="N599" s="1013">
        <f t="shared" si="35"/>
        <v>0</v>
      </c>
      <c r="O599" s="1004"/>
      <c r="P599" s="984"/>
      <c r="Q599" s="1005"/>
      <c r="R599" s="1155"/>
      <c r="S599" s="1005"/>
      <c r="T599" s="1006"/>
      <c r="V599" s="687" t="s">
        <v>1454</v>
      </c>
      <c r="W599" s="687">
        <v>870000</v>
      </c>
    </row>
    <row r="600" spans="1:23" x14ac:dyDescent="0.25">
      <c r="B600" s="1187" t="s">
        <v>1491</v>
      </c>
      <c r="C600" s="1187">
        <v>1017</v>
      </c>
      <c r="D600" s="976" t="s">
        <v>1501</v>
      </c>
      <c r="E600" s="976" t="s">
        <v>1120</v>
      </c>
      <c r="F600" s="1014">
        <v>195000000</v>
      </c>
      <c r="G600" s="974">
        <v>196200000</v>
      </c>
      <c r="H600" s="1014">
        <v>78000000</v>
      </c>
      <c r="I600" s="974">
        <v>58000000</v>
      </c>
      <c r="J600" s="975">
        <v>60200000</v>
      </c>
      <c r="K600" s="974"/>
      <c r="L600" s="691">
        <f t="shared" si="34"/>
        <v>196200000</v>
      </c>
      <c r="M600" s="976"/>
      <c r="N600" s="1013">
        <f t="shared" si="35"/>
        <v>0</v>
      </c>
      <c r="O600" s="1004"/>
      <c r="P600" s="984"/>
      <c r="Q600" s="1005"/>
      <c r="R600" s="1155"/>
      <c r="S600" s="1005"/>
      <c r="T600" s="1006"/>
    </row>
    <row r="601" spans="1:23" x14ac:dyDescent="0.25">
      <c r="B601" s="1187" t="s">
        <v>1491</v>
      </c>
      <c r="C601" s="1187">
        <v>1017</v>
      </c>
      <c r="D601" s="976" t="s">
        <v>1502</v>
      </c>
      <c r="E601" s="972" t="s">
        <v>1503</v>
      </c>
      <c r="F601" s="973">
        <v>3200000</v>
      </c>
      <c r="G601" s="974"/>
      <c r="H601" s="974">
        <v>3200000</v>
      </c>
      <c r="I601" s="974"/>
      <c r="J601" s="975"/>
      <c r="K601" s="974"/>
      <c r="L601" s="1008">
        <f t="shared" si="34"/>
        <v>3200000</v>
      </c>
      <c r="M601" s="976"/>
      <c r="N601" s="1013">
        <f t="shared" si="35"/>
        <v>0</v>
      </c>
      <c r="O601" s="1004"/>
      <c r="P601" s="984"/>
      <c r="Q601" s="1005"/>
      <c r="R601" s="1155"/>
      <c r="S601" s="1005"/>
      <c r="T601" s="1006"/>
    </row>
    <row r="602" spans="1:23" x14ac:dyDescent="0.25">
      <c r="B602" s="1187" t="s">
        <v>1491</v>
      </c>
      <c r="C602" s="1187">
        <v>1017</v>
      </c>
      <c r="D602" s="976" t="s">
        <v>1504</v>
      </c>
      <c r="E602" s="972" t="s">
        <v>1505</v>
      </c>
      <c r="F602" s="973">
        <v>1720000</v>
      </c>
      <c r="G602" s="974"/>
      <c r="H602" s="974">
        <v>1720000</v>
      </c>
      <c r="I602" s="974"/>
      <c r="J602" s="975"/>
      <c r="K602" s="974"/>
      <c r="L602" s="1008">
        <f t="shared" si="34"/>
        <v>1720000</v>
      </c>
      <c r="M602" s="976"/>
      <c r="N602" s="1013">
        <f t="shared" si="35"/>
        <v>0</v>
      </c>
      <c r="O602" s="1004"/>
      <c r="P602" s="984"/>
      <c r="Q602" s="1005"/>
      <c r="R602" s="1155"/>
      <c r="S602" s="1005"/>
      <c r="T602" s="1006"/>
    </row>
    <row r="603" spans="1:23" x14ac:dyDescent="0.25">
      <c r="B603" s="1187" t="s">
        <v>1491</v>
      </c>
      <c r="C603" s="1187">
        <v>1017</v>
      </c>
      <c r="D603" s="976" t="s">
        <v>1390</v>
      </c>
      <c r="E603" s="976" t="s">
        <v>1088</v>
      </c>
      <c r="F603" s="973">
        <v>1200000</v>
      </c>
      <c r="G603" s="974"/>
      <c r="H603" s="974">
        <v>1200000</v>
      </c>
      <c r="I603" s="974"/>
      <c r="J603" s="975"/>
      <c r="K603" s="974"/>
      <c r="L603" s="1008">
        <f t="shared" si="34"/>
        <v>1200000</v>
      </c>
      <c r="M603" s="976"/>
      <c r="N603" s="1013">
        <f t="shared" si="35"/>
        <v>0</v>
      </c>
      <c r="O603" s="1004"/>
      <c r="P603" s="984"/>
      <c r="Q603" s="1005"/>
      <c r="R603" s="1155"/>
      <c r="S603" s="1005"/>
      <c r="T603" s="1006"/>
      <c r="V603" s="686"/>
      <c r="W603" s="686"/>
    </row>
    <row r="604" spans="1:23" x14ac:dyDescent="0.25">
      <c r="B604" s="1187" t="s">
        <v>1491</v>
      </c>
      <c r="C604" s="1187">
        <v>1017</v>
      </c>
      <c r="D604" s="976" t="s">
        <v>1099</v>
      </c>
      <c r="E604" s="1004" t="s">
        <v>1506</v>
      </c>
      <c r="F604" s="980">
        <v>52950000</v>
      </c>
      <c r="G604" s="1002"/>
      <c r="H604" s="1003">
        <v>4380000</v>
      </c>
      <c r="I604" s="981">
        <v>11064000</v>
      </c>
      <c r="J604" s="982">
        <v>37506000</v>
      </c>
      <c r="K604" s="1002"/>
      <c r="L604" s="1008">
        <f t="shared" si="34"/>
        <v>52950000</v>
      </c>
      <c r="M604" s="976"/>
      <c r="N604" s="1013">
        <f t="shared" si="35"/>
        <v>0</v>
      </c>
      <c r="O604" s="1004"/>
      <c r="P604" s="984"/>
      <c r="Q604" s="1005"/>
      <c r="R604" s="1155"/>
      <c r="S604" s="1005"/>
      <c r="T604" s="1006"/>
      <c r="V604" s="686"/>
      <c r="W604" s="686"/>
    </row>
    <row r="605" spans="1:23" x14ac:dyDescent="0.25">
      <c r="B605" s="1187" t="s">
        <v>1491</v>
      </c>
      <c r="C605" s="1187">
        <v>1017</v>
      </c>
      <c r="D605" s="976" t="s">
        <v>981</v>
      </c>
      <c r="E605" s="1004" t="s">
        <v>1507</v>
      </c>
      <c r="F605" s="980">
        <v>700000</v>
      </c>
      <c r="G605" s="1002"/>
      <c r="H605" s="1003">
        <v>700000</v>
      </c>
      <c r="I605" s="981"/>
      <c r="J605" s="982"/>
      <c r="K605" s="1002"/>
      <c r="L605" s="1008">
        <f t="shared" si="34"/>
        <v>700000</v>
      </c>
      <c r="M605" s="976"/>
      <c r="N605" s="1013">
        <f t="shared" si="35"/>
        <v>0</v>
      </c>
      <c r="O605" s="1004"/>
      <c r="P605" s="984"/>
      <c r="Q605" s="1005"/>
      <c r="R605" s="1155"/>
      <c r="S605" s="1005"/>
      <c r="T605" s="1006"/>
      <c r="V605" s="686"/>
      <c r="W605" s="686"/>
    </row>
    <row r="606" spans="1:23" x14ac:dyDescent="0.25">
      <c r="B606" s="1187" t="s">
        <v>1491</v>
      </c>
      <c r="C606" s="1187">
        <v>1017</v>
      </c>
      <c r="D606" s="976" t="s">
        <v>1508</v>
      </c>
      <c r="E606" s="1004" t="s">
        <v>1509</v>
      </c>
      <c r="F606" s="980">
        <v>185548000</v>
      </c>
      <c r="G606" s="1002">
        <v>166896870</v>
      </c>
      <c r="H606" s="1003">
        <v>55664400</v>
      </c>
      <c r="I606" s="981">
        <v>74219000</v>
      </c>
      <c r="J606" s="982">
        <v>37013470</v>
      </c>
      <c r="K606" s="1002"/>
      <c r="L606" s="1008">
        <f t="shared" ref="L606:L620" si="36">SUM(H606:K606)</f>
        <v>166896870</v>
      </c>
      <c r="M606" s="976"/>
      <c r="N606" s="1013">
        <f t="shared" si="35"/>
        <v>0</v>
      </c>
      <c r="O606" s="1004"/>
      <c r="P606" s="984"/>
      <c r="Q606" s="1005"/>
      <c r="R606" s="1155"/>
      <c r="S606" s="1005"/>
      <c r="T606" s="1006"/>
      <c r="V606" s="686"/>
      <c r="W606" s="686"/>
    </row>
    <row r="607" spans="1:23" x14ac:dyDescent="0.25">
      <c r="B607" s="1187" t="s">
        <v>1491</v>
      </c>
      <c r="C607" s="1187">
        <v>1017</v>
      </c>
      <c r="D607" s="976" t="s">
        <v>1510</v>
      </c>
      <c r="E607" s="1004" t="s">
        <v>1511</v>
      </c>
      <c r="F607" s="980">
        <v>130000</v>
      </c>
      <c r="G607" s="1002"/>
      <c r="H607" s="1003">
        <v>130000</v>
      </c>
      <c r="I607" s="981"/>
      <c r="J607" s="982"/>
      <c r="K607" s="1002"/>
      <c r="L607" s="1008">
        <f t="shared" si="36"/>
        <v>130000</v>
      </c>
      <c r="M607" s="976"/>
      <c r="N607" s="1013">
        <f t="shared" si="35"/>
        <v>0</v>
      </c>
      <c r="O607" s="1004"/>
      <c r="P607" s="984"/>
      <c r="Q607" s="1005"/>
      <c r="R607" s="1155"/>
      <c r="S607" s="1005"/>
      <c r="T607" s="1006"/>
      <c r="V607" s="686"/>
      <c r="W607" s="686"/>
    </row>
    <row r="608" spans="1:23" x14ac:dyDescent="0.25">
      <c r="B608" s="1187" t="s">
        <v>1491</v>
      </c>
      <c r="C608" s="1187">
        <v>1017</v>
      </c>
      <c r="D608" s="976" t="s">
        <v>1512</v>
      </c>
      <c r="E608" s="985" t="s">
        <v>521</v>
      </c>
      <c r="F608" s="980">
        <v>26905000</v>
      </c>
      <c r="G608" s="1002"/>
      <c r="H608" s="1003">
        <v>9000000</v>
      </c>
      <c r="I608" s="981">
        <v>13400000</v>
      </c>
      <c r="J608" s="982"/>
      <c r="K608" s="1002"/>
      <c r="L608" s="1008">
        <f t="shared" si="36"/>
        <v>22400000</v>
      </c>
      <c r="M608" s="976"/>
      <c r="N608" s="1013">
        <f t="shared" si="35"/>
        <v>4505000</v>
      </c>
      <c r="O608" s="1004"/>
      <c r="P608" s="984"/>
      <c r="Q608" s="1005"/>
      <c r="R608" s="1155"/>
      <c r="S608" s="1005"/>
      <c r="T608" s="1006"/>
      <c r="V608" s="686"/>
      <c r="W608" s="686"/>
    </row>
    <row r="609" spans="2:23" x14ac:dyDescent="0.25">
      <c r="B609" s="1187" t="s">
        <v>1491</v>
      </c>
      <c r="C609" s="1187">
        <v>1017</v>
      </c>
      <c r="D609" s="976" t="s">
        <v>1513</v>
      </c>
      <c r="E609" s="1047" t="s">
        <v>1514</v>
      </c>
      <c r="F609" s="980">
        <v>400000000</v>
      </c>
      <c r="G609" s="1002"/>
      <c r="H609" s="1003">
        <v>160000000</v>
      </c>
      <c r="I609" s="981"/>
      <c r="J609" s="982"/>
      <c r="K609" s="1002"/>
      <c r="L609" s="1008">
        <f t="shared" si="36"/>
        <v>160000000</v>
      </c>
      <c r="M609" s="976"/>
      <c r="N609" s="1013">
        <f t="shared" si="35"/>
        <v>240000000</v>
      </c>
      <c r="O609" s="1004"/>
      <c r="P609" s="984"/>
      <c r="Q609" s="1005"/>
      <c r="R609" s="1155"/>
      <c r="S609" s="1005"/>
      <c r="T609" s="1006"/>
      <c r="V609" s="686"/>
      <c r="W609" s="686"/>
    </row>
    <row r="610" spans="2:23" x14ac:dyDescent="0.25">
      <c r="B610" s="1187" t="s">
        <v>1491</v>
      </c>
      <c r="C610" s="1187">
        <v>1017</v>
      </c>
      <c r="D610" s="976" t="s">
        <v>1515</v>
      </c>
      <c r="E610" s="1047" t="s">
        <v>1516</v>
      </c>
      <c r="F610" s="980">
        <v>2920000</v>
      </c>
      <c r="G610" s="1002"/>
      <c r="H610" s="1003">
        <v>2920000</v>
      </c>
      <c r="I610" s="981"/>
      <c r="J610" s="982"/>
      <c r="K610" s="1002"/>
      <c r="L610" s="1008">
        <f t="shared" si="36"/>
        <v>2920000</v>
      </c>
      <c r="M610" s="976"/>
      <c r="N610" s="1013">
        <f t="shared" si="35"/>
        <v>0</v>
      </c>
      <c r="O610" s="1004"/>
      <c r="P610" s="984"/>
      <c r="Q610" s="1005"/>
      <c r="R610" s="1155"/>
      <c r="S610" s="1005"/>
      <c r="T610" s="1006"/>
      <c r="V610" s="686"/>
      <c r="W610" s="686"/>
    </row>
    <row r="611" spans="2:23" x14ac:dyDescent="0.25">
      <c r="B611" s="1187" t="s">
        <v>1491</v>
      </c>
      <c r="C611" s="1187">
        <v>1017</v>
      </c>
      <c r="D611" s="976" t="s">
        <v>1517</v>
      </c>
      <c r="E611" s="1047" t="s">
        <v>1518</v>
      </c>
      <c r="F611" s="980">
        <v>12357500</v>
      </c>
      <c r="G611" s="1002"/>
      <c r="H611" s="1003">
        <v>12357500</v>
      </c>
      <c r="I611" s="981"/>
      <c r="J611" s="982"/>
      <c r="K611" s="1002"/>
      <c r="L611" s="1008">
        <f t="shared" si="36"/>
        <v>12357500</v>
      </c>
      <c r="M611" s="976"/>
      <c r="N611" s="1013">
        <f t="shared" si="35"/>
        <v>0</v>
      </c>
      <c r="O611" s="1004"/>
      <c r="P611" s="984"/>
      <c r="Q611" s="1005"/>
      <c r="R611" s="1155"/>
      <c r="S611" s="1005"/>
      <c r="T611" s="1006"/>
      <c r="V611" s="686"/>
      <c r="W611" s="686"/>
    </row>
    <row r="612" spans="2:23" x14ac:dyDescent="0.25">
      <c r="B612" s="1187" t="s">
        <v>1491</v>
      </c>
      <c r="C612" s="1187">
        <v>1017</v>
      </c>
      <c r="D612" s="976" t="s">
        <v>1519</v>
      </c>
      <c r="E612" s="1047" t="s">
        <v>1520</v>
      </c>
      <c r="F612" s="980">
        <v>650000</v>
      </c>
      <c r="G612" s="1002"/>
      <c r="H612" s="1003">
        <v>650000</v>
      </c>
      <c r="I612" s="981"/>
      <c r="J612" s="982"/>
      <c r="K612" s="1002"/>
      <c r="L612" s="1008">
        <f t="shared" si="36"/>
        <v>650000</v>
      </c>
      <c r="M612" s="976"/>
      <c r="N612" s="1013">
        <f t="shared" si="35"/>
        <v>0</v>
      </c>
      <c r="O612" s="1004"/>
      <c r="P612" s="984"/>
      <c r="Q612" s="1005"/>
      <c r="R612" s="1155"/>
      <c r="S612" s="1005"/>
      <c r="T612" s="1006"/>
      <c r="V612" s="686"/>
      <c r="W612" s="686"/>
    </row>
    <row r="613" spans="2:23" x14ac:dyDescent="0.25">
      <c r="B613" s="1187" t="s">
        <v>1491</v>
      </c>
      <c r="C613" s="1187">
        <v>1017</v>
      </c>
      <c r="D613" s="976" t="s">
        <v>981</v>
      </c>
      <c r="E613" s="1047" t="s">
        <v>1516</v>
      </c>
      <c r="F613" s="980">
        <v>860000</v>
      </c>
      <c r="G613" s="1002"/>
      <c r="H613" s="1003">
        <v>860000</v>
      </c>
      <c r="I613" s="981"/>
      <c r="J613" s="982"/>
      <c r="K613" s="1002"/>
      <c r="L613" s="1008">
        <f t="shared" si="36"/>
        <v>860000</v>
      </c>
      <c r="M613" s="976"/>
      <c r="N613" s="1013">
        <f t="shared" si="35"/>
        <v>0</v>
      </c>
      <c r="O613" s="1004"/>
      <c r="P613" s="984"/>
      <c r="Q613" s="1005"/>
      <c r="R613" s="1155"/>
      <c r="S613" s="1005"/>
      <c r="T613" s="1006"/>
      <c r="V613" s="686"/>
      <c r="W613" s="686"/>
    </row>
    <row r="614" spans="2:23" x14ac:dyDescent="0.25">
      <c r="B614" s="1187" t="s">
        <v>1491</v>
      </c>
      <c r="C614" s="1187">
        <v>1017</v>
      </c>
      <c r="D614" s="976" t="s">
        <v>1521</v>
      </c>
      <c r="E614" s="1004" t="s">
        <v>1506</v>
      </c>
      <c r="F614" s="980">
        <v>1900000</v>
      </c>
      <c r="G614" s="1002"/>
      <c r="H614" s="1003">
        <v>1900000</v>
      </c>
      <c r="I614" s="981"/>
      <c r="J614" s="982"/>
      <c r="K614" s="1002"/>
      <c r="L614" s="1008">
        <f t="shared" si="36"/>
        <v>1900000</v>
      </c>
      <c r="M614" s="976"/>
      <c r="N614" s="1013">
        <f t="shared" si="35"/>
        <v>0</v>
      </c>
      <c r="O614" s="1004"/>
      <c r="P614" s="984"/>
      <c r="Q614" s="1005"/>
      <c r="R614" s="1155"/>
      <c r="S614" s="1005"/>
      <c r="T614" s="1006"/>
      <c r="V614" s="686"/>
      <c r="W614" s="686"/>
    </row>
    <row r="615" spans="2:23" x14ac:dyDescent="0.25">
      <c r="B615" s="1187" t="s">
        <v>1491</v>
      </c>
      <c r="C615" s="1187">
        <v>1017</v>
      </c>
      <c r="D615" s="976" t="s">
        <v>981</v>
      </c>
      <c r="E615" s="1047" t="s">
        <v>1516</v>
      </c>
      <c r="F615" s="980">
        <v>1390000</v>
      </c>
      <c r="G615" s="1002"/>
      <c r="H615" s="1003">
        <v>1390000</v>
      </c>
      <c r="I615" s="981"/>
      <c r="J615" s="982"/>
      <c r="K615" s="1002"/>
      <c r="L615" s="1008">
        <f t="shared" si="36"/>
        <v>1390000</v>
      </c>
      <c r="M615" s="976"/>
      <c r="N615" s="1013">
        <f t="shared" si="35"/>
        <v>0</v>
      </c>
      <c r="O615" s="1004"/>
      <c r="P615" s="984"/>
      <c r="Q615" s="1005"/>
      <c r="R615" s="1155"/>
      <c r="S615" s="1005"/>
      <c r="T615" s="1006"/>
      <c r="V615" s="686"/>
      <c r="W615" s="686"/>
    </row>
    <row r="616" spans="2:23" x14ac:dyDescent="0.25">
      <c r="B616" s="1187" t="s">
        <v>1491</v>
      </c>
      <c r="C616" s="1187">
        <v>1017</v>
      </c>
      <c r="D616" s="976" t="s">
        <v>1114</v>
      </c>
      <c r="E616" s="1090" t="s">
        <v>1079</v>
      </c>
      <c r="F616" s="974">
        <v>120868000</v>
      </c>
      <c r="G616" s="1091">
        <v>129030000</v>
      </c>
      <c r="H616" s="973">
        <v>60434000</v>
      </c>
      <c r="I616" s="981">
        <v>68596000</v>
      </c>
      <c r="J616" s="982"/>
      <c r="K616" s="1002"/>
      <c r="L616" s="1008">
        <f t="shared" si="36"/>
        <v>129030000</v>
      </c>
      <c r="M616" s="976"/>
      <c r="N616" s="1013">
        <f t="shared" si="35"/>
        <v>0</v>
      </c>
      <c r="O616" s="1004"/>
      <c r="P616" s="984"/>
      <c r="Q616" s="1005"/>
      <c r="R616" s="1155"/>
      <c r="S616" s="1005"/>
      <c r="T616" s="1006"/>
      <c r="V616" s="686"/>
      <c r="W616" s="686"/>
    </row>
    <row r="617" spans="2:23" x14ac:dyDescent="0.25">
      <c r="B617" s="1187" t="s">
        <v>1491</v>
      </c>
      <c r="C617" s="1187">
        <v>1017</v>
      </c>
      <c r="D617" s="693" t="s">
        <v>1522</v>
      </c>
      <c r="E617" s="1004" t="s">
        <v>1523</v>
      </c>
      <c r="F617" s="981">
        <v>20000000</v>
      </c>
      <c r="G617" s="1002"/>
      <c r="H617" s="1097">
        <v>20000000</v>
      </c>
      <c r="I617" s="981"/>
      <c r="J617" s="982"/>
      <c r="K617" s="1002"/>
      <c r="L617" s="1008">
        <f t="shared" si="36"/>
        <v>20000000</v>
      </c>
      <c r="M617" s="976"/>
      <c r="N617" s="1013">
        <f t="shared" si="35"/>
        <v>0</v>
      </c>
      <c r="O617" s="1004"/>
      <c r="P617" s="984"/>
      <c r="Q617" s="1005"/>
      <c r="R617" s="1155"/>
      <c r="S617" s="1005"/>
      <c r="T617" s="1006"/>
      <c r="V617" s="686"/>
      <c r="W617" s="686"/>
    </row>
    <row r="618" spans="2:23" x14ac:dyDescent="0.25">
      <c r="B618" s="1187" t="s">
        <v>1491</v>
      </c>
      <c r="C618" s="1187">
        <v>1017</v>
      </c>
      <c r="D618" s="976" t="s">
        <v>1524</v>
      </c>
      <c r="E618" s="1004" t="s">
        <v>1525</v>
      </c>
      <c r="F618" s="981">
        <v>6010000</v>
      </c>
      <c r="G618" s="1002"/>
      <c r="H618" s="1097">
        <v>6010000</v>
      </c>
      <c r="I618" s="981"/>
      <c r="J618" s="982"/>
      <c r="K618" s="1002"/>
      <c r="L618" s="1008">
        <f t="shared" si="36"/>
        <v>6010000</v>
      </c>
      <c r="M618" s="976"/>
      <c r="N618" s="1013">
        <f t="shared" si="35"/>
        <v>0</v>
      </c>
      <c r="O618" s="1004"/>
      <c r="P618" s="984"/>
      <c r="Q618" s="1005"/>
      <c r="R618" s="1155"/>
      <c r="S618" s="1005"/>
      <c r="T618" s="1006"/>
      <c r="V618" s="686"/>
      <c r="W618" s="686"/>
    </row>
    <row r="619" spans="2:23" x14ac:dyDescent="0.25">
      <c r="B619" s="1187" t="s">
        <v>1491</v>
      </c>
      <c r="C619" s="1187">
        <v>1017</v>
      </c>
      <c r="D619" s="976" t="s">
        <v>1515</v>
      </c>
      <c r="E619" s="1047" t="s">
        <v>1516</v>
      </c>
      <c r="F619" s="981">
        <v>340000</v>
      </c>
      <c r="G619" s="1002"/>
      <c r="H619" s="1097">
        <v>340000</v>
      </c>
      <c r="I619" s="981"/>
      <c r="J619" s="982"/>
      <c r="K619" s="1002"/>
      <c r="L619" s="1008">
        <f t="shared" si="36"/>
        <v>340000</v>
      </c>
      <c r="M619" s="976"/>
      <c r="N619" s="1013">
        <f t="shared" si="35"/>
        <v>0</v>
      </c>
      <c r="O619" s="1004"/>
      <c r="P619" s="984"/>
      <c r="Q619" s="1005"/>
      <c r="R619" s="1155"/>
      <c r="S619" s="1005"/>
      <c r="T619" s="1006"/>
      <c r="V619" s="686"/>
      <c r="W619" s="686"/>
    </row>
    <row r="620" spans="2:23" x14ac:dyDescent="0.25">
      <c r="B620" s="1187" t="s">
        <v>1491</v>
      </c>
      <c r="C620" s="1187">
        <v>1017</v>
      </c>
      <c r="D620" s="976" t="s">
        <v>1526</v>
      </c>
      <c r="E620" s="1047" t="s">
        <v>1435</v>
      </c>
      <c r="F620" s="981">
        <v>600000</v>
      </c>
      <c r="G620" s="1002"/>
      <c r="H620" s="1097">
        <v>600000</v>
      </c>
      <c r="I620" s="981"/>
      <c r="J620" s="982"/>
      <c r="K620" s="1002"/>
      <c r="L620" s="1008">
        <f t="shared" si="36"/>
        <v>600000</v>
      </c>
      <c r="M620" s="976"/>
      <c r="N620" s="1013">
        <f t="shared" si="35"/>
        <v>0</v>
      </c>
      <c r="O620" s="1004"/>
      <c r="P620" s="984"/>
      <c r="Q620" s="1005"/>
      <c r="R620" s="1155"/>
      <c r="S620" s="1005"/>
      <c r="T620" s="1006"/>
      <c r="V620" s="686"/>
      <c r="W620" s="686"/>
    </row>
    <row r="621" spans="2:23" x14ac:dyDescent="0.25">
      <c r="B621" s="1187" t="s">
        <v>1491</v>
      </c>
      <c r="C621" s="1187">
        <v>1017</v>
      </c>
      <c r="D621" s="976" t="s">
        <v>215</v>
      </c>
      <c r="E621" s="1090" t="s">
        <v>1527</v>
      </c>
      <c r="F621" s="1014">
        <v>190000000</v>
      </c>
      <c r="G621" s="1099"/>
      <c r="H621" s="1100">
        <v>76000000</v>
      </c>
      <c r="I621" s="974">
        <v>76000000</v>
      </c>
      <c r="J621" s="975">
        <v>38000000</v>
      </c>
      <c r="K621" s="1099"/>
      <c r="L621" s="974">
        <f t="shared" ref="L621:L633" si="37">SUM(H621:K621)</f>
        <v>190000000</v>
      </c>
      <c r="M621" s="692"/>
      <c r="N621" s="1013">
        <f t="shared" si="35"/>
        <v>0</v>
      </c>
      <c r="O621" s="694"/>
      <c r="P621" s="695"/>
      <c r="Q621" s="974"/>
      <c r="R621" s="1147"/>
      <c r="S621" s="1091"/>
      <c r="T621" s="1011"/>
    </row>
    <row r="622" spans="2:23" x14ac:dyDescent="0.25">
      <c r="B622" s="1187" t="s">
        <v>1491</v>
      </c>
      <c r="C622" s="1187">
        <v>1017</v>
      </c>
      <c r="D622" s="976" t="s">
        <v>1528</v>
      </c>
      <c r="E622" s="1004" t="s">
        <v>1529</v>
      </c>
      <c r="F622" s="1101">
        <v>14200000</v>
      </c>
      <c r="G622" s="1002"/>
      <c r="H622" s="1102">
        <v>14200000</v>
      </c>
      <c r="I622" s="981"/>
      <c r="J622" s="982"/>
      <c r="K622" s="1002"/>
      <c r="L622" s="974">
        <f t="shared" si="37"/>
        <v>14200000</v>
      </c>
      <c r="M622" s="692"/>
      <c r="N622" s="1013">
        <f t="shared" si="35"/>
        <v>0</v>
      </c>
      <c r="O622" s="694"/>
      <c r="P622" s="695"/>
      <c r="Q622" s="974"/>
      <c r="R622" s="1147"/>
      <c r="S622" s="1091"/>
      <c r="T622" s="1011"/>
    </row>
    <row r="623" spans="2:23" x14ac:dyDescent="0.25">
      <c r="B623" s="1187" t="s">
        <v>1491</v>
      </c>
      <c r="C623" s="1187">
        <v>1017</v>
      </c>
      <c r="D623" s="976" t="s">
        <v>1530</v>
      </c>
      <c r="E623" s="1004" t="s">
        <v>1531</v>
      </c>
      <c r="F623" s="1101">
        <v>2800000</v>
      </c>
      <c r="G623" s="1002"/>
      <c r="H623" s="1102">
        <v>2800000</v>
      </c>
      <c r="I623" s="981"/>
      <c r="J623" s="982"/>
      <c r="K623" s="1002"/>
      <c r="L623" s="1003">
        <f t="shared" si="37"/>
        <v>2800000</v>
      </c>
      <c r="M623" s="692"/>
      <c r="N623" s="1013">
        <f t="shared" si="35"/>
        <v>0</v>
      </c>
      <c r="O623" s="694"/>
      <c r="P623" s="695"/>
      <c r="Q623" s="974"/>
      <c r="R623" s="1147"/>
      <c r="S623" s="1091"/>
      <c r="T623" s="1011"/>
    </row>
    <row r="624" spans="2:23" x14ac:dyDescent="0.25">
      <c r="B624" s="1187" t="s">
        <v>1491</v>
      </c>
      <c r="C624" s="1187">
        <v>1017</v>
      </c>
      <c r="D624" s="976" t="s">
        <v>1532</v>
      </c>
      <c r="E624" s="1004" t="s">
        <v>704</v>
      </c>
      <c r="F624" s="1101">
        <v>31659000</v>
      </c>
      <c r="G624" s="1002"/>
      <c r="H624" s="1102">
        <v>31659000</v>
      </c>
      <c r="I624" s="981"/>
      <c r="J624" s="982"/>
      <c r="K624" s="1002"/>
      <c r="L624" s="1003">
        <f t="shared" si="37"/>
        <v>31659000</v>
      </c>
      <c r="M624" s="692"/>
      <c r="N624" s="1013">
        <f t="shared" si="35"/>
        <v>0</v>
      </c>
      <c r="O624" s="694"/>
      <c r="P624" s="695"/>
      <c r="Q624" s="974"/>
      <c r="R624" s="1147"/>
      <c r="S624" s="1091"/>
      <c r="T624" s="1011"/>
    </row>
    <row r="625" spans="1:23" x14ac:dyDescent="0.25">
      <c r="B625" s="1187" t="s">
        <v>1491</v>
      </c>
      <c r="C625" s="1187">
        <v>1017</v>
      </c>
      <c r="D625" s="976" t="s">
        <v>1533</v>
      </c>
      <c r="E625" s="1004" t="s">
        <v>1319</v>
      </c>
      <c r="F625" s="1101">
        <v>11000000</v>
      </c>
      <c r="G625" s="1002"/>
      <c r="H625" s="1102">
        <v>11000000</v>
      </c>
      <c r="I625" s="981"/>
      <c r="J625" s="982"/>
      <c r="K625" s="1002"/>
      <c r="L625" s="1003">
        <f t="shared" si="37"/>
        <v>11000000</v>
      </c>
      <c r="M625" s="692"/>
      <c r="N625" s="1013">
        <f t="shared" si="35"/>
        <v>0</v>
      </c>
      <c r="O625" s="694"/>
      <c r="P625" s="695"/>
      <c r="Q625" s="974"/>
      <c r="R625" s="1147"/>
      <c r="S625" s="1091"/>
      <c r="T625" s="1011"/>
    </row>
    <row r="626" spans="1:23" x14ac:dyDescent="0.25">
      <c r="B626" s="1187" t="s">
        <v>1491</v>
      </c>
      <c r="C626" s="1187">
        <v>1017</v>
      </c>
      <c r="D626" s="976" t="s">
        <v>1534</v>
      </c>
      <c r="E626" s="1004" t="s">
        <v>1316</v>
      </c>
      <c r="F626" s="1101">
        <v>8400000</v>
      </c>
      <c r="G626" s="1002"/>
      <c r="H626" s="1102">
        <v>8400000</v>
      </c>
      <c r="I626" s="981"/>
      <c r="J626" s="982"/>
      <c r="K626" s="1002"/>
      <c r="L626" s="1003">
        <f t="shared" si="37"/>
        <v>8400000</v>
      </c>
      <c r="M626" s="692"/>
      <c r="N626" s="1013">
        <f t="shared" si="35"/>
        <v>0</v>
      </c>
      <c r="O626" s="694"/>
      <c r="P626" s="695"/>
      <c r="Q626" s="974"/>
      <c r="R626" s="1147"/>
      <c r="S626" s="1091"/>
      <c r="T626" s="1011"/>
    </row>
    <row r="627" spans="1:23" x14ac:dyDescent="0.25">
      <c r="B627" s="1187" t="s">
        <v>1491</v>
      </c>
      <c r="C627" s="1187">
        <v>1017</v>
      </c>
      <c r="D627" s="976" t="s">
        <v>1535</v>
      </c>
      <c r="E627" s="1004" t="s">
        <v>1536</v>
      </c>
      <c r="F627" s="1101">
        <v>524000</v>
      </c>
      <c r="G627" s="1002"/>
      <c r="H627" s="1102">
        <v>524000</v>
      </c>
      <c r="I627" s="981"/>
      <c r="J627" s="982"/>
      <c r="K627" s="1002"/>
      <c r="L627" s="1003">
        <f t="shared" si="37"/>
        <v>524000</v>
      </c>
      <c r="M627" s="692"/>
      <c r="N627" s="1013">
        <f t="shared" si="35"/>
        <v>0</v>
      </c>
      <c r="O627" s="694"/>
      <c r="P627" s="695"/>
      <c r="Q627" s="974"/>
      <c r="R627" s="1147"/>
      <c r="S627" s="1091"/>
      <c r="T627" s="1011"/>
    </row>
    <row r="628" spans="1:23" x14ac:dyDescent="0.25">
      <c r="B628" s="1187" t="s">
        <v>1491</v>
      </c>
      <c r="C628" s="1187">
        <v>1017</v>
      </c>
      <c r="D628" s="976" t="s">
        <v>607</v>
      </c>
      <c r="E628" s="1004" t="s">
        <v>1537</v>
      </c>
      <c r="F628" s="1101">
        <v>10000000</v>
      </c>
      <c r="G628" s="1002">
        <f>6103000+3125000</f>
        <v>9228000</v>
      </c>
      <c r="H628" s="1102">
        <v>5000000</v>
      </c>
      <c r="I628" s="981">
        <v>5000000</v>
      </c>
      <c r="J628" s="982"/>
      <c r="K628" s="1002"/>
      <c r="L628" s="1003">
        <f t="shared" si="37"/>
        <v>10000000</v>
      </c>
      <c r="M628" s="692"/>
      <c r="N628" s="1013">
        <f t="shared" si="35"/>
        <v>-772000</v>
      </c>
      <c r="O628" s="694"/>
      <c r="P628" s="695"/>
      <c r="Q628" s="974"/>
      <c r="R628" s="1147"/>
      <c r="S628" s="1091"/>
      <c r="T628" s="1011"/>
    </row>
    <row r="629" spans="1:23" x14ac:dyDescent="0.25">
      <c r="B629" s="1187" t="s">
        <v>1491</v>
      </c>
      <c r="C629" s="1187">
        <v>1017</v>
      </c>
      <c r="D629" s="976" t="s">
        <v>607</v>
      </c>
      <c r="E629" s="1004" t="s">
        <v>1279</v>
      </c>
      <c r="F629" s="1101">
        <v>10000000</v>
      </c>
      <c r="G629" s="1002">
        <f>6830720+2678000</f>
        <v>9508720</v>
      </c>
      <c r="H629" s="1102">
        <v>5000000</v>
      </c>
      <c r="I629" s="981">
        <v>5000000</v>
      </c>
      <c r="J629" s="982"/>
      <c r="K629" s="1002"/>
      <c r="L629" s="1003">
        <f t="shared" si="37"/>
        <v>10000000</v>
      </c>
      <c r="M629" s="692"/>
      <c r="N629" s="1013">
        <f t="shared" si="35"/>
        <v>-491280</v>
      </c>
      <c r="O629" s="694"/>
      <c r="P629" s="695"/>
      <c r="Q629" s="974"/>
      <c r="R629" s="1147"/>
      <c r="S629" s="1091"/>
      <c r="T629" s="1011"/>
    </row>
    <row r="630" spans="1:23" x14ac:dyDescent="0.25">
      <c r="B630" s="1187" t="s">
        <v>1491</v>
      </c>
      <c r="C630" s="1187">
        <v>1017</v>
      </c>
      <c r="D630" s="976" t="s">
        <v>1538</v>
      </c>
      <c r="E630" s="1004" t="s">
        <v>662</v>
      </c>
      <c r="F630" s="1101">
        <v>36512000</v>
      </c>
      <c r="G630" s="1002"/>
      <c r="H630" s="1102">
        <v>36512000</v>
      </c>
      <c r="I630" s="981"/>
      <c r="J630" s="982"/>
      <c r="K630" s="1002"/>
      <c r="L630" s="1003">
        <f t="shared" si="37"/>
        <v>36512000</v>
      </c>
      <c r="M630" s="692"/>
      <c r="N630" s="1013">
        <f t="shared" si="35"/>
        <v>0</v>
      </c>
      <c r="O630" s="694"/>
      <c r="P630" s="695"/>
      <c r="Q630" s="974"/>
      <c r="R630" s="1147"/>
      <c r="S630" s="1091"/>
      <c r="T630" s="1011"/>
    </row>
    <row r="631" spans="1:23" x14ac:dyDescent="0.25">
      <c r="B631" s="1187" t="s">
        <v>1491</v>
      </c>
      <c r="C631" s="1187">
        <v>1017</v>
      </c>
      <c r="D631" s="976" t="s">
        <v>1539</v>
      </c>
      <c r="E631" s="1004" t="s">
        <v>1514</v>
      </c>
      <c r="F631" s="1101">
        <v>30000000</v>
      </c>
      <c r="G631" s="1002"/>
      <c r="H631" s="1102">
        <v>30000000</v>
      </c>
      <c r="I631" s="981"/>
      <c r="J631" s="982"/>
      <c r="K631" s="1002"/>
      <c r="L631" s="1003">
        <f t="shared" si="37"/>
        <v>30000000</v>
      </c>
      <c r="M631" s="692"/>
      <c r="N631" s="1013">
        <f t="shared" si="35"/>
        <v>0</v>
      </c>
      <c r="O631" s="694"/>
      <c r="P631" s="695"/>
      <c r="Q631" s="974"/>
      <c r="R631" s="1147"/>
      <c r="S631" s="1091"/>
      <c r="T631" s="1011"/>
    </row>
    <row r="632" spans="1:23" x14ac:dyDescent="0.25">
      <c r="B632" s="1187" t="s">
        <v>1491</v>
      </c>
      <c r="C632" s="1187">
        <v>1017</v>
      </c>
      <c r="D632" s="976" t="s">
        <v>1540</v>
      </c>
      <c r="E632" s="1004" t="s">
        <v>1319</v>
      </c>
      <c r="F632" s="1101">
        <v>3000000</v>
      </c>
      <c r="G632" s="1002"/>
      <c r="H632" s="1102">
        <v>3000000</v>
      </c>
      <c r="I632" s="981"/>
      <c r="J632" s="982"/>
      <c r="K632" s="1002"/>
      <c r="L632" s="1003">
        <f t="shared" si="37"/>
        <v>3000000</v>
      </c>
      <c r="M632" s="692"/>
      <c r="N632" s="1013">
        <f t="shared" si="35"/>
        <v>0</v>
      </c>
      <c r="O632" s="694"/>
      <c r="P632" s="695"/>
      <c r="Q632" s="974"/>
      <c r="R632" s="1147"/>
      <c r="S632" s="1091"/>
      <c r="T632" s="1011"/>
    </row>
    <row r="633" spans="1:23" x14ac:dyDescent="0.25">
      <c r="B633" s="1187" t="s">
        <v>1491</v>
      </c>
      <c r="C633" s="1187">
        <v>1017</v>
      </c>
      <c r="D633" s="976" t="s">
        <v>1541</v>
      </c>
      <c r="E633" s="1004" t="s">
        <v>1319</v>
      </c>
      <c r="F633" s="1101">
        <v>2000000</v>
      </c>
      <c r="G633" s="1002"/>
      <c r="H633" s="1102">
        <v>2000000</v>
      </c>
      <c r="I633" s="981"/>
      <c r="J633" s="982"/>
      <c r="K633" s="1002"/>
      <c r="L633" s="1003">
        <f t="shared" si="37"/>
        <v>2000000</v>
      </c>
      <c r="M633" s="692"/>
      <c r="N633" s="1013">
        <f t="shared" si="35"/>
        <v>0</v>
      </c>
      <c r="O633" s="694"/>
      <c r="P633" s="695"/>
      <c r="Q633" s="974"/>
      <c r="R633" s="1147"/>
      <c r="S633" s="1091"/>
      <c r="T633" s="1011"/>
    </row>
    <row r="634" spans="1:23" x14ac:dyDescent="0.25">
      <c r="B634" s="1187" t="s">
        <v>1491</v>
      </c>
      <c r="C634" s="1187">
        <v>1017</v>
      </c>
      <c r="D634" s="976" t="s">
        <v>947</v>
      </c>
      <c r="E634" s="1001"/>
      <c r="F634" s="980">
        <f>W634</f>
        <v>3548000</v>
      </c>
      <c r="G634" s="1002"/>
      <c r="H634" s="1003">
        <v>240000</v>
      </c>
      <c r="I634" s="981">
        <v>840000</v>
      </c>
      <c r="J634" s="982">
        <v>826000</v>
      </c>
      <c r="K634" s="1002">
        <f>772000+870000</f>
        <v>1642000</v>
      </c>
      <c r="L634" s="1003">
        <f>SUM(H634:K634)</f>
        <v>3548000</v>
      </c>
      <c r="M634" s="976"/>
      <c r="N634" s="1013">
        <f t="shared" si="35"/>
        <v>0</v>
      </c>
      <c r="O634" s="1004"/>
      <c r="P634" s="984"/>
      <c r="Q634" s="974"/>
      <c r="R634" s="1147"/>
      <c r="S634" s="1091"/>
      <c r="T634" s="1011"/>
      <c r="V634" s="1007" t="s">
        <v>948</v>
      </c>
      <c r="W634" s="1000">
        <f>SUM(W595:W603)</f>
        <v>3548000</v>
      </c>
    </row>
    <row r="635" spans="1:23" ht="15.75" x14ac:dyDescent="0.25">
      <c r="A635" s="723"/>
      <c r="B635" s="999" t="s">
        <v>997</v>
      </c>
      <c r="C635" s="748"/>
      <c r="D635" s="748" t="s">
        <v>1542</v>
      </c>
      <c r="E635" s="700"/>
      <c r="F635" s="724"/>
      <c r="G635" s="702"/>
      <c r="H635" s="711"/>
      <c r="I635" s="701"/>
      <c r="J635" s="726"/>
      <c r="K635" s="702"/>
      <c r="L635" s="735">
        <f>SUM(L595:L634)</f>
        <v>1606083728</v>
      </c>
      <c r="M635" s="996" t="e">
        <f>SUM(M593:M596)</f>
        <v>#REF!</v>
      </c>
      <c r="N635" s="997">
        <f>SUM(N595:N634)</f>
        <v>392651362</v>
      </c>
      <c r="O635" s="700"/>
      <c r="P635" s="704"/>
      <c r="Q635" s="742"/>
      <c r="R635" s="1148"/>
      <c r="S635" s="742"/>
      <c r="T635" s="705"/>
    </row>
    <row r="636" spans="1:23" x14ac:dyDescent="0.25">
      <c r="A636" s="686">
        <v>27</v>
      </c>
      <c r="B636" s="1187" t="s">
        <v>1543</v>
      </c>
      <c r="C636" s="1187"/>
      <c r="D636" s="976" t="s">
        <v>1544</v>
      </c>
      <c r="E636" s="976" t="s">
        <v>521</v>
      </c>
      <c r="F636" s="973">
        <v>1980000</v>
      </c>
      <c r="G636" s="974"/>
      <c r="H636" s="974">
        <v>1980000</v>
      </c>
      <c r="I636" s="974"/>
      <c r="J636" s="975"/>
      <c r="K636" s="974"/>
      <c r="L636" s="974">
        <f t="shared" ref="L636:L647" si="38">SUM(H636:K636)</f>
        <v>1980000</v>
      </c>
      <c r="M636" s="976"/>
      <c r="N636" s="1013">
        <f t="shared" ref="N636:N676" si="39">IF($G636="",($F636-$L636),($G636-$L636))</f>
        <v>0</v>
      </c>
      <c r="O636" s="976"/>
      <c r="P636" s="977"/>
      <c r="Q636" s="974"/>
      <c r="R636" s="1147"/>
      <c r="S636" s="974"/>
      <c r="T636" s="976"/>
    </row>
    <row r="637" spans="1:23" x14ac:dyDescent="0.25">
      <c r="B637" s="1187" t="s">
        <v>1543</v>
      </c>
      <c r="C637" s="1187"/>
      <c r="D637" s="976" t="s">
        <v>694</v>
      </c>
      <c r="E637" s="976" t="s">
        <v>1400</v>
      </c>
      <c r="F637" s="973">
        <v>3704000</v>
      </c>
      <c r="G637" s="974"/>
      <c r="H637" s="974">
        <v>3704000</v>
      </c>
      <c r="I637" s="974"/>
      <c r="J637" s="975"/>
      <c r="K637" s="974"/>
      <c r="L637" s="974">
        <f t="shared" si="38"/>
        <v>3704000</v>
      </c>
      <c r="M637" s="976"/>
      <c r="N637" s="1013">
        <f t="shared" si="39"/>
        <v>0</v>
      </c>
      <c r="O637" s="976"/>
      <c r="P637" s="977"/>
      <c r="Q637" s="974"/>
      <c r="R637" s="1147"/>
      <c r="S637" s="974"/>
      <c r="T637" s="976"/>
    </row>
    <row r="638" spans="1:23" x14ac:dyDescent="0.25">
      <c r="B638" s="1187" t="s">
        <v>1543</v>
      </c>
      <c r="C638" s="1187"/>
      <c r="D638" s="976" t="s">
        <v>625</v>
      </c>
      <c r="E638" s="976" t="s">
        <v>1537</v>
      </c>
      <c r="F638" s="973">
        <v>1049000</v>
      </c>
      <c r="G638" s="974"/>
      <c r="H638" s="974">
        <v>1000000</v>
      </c>
      <c r="I638" s="974">
        <v>49000</v>
      </c>
      <c r="J638" s="975"/>
      <c r="K638" s="974"/>
      <c r="L638" s="974">
        <f t="shared" si="38"/>
        <v>1049000</v>
      </c>
      <c r="M638" s="976"/>
      <c r="N638" s="1013">
        <f t="shared" si="39"/>
        <v>0</v>
      </c>
      <c r="O638" s="976"/>
      <c r="P638" s="977"/>
      <c r="Q638" s="974"/>
      <c r="R638" s="1147"/>
      <c r="S638" s="974"/>
      <c r="T638" s="976"/>
    </row>
    <row r="639" spans="1:23" x14ac:dyDescent="0.25">
      <c r="B639" s="1187" t="s">
        <v>1543</v>
      </c>
      <c r="C639" s="1187"/>
      <c r="D639" s="976"/>
      <c r="E639" s="976"/>
      <c r="F639" s="973"/>
      <c r="G639" s="974"/>
      <c r="H639" s="974"/>
      <c r="I639" s="974"/>
      <c r="J639" s="975"/>
      <c r="K639" s="974"/>
      <c r="L639" s="974">
        <f t="shared" si="38"/>
        <v>0</v>
      </c>
      <c r="M639" s="976"/>
      <c r="N639" s="1013">
        <f t="shared" si="39"/>
        <v>0</v>
      </c>
      <c r="O639" s="976"/>
      <c r="P639" s="977"/>
      <c r="Q639" s="974"/>
      <c r="R639" s="1147"/>
      <c r="S639" s="974"/>
      <c r="T639" s="976"/>
    </row>
    <row r="640" spans="1:23" x14ac:dyDescent="0.25">
      <c r="B640" s="1187" t="s">
        <v>1543</v>
      </c>
      <c r="C640" s="1187"/>
      <c r="D640" s="976"/>
      <c r="E640" s="976"/>
      <c r="F640" s="973"/>
      <c r="G640" s="974"/>
      <c r="H640" s="974"/>
      <c r="I640" s="974"/>
      <c r="J640" s="975"/>
      <c r="K640" s="974"/>
      <c r="L640" s="974">
        <f t="shared" si="38"/>
        <v>0</v>
      </c>
      <c r="M640" s="976"/>
      <c r="N640" s="1013">
        <f t="shared" si="39"/>
        <v>0</v>
      </c>
      <c r="O640" s="976"/>
      <c r="P640" s="977"/>
      <c r="Q640" s="974"/>
      <c r="R640" s="1147"/>
      <c r="S640" s="974"/>
      <c r="T640" s="976"/>
    </row>
    <row r="641" spans="1:23" x14ac:dyDescent="0.25">
      <c r="B641" s="1187" t="s">
        <v>1543</v>
      </c>
      <c r="C641" s="1187"/>
      <c r="D641" s="976"/>
      <c r="E641" s="976"/>
      <c r="F641" s="973"/>
      <c r="G641" s="974"/>
      <c r="H641" s="974"/>
      <c r="I641" s="974"/>
      <c r="J641" s="975"/>
      <c r="K641" s="974"/>
      <c r="L641" s="974">
        <f t="shared" si="38"/>
        <v>0</v>
      </c>
      <c r="M641" s="976"/>
      <c r="N641" s="1013">
        <f t="shared" si="39"/>
        <v>0</v>
      </c>
      <c r="O641" s="976"/>
      <c r="P641" s="977"/>
      <c r="Q641" s="974"/>
      <c r="R641" s="1147"/>
      <c r="S641" s="974"/>
      <c r="T641" s="976"/>
    </row>
    <row r="642" spans="1:23" x14ac:dyDescent="0.25">
      <c r="B642" s="1187" t="s">
        <v>1543</v>
      </c>
      <c r="C642" s="1187"/>
      <c r="D642" s="976"/>
      <c r="E642" s="976"/>
      <c r="F642" s="973"/>
      <c r="G642" s="974"/>
      <c r="H642" s="974"/>
      <c r="I642" s="974"/>
      <c r="J642" s="975"/>
      <c r="K642" s="974"/>
      <c r="L642" s="974">
        <f t="shared" si="38"/>
        <v>0</v>
      </c>
      <c r="M642" s="976"/>
      <c r="N642" s="1013">
        <f t="shared" si="39"/>
        <v>0</v>
      </c>
      <c r="O642" s="976"/>
      <c r="P642" s="977"/>
      <c r="Q642" s="974"/>
      <c r="R642" s="1147"/>
      <c r="S642" s="974"/>
      <c r="T642" s="976"/>
    </row>
    <row r="643" spans="1:23" x14ac:dyDescent="0.25">
      <c r="B643" s="1187" t="s">
        <v>1543</v>
      </c>
      <c r="C643" s="1187"/>
      <c r="D643" s="976"/>
      <c r="E643" s="976"/>
      <c r="F643" s="973"/>
      <c r="G643" s="974"/>
      <c r="H643" s="974"/>
      <c r="I643" s="974"/>
      <c r="J643" s="975"/>
      <c r="K643" s="974"/>
      <c r="L643" s="974">
        <f t="shared" si="38"/>
        <v>0</v>
      </c>
      <c r="M643" s="976"/>
      <c r="N643" s="1013">
        <f t="shared" si="39"/>
        <v>0</v>
      </c>
      <c r="O643" s="976"/>
      <c r="P643" s="977"/>
      <c r="Q643" s="974"/>
      <c r="R643" s="1147"/>
      <c r="S643" s="974"/>
      <c r="T643" s="976"/>
    </row>
    <row r="644" spans="1:23" ht="15.75" x14ac:dyDescent="0.25">
      <c r="A644" s="723"/>
      <c r="B644" s="720" t="s">
        <v>997</v>
      </c>
      <c r="C644" s="720"/>
      <c r="D644" s="699" t="s">
        <v>1545</v>
      </c>
      <c r="E644" s="992"/>
      <c r="F644" s="993"/>
      <c r="G644" s="994"/>
      <c r="H644" s="994"/>
      <c r="I644" s="994"/>
      <c r="J644" s="995"/>
      <c r="K644" s="994"/>
      <c r="L644" s="735">
        <f>SUM(L636:L643)</f>
        <v>6733000</v>
      </c>
      <c r="M644" s="992"/>
      <c r="N644" s="1016">
        <f>SUM(N636:N643)</f>
        <v>0</v>
      </c>
      <c r="O644" s="992"/>
      <c r="P644" s="998"/>
      <c r="Q644" s="994"/>
      <c r="R644" s="1153"/>
      <c r="S644" s="994"/>
      <c r="T644" s="992"/>
    </row>
    <row r="645" spans="1:23" x14ac:dyDescent="0.25">
      <c r="A645" s="686">
        <v>28</v>
      </c>
      <c r="B645" s="1015" t="s">
        <v>1546</v>
      </c>
      <c r="C645" s="1015">
        <v>1024</v>
      </c>
      <c r="D645" s="976" t="s">
        <v>1547</v>
      </c>
      <c r="E645" s="976" t="s">
        <v>1548</v>
      </c>
      <c r="F645" s="973">
        <v>24800000</v>
      </c>
      <c r="G645" s="974"/>
      <c r="H645" s="974">
        <v>12400000</v>
      </c>
      <c r="I645" s="974">
        <v>12400000</v>
      </c>
      <c r="J645" s="975"/>
      <c r="K645" s="974"/>
      <c r="L645" s="974">
        <f t="shared" si="38"/>
        <v>24800000</v>
      </c>
      <c r="M645" s="976"/>
      <c r="N645" s="1013">
        <f t="shared" si="39"/>
        <v>0</v>
      </c>
      <c r="O645" s="976"/>
      <c r="P645" s="977"/>
      <c r="Q645" s="974"/>
      <c r="R645" s="1147"/>
      <c r="S645" s="974"/>
      <c r="T645" s="976"/>
      <c r="V645" s="687" t="s">
        <v>1243</v>
      </c>
      <c r="W645" s="687">
        <v>560000</v>
      </c>
    </row>
    <row r="646" spans="1:23" x14ac:dyDescent="0.25">
      <c r="B646" s="1015" t="s">
        <v>1546</v>
      </c>
      <c r="C646" s="1015">
        <v>1024</v>
      </c>
      <c r="D646" s="976" t="s">
        <v>1549</v>
      </c>
      <c r="E646" s="976" t="s">
        <v>1319</v>
      </c>
      <c r="F646" s="973">
        <v>14000000</v>
      </c>
      <c r="G646" s="974"/>
      <c r="H646" s="974">
        <v>14000000</v>
      </c>
      <c r="I646" s="974"/>
      <c r="J646" s="975"/>
      <c r="K646" s="974"/>
      <c r="L646" s="974">
        <f t="shared" si="38"/>
        <v>14000000</v>
      </c>
      <c r="M646" s="976"/>
      <c r="N646" s="1013">
        <f t="shared" si="39"/>
        <v>0</v>
      </c>
      <c r="O646" s="976"/>
      <c r="P646" s="977"/>
      <c r="Q646" s="974"/>
      <c r="R646" s="1147"/>
      <c r="S646" s="974"/>
      <c r="T646" s="976"/>
    </row>
    <row r="647" spans="1:23" x14ac:dyDescent="0.25">
      <c r="B647" s="1015" t="s">
        <v>1546</v>
      </c>
      <c r="C647" s="1015">
        <v>1024</v>
      </c>
      <c r="D647" s="976" t="s">
        <v>947</v>
      </c>
      <c r="E647" s="976"/>
      <c r="F647" s="973">
        <f>W647</f>
        <v>560000</v>
      </c>
      <c r="G647" s="974"/>
      <c r="H647" s="974">
        <v>560000</v>
      </c>
      <c r="I647" s="974"/>
      <c r="J647" s="975"/>
      <c r="K647" s="974"/>
      <c r="L647" s="974">
        <f t="shared" si="38"/>
        <v>560000</v>
      </c>
      <c r="M647" s="976"/>
      <c r="N647" s="1013">
        <f t="shared" si="39"/>
        <v>0</v>
      </c>
      <c r="O647" s="976"/>
      <c r="P647" s="977"/>
      <c r="Q647" s="974"/>
      <c r="R647" s="1147"/>
      <c r="S647" s="974"/>
      <c r="T647" s="976"/>
      <c r="V647" s="1000" t="s">
        <v>948</v>
      </c>
      <c r="W647" s="1000">
        <f>SUM(W645:W645)</f>
        <v>560000</v>
      </c>
    </row>
    <row r="648" spans="1:23" ht="15.75" x14ac:dyDescent="0.25">
      <c r="A648" s="723"/>
      <c r="B648" s="720" t="s">
        <v>997</v>
      </c>
      <c r="C648" s="720"/>
      <c r="D648" s="699" t="s">
        <v>1550</v>
      </c>
      <c r="E648" s="992"/>
      <c r="F648" s="993"/>
      <c r="G648" s="994"/>
      <c r="H648" s="994"/>
      <c r="I648" s="994"/>
      <c r="J648" s="995"/>
      <c r="K648" s="994"/>
      <c r="L648" s="735">
        <f>SUM(L645:L647)</f>
        <v>39360000</v>
      </c>
      <c r="M648" s="992"/>
      <c r="N648" s="1017">
        <f>SUM(N645:N647)</f>
        <v>0</v>
      </c>
      <c r="O648" s="992"/>
      <c r="P648" s="998"/>
      <c r="Q648" s="994"/>
      <c r="R648" s="1153"/>
      <c r="S648" s="994"/>
      <c r="T648" s="992"/>
    </row>
    <row r="649" spans="1:23" x14ac:dyDescent="0.25">
      <c r="A649" s="686">
        <v>29</v>
      </c>
      <c r="B649" s="1112" t="s">
        <v>1551</v>
      </c>
      <c r="C649" s="1015">
        <v>1049</v>
      </c>
      <c r="D649" s="985" t="s">
        <v>1552</v>
      </c>
      <c r="E649" s="985" t="s">
        <v>1553</v>
      </c>
      <c r="F649" s="986">
        <v>60000000</v>
      </c>
      <c r="G649" s="987"/>
      <c r="H649" s="987">
        <v>60000000</v>
      </c>
      <c r="I649" s="987"/>
      <c r="J649" s="988"/>
      <c r="K649" s="987"/>
      <c r="L649" s="974">
        <f t="shared" ref="L649:L676" si="40">SUM(H649:K649)</f>
        <v>60000000</v>
      </c>
      <c r="M649" s="985"/>
      <c r="N649" s="1013">
        <f t="shared" si="39"/>
        <v>0</v>
      </c>
      <c r="O649" s="985"/>
      <c r="P649" s="990"/>
      <c r="Q649" s="987"/>
      <c r="R649" s="1152"/>
      <c r="S649" s="987"/>
      <c r="T649" s="985"/>
      <c r="V649" s="687" t="s">
        <v>1245</v>
      </c>
      <c r="W649" s="687">
        <v>3548500</v>
      </c>
    </row>
    <row r="650" spans="1:23" x14ac:dyDescent="0.25">
      <c r="B650" s="1112" t="s">
        <v>1551</v>
      </c>
      <c r="C650" s="1015">
        <v>1049</v>
      </c>
      <c r="D650" s="985" t="s">
        <v>1554</v>
      </c>
      <c r="E650" s="985" t="s">
        <v>1555</v>
      </c>
      <c r="F650" s="986">
        <v>30768220</v>
      </c>
      <c r="G650" s="987">
        <v>30425080</v>
      </c>
      <c r="H650" s="987">
        <v>15384110</v>
      </c>
      <c r="I650" s="987">
        <v>15040970</v>
      </c>
      <c r="J650" s="988"/>
      <c r="K650" s="987"/>
      <c r="L650" s="974">
        <f t="shared" si="40"/>
        <v>30425080</v>
      </c>
      <c r="M650" s="985"/>
      <c r="N650" s="1013">
        <f t="shared" si="39"/>
        <v>0</v>
      </c>
      <c r="O650" s="985"/>
      <c r="P650" s="990"/>
      <c r="Q650" s="987"/>
      <c r="R650" s="1152"/>
      <c r="S650" s="987"/>
      <c r="T650" s="985"/>
      <c r="V650" s="687" t="s">
        <v>1495</v>
      </c>
      <c r="W650" s="687">
        <v>1580000</v>
      </c>
    </row>
    <row r="651" spans="1:23" x14ac:dyDescent="0.25">
      <c r="B651" s="1112" t="s">
        <v>1551</v>
      </c>
      <c r="C651" s="1015">
        <v>1049</v>
      </c>
      <c r="D651" s="985" t="s">
        <v>1556</v>
      </c>
      <c r="E651" s="985" t="s">
        <v>1557</v>
      </c>
      <c r="F651" s="986">
        <v>88096360</v>
      </c>
      <c r="G651" s="987"/>
      <c r="H651" s="987">
        <v>61667452</v>
      </c>
      <c r="I651" s="987"/>
      <c r="J651" s="988"/>
      <c r="K651" s="987"/>
      <c r="L651" s="974">
        <f t="shared" si="40"/>
        <v>61667452</v>
      </c>
      <c r="M651" s="985"/>
      <c r="N651" s="1013">
        <f t="shared" si="39"/>
        <v>26428908</v>
      </c>
      <c r="O651" s="985"/>
      <c r="P651" s="990"/>
      <c r="Q651" s="987"/>
      <c r="R651" s="1152"/>
      <c r="S651" s="987"/>
      <c r="T651" s="985" t="s">
        <v>1323</v>
      </c>
      <c r="V651" s="687" t="s">
        <v>1498</v>
      </c>
      <c r="W651" s="687">
        <v>5538000</v>
      </c>
    </row>
    <row r="652" spans="1:23" x14ac:dyDescent="0.25">
      <c r="B652" s="1112" t="s">
        <v>1551</v>
      </c>
      <c r="C652" s="1015">
        <v>1049</v>
      </c>
      <c r="D652" s="985" t="s">
        <v>1558</v>
      </c>
      <c r="E652" s="985" t="s">
        <v>1445</v>
      </c>
      <c r="F652" s="986">
        <v>37607671</v>
      </c>
      <c r="G652" s="987">
        <v>36507671</v>
      </c>
      <c r="H652" s="987">
        <v>15042668</v>
      </c>
      <c r="I652" s="987">
        <v>21465003</v>
      </c>
      <c r="J652" s="988"/>
      <c r="K652" s="987"/>
      <c r="L652" s="974">
        <f t="shared" si="40"/>
        <v>36507671</v>
      </c>
      <c r="M652" s="985"/>
      <c r="N652" s="1013">
        <f t="shared" si="39"/>
        <v>0</v>
      </c>
      <c r="O652" s="985"/>
      <c r="P652" s="990"/>
      <c r="Q652" s="987">
        <v>36507671</v>
      </c>
      <c r="R652" s="1152" t="s">
        <v>1559</v>
      </c>
      <c r="S652" s="987"/>
      <c r="T652" s="985"/>
      <c r="V652" s="687" t="s">
        <v>1454</v>
      </c>
      <c r="W652" s="687">
        <v>2553000</v>
      </c>
    </row>
    <row r="653" spans="1:23" x14ac:dyDescent="0.25">
      <c r="B653" s="1112" t="s">
        <v>1551</v>
      </c>
      <c r="C653" s="1015">
        <v>1049</v>
      </c>
      <c r="D653" s="976" t="s">
        <v>1560</v>
      </c>
      <c r="E653" s="976" t="s">
        <v>1075</v>
      </c>
      <c r="F653" s="986">
        <v>1100000</v>
      </c>
      <c r="G653" s="987"/>
      <c r="H653" s="987">
        <v>1100000</v>
      </c>
      <c r="I653" s="987"/>
      <c r="J653" s="988"/>
      <c r="K653" s="987"/>
      <c r="L653" s="974">
        <f t="shared" si="40"/>
        <v>1100000</v>
      </c>
      <c r="M653" s="985"/>
      <c r="N653" s="1013">
        <f t="shared" si="39"/>
        <v>0</v>
      </c>
      <c r="O653" s="985"/>
      <c r="P653" s="990"/>
      <c r="Q653" s="987"/>
      <c r="R653" s="1152"/>
      <c r="S653" s="987"/>
      <c r="T653" s="985"/>
      <c r="V653" s="687" t="s">
        <v>1245</v>
      </c>
      <c r="W653" s="687">
        <v>1180000</v>
      </c>
    </row>
    <row r="654" spans="1:23" x14ac:dyDescent="0.25">
      <c r="B654" s="1112" t="s">
        <v>1551</v>
      </c>
      <c r="C654" s="1015">
        <v>1049</v>
      </c>
      <c r="D654" s="985" t="s">
        <v>1561</v>
      </c>
      <c r="E654" s="985" t="s">
        <v>1562</v>
      </c>
      <c r="F654" s="986">
        <v>2000000</v>
      </c>
      <c r="G654" s="987"/>
      <c r="H654" s="987">
        <v>1000000</v>
      </c>
      <c r="I654" s="987">
        <v>1000000</v>
      </c>
      <c r="J654" s="988"/>
      <c r="K654" s="987"/>
      <c r="L654" s="974">
        <f t="shared" si="40"/>
        <v>2000000</v>
      </c>
      <c r="M654" s="985"/>
      <c r="N654" s="1013">
        <f t="shared" si="39"/>
        <v>0</v>
      </c>
      <c r="O654" s="985"/>
      <c r="P654" s="990"/>
      <c r="Q654" s="987"/>
      <c r="R654" s="1152"/>
      <c r="S654" s="987"/>
      <c r="T654" s="985"/>
    </row>
    <row r="655" spans="1:23" x14ac:dyDescent="0.25">
      <c r="B655" s="1112" t="s">
        <v>1551</v>
      </c>
      <c r="C655" s="1015">
        <v>1049</v>
      </c>
      <c r="D655" s="985" t="s">
        <v>1563</v>
      </c>
      <c r="E655" s="985" t="s">
        <v>1118</v>
      </c>
      <c r="F655" s="986">
        <v>71730000</v>
      </c>
      <c r="G655" s="987">
        <v>90200000</v>
      </c>
      <c r="H655" s="987">
        <v>35865000</v>
      </c>
      <c r="I655" s="987">
        <v>49825000</v>
      </c>
      <c r="J655" s="988"/>
      <c r="K655" s="987"/>
      <c r="L655" s="974">
        <f t="shared" si="40"/>
        <v>85690000</v>
      </c>
      <c r="M655" s="985"/>
      <c r="N655" s="1013">
        <f t="shared" si="39"/>
        <v>4510000</v>
      </c>
      <c r="O655" s="985"/>
      <c r="P655" s="990"/>
      <c r="Q655" s="987"/>
      <c r="R655" s="1152"/>
      <c r="S655" s="987"/>
      <c r="T655" s="1104">
        <v>4510000</v>
      </c>
    </row>
    <row r="656" spans="1:23" x14ac:dyDescent="0.25">
      <c r="B656" s="1112" t="s">
        <v>1551</v>
      </c>
      <c r="C656" s="1015">
        <v>1049</v>
      </c>
      <c r="D656" s="985" t="s">
        <v>1390</v>
      </c>
      <c r="E656" s="985" t="s">
        <v>1564</v>
      </c>
      <c r="F656" s="986">
        <v>5674000</v>
      </c>
      <c r="G656" s="987"/>
      <c r="H656" s="987">
        <v>5674000</v>
      </c>
      <c r="I656" s="987"/>
      <c r="J656" s="988"/>
      <c r="K656" s="987"/>
      <c r="L656" s="974">
        <f t="shared" si="40"/>
        <v>5674000</v>
      </c>
      <c r="M656" s="985"/>
      <c r="N656" s="1013">
        <f t="shared" si="39"/>
        <v>0</v>
      </c>
      <c r="O656" s="985"/>
      <c r="P656" s="990"/>
      <c r="Q656" s="987"/>
      <c r="R656" s="1152"/>
      <c r="S656" s="987"/>
      <c r="T656" s="985"/>
    </row>
    <row r="657" spans="2:20" x14ac:dyDescent="0.25">
      <c r="B657" s="1112" t="s">
        <v>1551</v>
      </c>
      <c r="C657" s="1015">
        <v>1049</v>
      </c>
      <c r="D657" s="985" t="s">
        <v>552</v>
      </c>
      <c r="E657" s="985" t="s">
        <v>1565</v>
      </c>
      <c r="F657" s="986">
        <v>10000000</v>
      </c>
      <c r="G657" s="987"/>
      <c r="H657" s="987">
        <v>10000000</v>
      </c>
      <c r="I657" s="987"/>
      <c r="J657" s="988"/>
      <c r="K657" s="987"/>
      <c r="L657" s="974">
        <f t="shared" si="40"/>
        <v>10000000</v>
      </c>
      <c r="M657" s="985"/>
      <c r="N657" s="1013">
        <f t="shared" si="39"/>
        <v>0</v>
      </c>
      <c r="O657" s="985"/>
      <c r="P657" s="990"/>
      <c r="Q657" s="987"/>
      <c r="R657" s="1152"/>
      <c r="S657" s="987"/>
      <c r="T657" s="985"/>
    </row>
    <row r="658" spans="2:20" x14ac:dyDescent="0.25">
      <c r="B658" s="1112" t="s">
        <v>1551</v>
      </c>
      <c r="C658" s="1015">
        <v>1049</v>
      </c>
      <c r="D658" s="985" t="s">
        <v>1566</v>
      </c>
      <c r="E658" s="985" t="s">
        <v>1316</v>
      </c>
      <c r="F658" s="986">
        <v>40800000</v>
      </c>
      <c r="G658" s="987"/>
      <c r="H658" s="987">
        <v>17200000</v>
      </c>
      <c r="I658" s="987">
        <v>23600000</v>
      </c>
      <c r="J658" s="988"/>
      <c r="K658" s="987"/>
      <c r="L658" s="974">
        <f t="shared" si="40"/>
        <v>40800000</v>
      </c>
      <c r="M658" s="985"/>
      <c r="N658" s="1013">
        <f t="shared" si="39"/>
        <v>0</v>
      </c>
      <c r="O658" s="985"/>
      <c r="P658" s="990"/>
      <c r="Q658" s="987"/>
      <c r="R658" s="1152"/>
      <c r="S658" s="987"/>
      <c r="T658" s="985"/>
    </row>
    <row r="659" spans="2:20" x14ac:dyDescent="0.25">
      <c r="B659" s="1112" t="s">
        <v>1551</v>
      </c>
      <c r="C659" s="1015">
        <v>1049</v>
      </c>
      <c r="D659" s="985" t="s">
        <v>1567</v>
      </c>
      <c r="E659" s="985" t="s">
        <v>1568</v>
      </c>
      <c r="F659" s="986">
        <v>14285714</v>
      </c>
      <c r="G659" s="987">
        <v>16361200</v>
      </c>
      <c r="H659" s="987">
        <v>10000000</v>
      </c>
      <c r="I659" s="987">
        <v>6361200</v>
      </c>
      <c r="J659" s="988"/>
      <c r="K659" s="987"/>
      <c r="L659" s="974">
        <f t="shared" si="40"/>
        <v>16361200</v>
      </c>
      <c r="M659" s="985"/>
      <c r="N659" s="1013">
        <f t="shared" si="39"/>
        <v>0</v>
      </c>
      <c r="O659" s="985"/>
      <c r="P659" s="990"/>
      <c r="Q659" s="987"/>
      <c r="R659" s="1152"/>
      <c r="S659" s="987"/>
      <c r="T659" s="985"/>
    </row>
    <row r="660" spans="2:20" x14ac:dyDescent="0.25">
      <c r="B660" s="1112" t="s">
        <v>1551</v>
      </c>
      <c r="C660" s="1015">
        <v>1049</v>
      </c>
      <c r="D660" s="985" t="s">
        <v>1569</v>
      </c>
      <c r="E660" s="985" t="s">
        <v>1570</v>
      </c>
      <c r="F660" s="986">
        <v>530000</v>
      </c>
      <c r="G660" s="987"/>
      <c r="H660" s="987">
        <v>530000</v>
      </c>
      <c r="I660" s="987"/>
      <c r="J660" s="988"/>
      <c r="K660" s="987"/>
      <c r="L660" s="974">
        <f t="shared" si="40"/>
        <v>530000</v>
      </c>
      <c r="M660" s="985"/>
      <c r="N660" s="1013">
        <f t="shared" si="39"/>
        <v>0</v>
      </c>
      <c r="O660" s="985"/>
      <c r="P660" s="990"/>
      <c r="Q660" s="987"/>
      <c r="R660" s="1152"/>
      <c r="S660" s="987"/>
      <c r="T660" s="985"/>
    </row>
    <row r="661" spans="2:20" x14ac:dyDescent="0.25">
      <c r="B661" s="1112" t="s">
        <v>1551</v>
      </c>
      <c r="C661" s="1015">
        <v>1049</v>
      </c>
      <c r="D661" s="985" t="s">
        <v>1571</v>
      </c>
      <c r="E661" s="985" t="s">
        <v>1572</v>
      </c>
      <c r="F661" s="986">
        <v>200000</v>
      </c>
      <c r="G661" s="987"/>
      <c r="H661" s="987">
        <v>200000</v>
      </c>
      <c r="I661" s="987"/>
      <c r="J661" s="988"/>
      <c r="K661" s="987"/>
      <c r="L661" s="974">
        <f t="shared" si="40"/>
        <v>200000</v>
      </c>
      <c r="M661" s="985"/>
      <c r="N661" s="1013">
        <f t="shared" si="39"/>
        <v>0</v>
      </c>
      <c r="O661" s="985"/>
      <c r="P661" s="990"/>
      <c r="Q661" s="987"/>
      <c r="R661" s="1152"/>
      <c r="S661" s="987"/>
      <c r="T661" s="985"/>
    </row>
    <row r="662" spans="2:20" x14ac:dyDescent="0.25">
      <c r="B662" s="1112" t="s">
        <v>1551</v>
      </c>
      <c r="C662" s="1015">
        <v>1049</v>
      </c>
      <c r="D662" s="985" t="s">
        <v>1573</v>
      </c>
      <c r="E662" s="985" t="s">
        <v>1574</v>
      </c>
      <c r="F662" s="986">
        <v>1500000</v>
      </c>
      <c r="G662" s="987"/>
      <c r="H662" s="987">
        <v>1500000</v>
      </c>
      <c r="I662" s="987"/>
      <c r="J662" s="988"/>
      <c r="K662" s="987"/>
      <c r="L662" s="974">
        <f t="shared" si="40"/>
        <v>1500000</v>
      </c>
      <c r="M662" s="985"/>
      <c r="N662" s="1013">
        <f t="shared" si="39"/>
        <v>0</v>
      </c>
      <c r="O662" s="985"/>
      <c r="P662" s="990"/>
      <c r="Q662" s="987"/>
      <c r="R662" s="1152"/>
      <c r="S662" s="987"/>
      <c r="T662" s="985"/>
    </row>
    <row r="663" spans="2:20" x14ac:dyDescent="0.25">
      <c r="B663" s="1112" t="s">
        <v>1551</v>
      </c>
      <c r="C663" s="1015">
        <v>1049</v>
      </c>
      <c r="D663" s="985" t="s">
        <v>1092</v>
      </c>
      <c r="E663" s="985" t="s">
        <v>1575</v>
      </c>
      <c r="F663" s="986">
        <v>337000</v>
      </c>
      <c r="G663" s="987"/>
      <c r="H663" s="987">
        <v>337000</v>
      </c>
      <c r="I663" s="987"/>
      <c r="J663" s="988"/>
      <c r="K663" s="987"/>
      <c r="L663" s="974">
        <f t="shared" si="40"/>
        <v>337000</v>
      </c>
      <c r="M663" s="985"/>
      <c r="N663" s="1013">
        <f t="shared" si="39"/>
        <v>0</v>
      </c>
      <c r="O663" s="985"/>
      <c r="P663" s="990"/>
      <c r="Q663" s="987"/>
      <c r="R663" s="1152"/>
      <c r="S663" s="987"/>
      <c r="T663" s="985"/>
    </row>
    <row r="664" spans="2:20" x14ac:dyDescent="0.25">
      <c r="B664" s="1112" t="s">
        <v>1551</v>
      </c>
      <c r="C664" s="1015">
        <v>1049</v>
      </c>
      <c r="D664" s="985" t="s">
        <v>1576</v>
      </c>
      <c r="E664" s="985" t="s">
        <v>1577</v>
      </c>
      <c r="F664" s="986">
        <v>748000</v>
      </c>
      <c r="G664" s="987"/>
      <c r="H664" s="987">
        <v>748000</v>
      </c>
      <c r="I664" s="987"/>
      <c r="J664" s="988"/>
      <c r="K664" s="987"/>
      <c r="L664" s="974">
        <f t="shared" si="40"/>
        <v>748000</v>
      </c>
      <c r="M664" s="985"/>
      <c r="N664" s="1013">
        <f t="shared" si="39"/>
        <v>0</v>
      </c>
      <c r="O664" s="985"/>
      <c r="P664" s="990"/>
      <c r="Q664" s="987"/>
      <c r="R664" s="1152"/>
      <c r="S664" s="987"/>
      <c r="T664" s="985"/>
    </row>
    <row r="665" spans="2:20" x14ac:dyDescent="0.25">
      <c r="B665" s="1112" t="s">
        <v>1551</v>
      </c>
      <c r="C665" s="1015">
        <v>1049</v>
      </c>
      <c r="D665" s="985" t="s">
        <v>1578</v>
      </c>
      <c r="E665" s="985" t="s">
        <v>1261</v>
      </c>
      <c r="F665" s="986">
        <v>910000</v>
      </c>
      <c r="G665" s="987"/>
      <c r="H665" s="987">
        <v>910000</v>
      </c>
      <c r="I665" s="987"/>
      <c r="J665" s="988"/>
      <c r="K665" s="987"/>
      <c r="L665" s="974">
        <f t="shared" si="40"/>
        <v>910000</v>
      </c>
      <c r="M665" s="985"/>
      <c r="N665" s="1013">
        <f t="shared" si="39"/>
        <v>0</v>
      </c>
      <c r="O665" s="985"/>
      <c r="P665" s="990"/>
      <c r="Q665" s="987"/>
      <c r="R665" s="1152"/>
      <c r="S665" s="987"/>
      <c r="T665" s="985"/>
    </row>
    <row r="666" spans="2:20" x14ac:dyDescent="0.25">
      <c r="B666" s="1112" t="s">
        <v>1551</v>
      </c>
      <c r="C666" s="1015">
        <v>1049</v>
      </c>
      <c r="D666" s="985" t="s">
        <v>1579</v>
      </c>
      <c r="E666" s="985" t="s">
        <v>1423</v>
      </c>
      <c r="F666" s="986">
        <v>73338365</v>
      </c>
      <c r="G666" s="987"/>
      <c r="H666" s="987">
        <v>50000000</v>
      </c>
      <c r="I666" s="987">
        <v>23338365</v>
      </c>
      <c r="J666" s="988"/>
      <c r="K666" s="987"/>
      <c r="L666" s="974">
        <f t="shared" si="40"/>
        <v>73338365</v>
      </c>
      <c r="M666" s="985"/>
      <c r="N666" s="1013">
        <f t="shared" si="39"/>
        <v>0</v>
      </c>
      <c r="O666" s="985"/>
      <c r="P666" s="990"/>
      <c r="Q666" s="987"/>
      <c r="R666" s="1152"/>
      <c r="S666" s="987"/>
      <c r="T666" s="985"/>
    </row>
    <row r="667" spans="2:20" x14ac:dyDescent="0.25">
      <c r="B667" s="1112" t="s">
        <v>1551</v>
      </c>
      <c r="C667" s="1015">
        <v>1049</v>
      </c>
      <c r="D667" s="985" t="s">
        <v>1580</v>
      </c>
      <c r="E667" s="985" t="s">
        <v>1319</v>
      </c>
      <c r="F667" s="986">
        <v>3000000</v>
      </c>
      <c r="G667" s="987"/>
      <c r="H667" s="987">
        <v>3000000</v>
      </c>
      <c r="I667" s="987"/>
      <c r="J667" s="988"/>
      <c r="K667" s="987"/>
      <c r="L667" s="974">
        <f t="shared" si="40"/>
        <v>3000000</v>
      </c>
      <c r="M667" s="985"/>
      <c r="N667" s="1013">
        <f t="shared" si="39"/>
        <v>0</v>
      </c>
      <c r="O667" s="985"/>
      <c r="P667" s="990"/>
      <c r="Q667" s="987"/>
      <c r="R667" s="1152"/>
      <c r="S667" s="987"/>
      <c r="T667" s="985"/>
    </row>
    <row r="668" spans="2:20" x14ac:dyDescent="0.25">
      <c r="B668" s="1112" t="s">
        <v>1551</v>
      </c>
      <c r="C668" s="1015">
        <v>1049</v>
      </c>
      <c r="D668" s="985" t="s">
        <v>1581</v>
      </c>
      <c r="E668" s="985" t="s">
        <v>662</v>
      </c>
      <c r="F668" s="986">
        <v>12091000</v>
      </c>
      <c r="G668" s="987"/>
      <c r="H668" s="987">
        <v>12091000</v>
      </c>
      <c r="I668" s="987"/>
      <c r="J668" s="988"/>
      <c r="K668" s="987"/>
      <c r="L668" s="974">
        <f t="shared" si="40"/>
        <v>12091000</v>
      </c>
      <c r="M668" s="985"/>
      <c r="N668" s="1013">
        <f t="shared" si="39"/>
        <v>0</v>
      </c>
      <c r="O668" s="985"/>
      <c r="P668" s="990"/>
      <c r="Q668" s="987"/>
      <c r="R668" s="1152"/>
      <c r="S668" s="987"/>
      <c r="T668" s="985"/>
    </row>
    <row r="669" spans="2:20" x14ac:dyDescent="0.25">
      <c r="B669" s="1112" t="s">
        <v>1551</v>
      </c>
      <c r="C669" s="1015">
        <v>1049</v>
      </c>
      <c r="D669" s="985" t="s">
        <v>607</v>
      </c>
      <c r="E669" s="985" t="s">
        <v>1582</v>
      </c>
      <c r="F669" s="986">
        <v>3000000</v>
      </c>
      <c r="G669" s="987">
        <f>4171000+1796000</f>
        <v>5967000</v>
      </c>
      <c r="H669" s="987">
        <v>3000000</v>
      </c>
      <c r="I669" s="987">
        <v>2967000</v>
      </c>
      <c r="J669" s="988"/>
      <c r="K669" s="987"/>
      <c r="L669" s="974">
        <f t="shared" si="40"/>
        <v>5967000</v>
      </c>
      <c r="M669" s="985"/>
      <c r="N669" s="1013">
        <f t="shared" si="39"/>
        <v>0</v>
      </c>
      <c r="O669" s="985"/>
      <c r="P669" s="990"/>
      <c r="Q669" s="987"/>
      <c r="R669" s="1152"/>
      <c r="S669" s="987"/>
      <c r="T669" s="985"/>
    </row>
    <row r="670" spans="2:20" x14ac:dyDescent="0.25">
      <c r="B670" s="1112" t="s">
        <v>1551</v>
      </c>
      <c r="C670" s="1015">
        <v>1049</v>
      </c>
      <c r="D670" s="985" t="s">
        <v>1583</v>
      </c>
      <c r="E670" s="985" t="s">
        <v>1208</v>
      </c>
      <c r="F670" s="986">
        <v>2838000</v>
      </c>
      <c r="G670" s="987"/>
      <c r="H670" s="987">
        <v>2838000</v>
      </c>
      <c r="I670" s="987"/>
      <c r="J670" s="988"/>
      <c r="K670" s="987"/>
      <c r="L670" s="974">
        <f t="shared" si="40"/>
        <v>2838000</v>
      </c>
      <c r="M670" s="985"/>
      <c r="N670" s="1013">
        <f t="shared" si="39"/>
        <v>0</v>
      </c>
      <c r="O670" s="985"/>
      <c r="P670" s="990"/>
      <c r="Q670" s="987"/>
      <c r="R670" s="1152"/>
      <c r="S670" s="987"/>
      <c r="T670" s="985"/>
    </row>
    <row r="671" spans="2:20" x14ac:dyDescent="0.25">
      <c r="B671" s="1112" t="s">
        <v>1551</v>
      </c>
      <c r="C671" s="1015">
        <v>1049</v>
      </c>
      <c r="D671" s="985" t="s">
        <v>1584</v>
      </c>
      <c r="E671" s="985" t="s">
        <v>1095</v>
      </c>
      <c r="F671" s="986">
        <v>924000</v>
      </c>
      <c r="G671" s="987"/>
      <c r="H671" s="987">
        <v>924000</v>
      </c>
      <c r="I671" s="987"/>
      <c r="J671" s="988"/>
      <c r="K671" s="987"/>
      <c r="L671" s="974">
        <f t="shared" si="40"/>
        <v>924000</v>
      </c>
      <c r="M671" s="985"/>
      <c r="N671" s="1013">
        <f t="shared" si="39"/>
        <v>0</v>
      </c>
      <c r="O671" s="985"/>
      <c r="P671" s="990"/>
      <c r="Q671" s="987"/>
      <c r="R671" s="1152"/>
      <c r="S671" s="987"/>
      <c r="T671" s="985"/>
    </row>
    <row r="672" spans="2:20" x14ac:dyDescent="0.25">
      <c r="B672" s="1112" t="s">
        <v>1551</v>
      </c>
      <c r="C672" s="1015">
        <v>1049</v>
      </c>
      <c r="D672" s="985" t="s">
        <v>1450</v>
      </c>
      <c r="E672" s="985" t="s">
        <v>1585</v>
      </c>
      <c r="F672" s="986">
        <v>5280000</v>
      </c>
      <c r="G672" s="987"/>
      <c r="H672" s="987">
        <v>5280000</v>
      </c>
      <c r="I672" s="987"/>
      <c r="J672" s="988"/>
      <c r="K672" s="987"/>
      <c r="L672" s="974">
        <f t="shared" si="40"/>
        <v>5280000</v>
      </c>
      <c r="M672" s="985"/>
      <c r="N672" s="1013">
        <f t="shared" si="39"/>
        <v>0</v>
      </c>
      <c r="O672" s="985"/>
      <c r="P672" s="990"/>
      <c r="Q672" s="987"/>
      <c r="R672" s="1152"/>
      <c r="S672" s="987"/>
      <c r="T672" s="985"/>
    </row>
    <row r="673" spans="1:23" x14ac:dyDescent="0.25">
      <c r="B673" s="1112" t="s">
        <v>1551</v>
      </c>
      <c r="C673" s="1015">
        <v>1049</v>
      </c>
      <c r="D673" s="985" t="s">
        <v>1416</v>
      </c>
      <c r="E673" s="985" t="s">
        <v>1586</v>
      </c>
      <c r="F673" s="986">
        <v>14012500</v>
      </c>
      <c r="G673" s="987"/>
      <c r="H673" s="987">
        <v>14012500</v>
      </c>
      <c r="I673" s="987"/>
      <c r="J673" s="988"/>
      <c r="K673" s="987"/>
      <c r="L673" s="974">
        <f t="shared" si="40"/>
        <v>14012500</v>
      </c>
      <c r="M673" s="985"/>
      <c r="N673" s="1013">
        <f t="shared" si="39"/>
        <v>0</v>
      </c>
      <c r="O673" s="985"/>
      <c r="P673" s="990"/>
      <c r="Q673" s="987"/>
      <c r="R673" s="1152"/>
      <c r="S673" s="987"/>
      <c r="T673" s="985"/>
    </row>
    <row r="674" spans="1:23" x14ac:dyDescent="0.25">
      <c r="B674" s="1112" t="s">
        <v>1551</v>
      </c>
      <c r="C674" s="1015">
        <v>1049</v>
      </c>
      <c r="D674" s="985" t="s">
        <v>1236</v>
      </c>
      <c r="E674" s="985" t="s">
        <v>1237</v>
      </c>
      <c r="F674" s="986">
        <v>2396170</v>
      </c>
      <c r="G674" s="987"/>
      <c r="H674" s="987">
        <v>2396170</v>
      </c>
      <c r="I674" s="987"/>
      <c r="J674" s="988"/>
      <c r="K674" s="987"/>
      <c r="L674" s="974">
        <f t="shared" si="40"/>
        <v>2396170</v>
      </c>
      <c r="M674" s="985"/>
      <c r="N674" s="1013">
        <f t="shared" si="39"/>
        <v>0</v>
      </c>
      <c r="O674" s="985"/>
      <c r="P674" s="990"/>
      <c r="Q674" s="987"/>
      <c r="R674" s="1152"/>
      <c r="S674" s="987"/>
      <c r="T674" s="985"/>
    </row>
    <row r="675" spans="1:23" x14ac:dyDescent="0.25">
      <c r="B675" s="1112" t="s">
        <v>1551</v>
      </c>
      <c r="C675" s="1015">
        <v>1049</v>
      </c>
      <c r="D675" s="985" t="s">
        <v>1587</v>
      </c>
      <c r="E675" s="985" t="s">
        <v>1400</v>
      </c>
      <c r="F675" s="986">
        <v>50673000</v>
      </c>
      <c r="G675" s="987"/>
      <c r="H675" s="987">
        <v>50673000</v>
      </c>
      <c r="I675" s="987"/>
      <c r="J675" s="988"/>
      <c r="K675" s="987"/>
      <c r="L675" s="974">
        <f t="shared" si="40"/>
        <v>50673000</v>
      </c>
      <c r="M675" s="985"/>
      <c r="N675" s="1013">
        <f t="shared" si="39"/>
        <v>0</v>
      </c>
      <c r="O675" s="985"/>
      <c r="P675" s="990"/>
      <c r="Q675" s="987"/>
      <c r="R675" s="1152"/>
      <c r="S675" s="987"/>
      <c r="T675" s="985"/>
    </row>
    <row r="676" spans="1:23" x14ac:dyDescent="0.25">
      <c r="B676" s="1112" t="s">
        <v>1551</v>
      </c>
      <c r="C676" s="1015">
        <v>1049</v>
      </c>
      <c r="D676" s="976" t="s">
        <v>947</v>
      </c>
      <c r="E676" s="985"/>
      <c r="F676" s="986">
        <f>W676</f>
        <v>14399500</v>
      </c>
      <c r="G676" s="987"/>
      <c r="H676" s="987">
        <v>3548500</v>
      </c>
      <c r="I676" s="987">
        <v>1580000</v>
      </c>
      <c r="J676" s="988">
        <v>5538000</v>
      </c>
      <c r="K676" s="987">
        <f>2553000+1180000</f>
        <v>3733000</v>
      </c>
      <c r="L676" s="974">
        <f t="shared" si="40"/>
        <v>14399500</v>
      </c>
      <c r="M676" s="985"/>
      <c r="N676" s="1013">
        <f t="shared" si="39"/>
        <v>0</v>
      </c>
      <c r="O676" s="985"/>
      <c r="P676" s="990"/>
      <c r="Q676" s="987"/>
      <c r="R676" s="1152"/>
      <c r="S676" s="987"/>
      <c r="T676" s="985"/>
      <c r="V676" s="1000" t="s">
        <v>948</v>
      </c>
      <c r="W676" s="1000">
        <f>SUM(W649:W673)</f>
        <v>14399500</v>
      </c>
    </row>
    <row r="677" spans="1:23" ht="15.75" x14ac:dyDescent="0.25">
      <c r="A677" s="723"/>
      <c r="B677" s="720" t="s">
        <v>997</v>
      </c>
      <c r="C677" s="720"/>
      <c r="D677" s="699" t="s">
        <v>1551</v>
      </c>
      <c r="E677" s="706"/>
      <c r="F677" s="724"/>
      <c r="G677" s="701"/>
      <c r="H677" s="701"/>
      <c r="I677" s="701"/>
      <c r="J677" s="726"/>
      <c r="K677" s="701"/>
      <c r="L677" s="735">
        <f>SUM(L649:L676)</f>
        <v>539369938</v>
      </c>
      <c r="M677" s="706"/>
      <c r="N677" s="1042">
        <f>SUM(N649:N676)</f>
        <v>30938908</v>
      </c>
      <c r="O677" s="706"/>
      <c r="P677" s="704"/>
      <c r="Q677" s="701"/>
      <c r="R677" s="1156"/>
      <c r="S677" s="701"/>
      <c r="T677" s="706"/>
    </row>
    <row r="678" spans="1:23" x14ac:dyDescent="0.25">
      <c r="A678" s="686">
        <v>30</v>
      </c>
      <c r="B678" s="1187" t="s">
        <v>1588</v>
      </c>
      <c r="C678" s="1015"/>
      <c r="D678" s="985" t="s">
        <v>1464</v>
      </c>
      <c r="E678" s="985" t="s">
        <v>1465</v>
      </c>
      <c r="F678" s="973">
        <v>30000000</v>
      </c>
      <c r="G678" s="974"/>
      <c r="H678" s="974">
        <v>30000000</v>
      </c>
      <c r="I678" s="974"/>
      <c r="J678" s="975"/>
      <c r="K678" s="974"/>
      <c r="L678" s="974">
        <f t="shared" ref="L678:L689" si="41">SUM(H678:K678)</f>
        <v>30000000</v>
      </c>
      <c r="M678" s="976"/>
      <c r="N678" s="1013">
        <f t="shared" ref="N678:N689" si="42">IF($G678="",($F678-$L678),($G678-$L678))</f>
        <v>0</v>
      </c>
      <c r="O678" s="976"/>
      <c r="P678" s="977"/>
      <c r="Q678" s="974"/>
      <c r="R678" s="1147"/>
      <c r="S678" s="974"/>
      <c r="T678" s="976"/>
      <c r="V678" s="687" t="s">
        <v>1245</v>
      </c>
      <c r="W678" s="687">
        <v>906000</v>
      </c>
    </row>
    <row r="679" spans="1:23" x14ac:dyDescent="0.25">
      <c r="B679" s="1187" t="s">
        <v>1588</v>
      </c>
      <c r="C679" s="1015"/>
      <c r="D679" s="976" t="s">
        <v>1589</v>
      </c>
      <c r="E679" s="976" t="s">
        <v>880</v>
      </c>
      <c r="F679" s="973">
        <v>20652400</v>
      </c>
      <c r="G679" s="974"/>
      <c r="H679" s="974">
        <v>20652400</v>
      </c>
      <c r="I679" s="974"/>
      <c r="J679" s="975"/>
      <c r="K679" s="974"/>
      <c r="L679" s="974">
        <f t="shared" si="41"/>
        <v>20652400</v>
      </c>
      <c r="M679" s="976"/>
      <c r="N679" s="1013">
        <f t="shared" si="42"/>
        <v>0</v>
      </c>
      <c r="O679" s="976"/>
      <c r="P679" s="977"/>
      <c r="Q679" s="974"/>
      <c r="R679" s="1147"/>
      <c r="S679" s="974"/>
      <c r="T679" s="976"/>
      <c r="V679" s="687" t="s">
        <v>1495</v>
      </c>
      <c r="W679" s="687">
        <v>3446000</v>
      </c>
    </row>
    <row r="680" spans="1:23" x14ac:dyDescent="0.25">
      <c r="B680" s="1187" t="s">
        <v>1588</v>
      </c>
      <c r="C680" s="1015"/>
      <c r="D680" s="976" t="s">
        <v>1560</v>
      </c>
      <c r="E680" s="976" t="s">
        <v>1075</v>
      </c>
      <c r="F680" s="973">
        <v>1100000</v>
      </c>
      <c r="G680" s="974"/>
      <c r="H680" s="974">
        <v>1100000</v>
      </c>
      <c r="I680" s="974"/>
      <c r="J680" s="975"/>
      <c r="K680" s="974"/>
      <c r="L680" s="974">
        <f t="shared" si="41"/>
        <v>1100000</v>
      </c>
      <c r="M680" s="976"/>
      <c r="N680" s="1013">
        <f t="shared" si="42"/>
        <v>0</v>
      </c>
      <c r="O680" s="976"/>
      <c r="P680" s="977"/>
      <c r="Q680" s="974"/>
      <c r="R680" s="1147"/>
      <c r="S680" s="974"/>
      <c r="T680" s="976"/>
      <c r="W680" s="1000"/>
    </row>
    <row r="681" spans="1:23" x14ac:dyDescent="0.25">
      <c r="B681" s="1187" t="s">
        <v>1588</v>
      </c>
      <c r="C681" s="1015"/>
      <c r="D681" s="976" t="s">
        <v>1590</v>
      </c>
      <c r="E681" s="983" t="s">
        <v>1537</v>
      </c>
      <c r="F681" s="980">
        <v>2000000</v>
      </c>
      <c r="G681" s="981"/>
      <c r="H681" s="981">
        <v>2000000</v>
      </c>
      <c r="I681" s="981"/>
      <c r="J681" s="982"/>
      <c r="K681" s="981"/>
      <c r="L681" s="974">
        <f t="shared" si="41"/>
        <v>2000000</v>
      </c>
      <c r="M681" s="983"/>
      <c r="N681" s="1013">
        <f t="shared" si="42"/>
        <v>0</v>
      </c>
      <c r="O681" s="983"/>
      <c r="P681" s="984"/>
      <c r="Q681" s="981"/>
      <c r="R681" s="1154"/>
      <c r="S681" s="981"/>
      <c r="T681" s="983"/>
      <c r="V681" s="1000"/>
      <c r="W681" s="1000"/>
    </row>
    <row r="682" spans="1:23" x14ac:dyDescent="0.25">
      <c r="B682" s="1187" t="s">
        <v>1588</v>
      </c>
      <c r="C682" s="1015"/>
      <c r="D682" s="976" t="s">
        <v>1591</v>
      </c>
      <c r="E682" s="983" t="s">
        <v>1475</v>
      </c>
      <c r="F682" s="980">
        <v>22424000</v>
      </c>
      <c r="G682" s="981"/>
      <c r="H682" s="981">
        <v>22424000</v>
      </c>
      <c r="I682" s="981"/>
      <c r="J682" s="982"/>
      <c r="K682" s="981"/>
      <c r="L682" s="974">
        <f t="shared" si="41"/>
        <v>22424000</v>
      </c>
      <c r="M682" s="983"/>
      <c r="N682" s="1013">
        <f t="shared" si="42"/>
        <v>0</v>
      </c>
      <c r="O682" s="983"/>
      <c r="P682" s="984"/>
      <c r="Q682" s="981"/>
      <c r="R682" s="1154"/>
      <c r="S682" s="981"/>
      <c r="T682" s="983"/>
      <c r="V682" s="1000"/>
      <c r="W682" s="1000"/>
    </row>
    <row r="683" spans="1:23" x14ac:dyDescent="0.25">
      <c r="B683" s="1187" t="s">
        <v>1588</v>
      </c>
      <c r="C683" s="1015"/>
      <c r="D683" s="976" t="s">
        <v>932</v>
      </c>
      <c r="E683" s="983" t="s">
        <v>341</v>
      </c>
      <c r="F683" s="980">
        <v>2980000</v>
      </c>
      <c r="G683" s="981"/>
      <c r="H683" s="981">
        <v>2980000</v>
      </c>
      <c r="I683" s="981"/>
      <c r="J683" s="982"/>
      <c r="K683" s="981"/>
      <c r="L683" s="974">
        <f t="shared" si="41"/>
        <v>2980000</v>
      </c>
      <c r="M683" s="983"/>
      <c r="N683" s="1013">
        <f t="shared" si="42"/>
        <v>0</v>
      </c>
      <c r="O683" s="983"/>
      <c r="P683" s="984"/>
      <c r="Q683" s="981"/>
      <c r="R683" s="1154"/>
      <c r="S683" s="981"/>
      <c r="T683" s="983"/>
      <c r="V683" s="1000"/>
      <c r="W683" s="1000"/>
    </row>
    <row r="684" spans="1:23" x14ac:dyDescent="0.25">
      <c r="B684" s="1187" t="s">
        <v>1588</v>
      </c>
      <c r="C684" s="1015"/>
      <c r="D684" s="976" t="s">
        <v>1592</v>
      </c>
      <c r="E684" s="983" t="s">
        <v>1473</v>
      </c>
      <c r="F684" s="980">
        <v>11200000</v>
      </c>
      <c r="G684" s="981"/>
      <c r="H684" s="981">
        <v>11200000</v>
      </c>
      <c r="I684" s="981"/>
      <c r="J684" s="982"/>
      <c r="K684" s="981"/>
      <c r="L684" s="974">
        <f t="shared" si="41"/>
        <v>11200000</v>
      </c>
      <c r="M684" s="983"/>
      <c r="N684" s="1013">
        <f t="shared" si="42"/>
        <v>0</v>
      </c>
      <c r="O684" s="983"/>
      <c r="P684" s="984"/>
      <c r="Q684" s="981"/>
      <c r="R684" s="1154"/>
      <c r="S684" s="981"/>
      <c r="T684" s="983"/>
      <c r="V684" s="1000"/>
      <c r="W684" s="1000"/>
    </row>
    <row r="685" spans="1:23" x14ac:dyDescent="0.25">
      <c r="B685" s="1187" t="s">
        <v>1588</v>
      </c>
      <c r="C685" s="1015"/>
      <c r="D685" s="976" t="s">
        <v>1593</v>
      </c>
      <c r="E685" s="983" t="s">
        <v>1594</v>
      </c>
      <c r="F685" s="980">
        <v>5000000</v>
      </c>
      <c r="G685" s="981"/>
      <c r="H685" s="981">
        <v>5000000</v>
      </c>
      <c r="I685" s="981"/>
      <c r="J685" s="982"/>
      <c r="K685" s="981"/>
      <c r="L685" s="974">
        <f t="shared" si="41"/>
        <v>5000000</v>
      </c>
      <c r="M685" s="983"/>
      <c r="N685" s="1013">
        <f t="shared" si="42"/>
        <v>0</v>
      </c>
      <c r="O685" s="983"/>
      <c r="P685" s="984"/>
      <c r="Q685" s="981"/>
      <c r="R685" s="1154"/>
      <c r="S685" s="981"/>
      <c r="T685" s="983"/>
      <c r="V685" s="1000"/>
      <c r="W685" s="1000"/>
    </row>
    <row r="686" spans="1:23" x14ac:dyDescent="0.25">
      <c r="B686" s="1187" t="s">
        <v>1588</v>
      </c>
      <c r="C686" s="1015"/>
      <c r="D686" s="976" t="s">
        <v>1595</v>
      </c>
      <c r="E686" s="983" t="s">
        <v>1594</v>
      </c>
      <c r="F686" s="980">
        <v>12550000</v>
      </c>
      <c r="G686" s="981"/>
      <c r="H686" s="981">
        <v>12550000</v>
      </c>
      <c r="I686" s="981"/>
      <c r="J686" s="982"/>
      <c r="K686" s="981"/>
      <c r="L686" s="974">
        <f t="shared" si="41"/>
        <v>12550000</v>
      </c>
      <c r="M686" s="983"/>
      <c r="N686" s="1013">
        <f t="shared" si="42"/>
        <v>0</v>
      </c>
      <c r="O686" s="983"/>
      <c r="P686" s="984"/>
      <c r="Q686" s="981"/>
      <c r="R686" s="1154"/>
      <c r="S686" s="981"/>
      <c r="T686" s="983"/>
      <c r="V686" s="1000"/>
      <c r="W686" s="1000"/>
    </row>
    <row r="687" spans="1:23" x14ac:dyDescent="0.25">
      <c r="B687" s="1187" t="s">
        <v>1588</v>
      </c>
      <c r="C687" s="1015"/>
      <c r="D687" s="976" t="s">
        <v>1063</v>
      </c>
      <c r="E687" s="983" t="s">
        <v>659</v>
      </c>
      <c r="F687" s="980">
        <v>1665000</v>
      </c>
      <c r="G687" s="981"/>
      <c r="H687" s="981">
        <v>1665000</v>
      </c>
      <c r="I687" s="981"/>
      <c r="J687" s="982"/>
      <c r="K687" s="981"/>
      <c r="L687" s="974">
        <f t="shared" si="41"/>
        <v>1665000</v>
      </c>
      <c r="M687" s="983"/>
      <c r="N687" s="1013">
        <f t="shared" si="42"/>
        <v>0</v>
      </c>
      <c r="O687" s="983"/>
      <c r="P687" s="984"/>
      <c r="Q687" s="981"/>
      <c r="R687" s="1154"/>
      <c r="S687" s="981"/>
      <c r="T687" s="983"/>
      <c r="V687" s="1000"/>
      <c r="W687" s="1000"/>
    </row>
    <row r="688" spans="1:23" x14ac:dyDescent="0.25">
      <c r="B688" s="1187" t="s">
        <v>1588</v>
      </c>
      <c r="C688" s="1015"/>
      <c r="D688" s="976" t="s">
        <v>394</v>
      </c>
      <c r="E688" s="983" t="s">
        <v>1316</v>
      </c>
      <c r="F688" s="980">
        <v>1600000</v>
      </c>
      <c r="G688" s="981"/>
      <c r="H688" s="981">
        <v>1600000</v>
      </c>
      <c r="I688" s="981"/>
      <c r="J688" s="982"/>
      <c r="K688" s="981"/>
      <c r="L688" s="974">
        <f t="shared" si="41"/>
        <v>1600000</v>
      </c>
      <c r="M688" s="983"/>
      <c r="N688" s="1013">
        <f t="shared" si="42"/>
        <v>0</v>
      </c>
      <c r="O688" s="983"/>
      <c r="P688" s="984"/>
      <c r="Q688" s="981"/>
      <c r="R688" s="1154"/>
      <c r="S688" s="981"/>
      <c r="T688" s="983"/>
      <c r="V688" s="1000"/>
      <c r="W688" s="1000"/>
    </row>
    <row r="689" spans="1:25" x14ac:dyDescent="0.25">
      <c r="B689" s="1015" t="s">
        <v>1588</v>
      </c>
      <c r="C689" s="1015"/>
      <c r="D689" s="976" t="s">
        <v>947</v>
      </c>
      <c r="E689" s="983"/>
      <c r="F689" s="980">
        <f>W689</f>
        <v>4352000</v>
      </c>
      <c r="G689" s="981"/>
      <c r="H689" s="981">
        <v>906000</v>
      </c>
      <c r="I689" s="981">
        <v>3446000</v>
      </c>
      <c r="J689" s="982"/>
      <c r="K689" s="981"/>
      <c r="L689" s="974">
        <f t="shared" si="41"/>
        <v>4352000</v>
      </c>
      <c r="M689" s="983"/>
      <c r="N689" s="1013">
        <f t="shared" si="42"/>
        <v>0</v>
      </c>
      <c r="O689" s="983"/>
      <c r="P689" s="984"/>
      <c r="Q689" s="981"/>
      <c r="R689" s="1154"/>
      <c r="S689" s="981"/>
      <c r="T689" s="983"/>
      <c r="V689" s="1000" t="s">
        <v>948</v>
      </c>
      <c r="W689" s="1000">
        <f>SUM(W678:W687)</f>
        <v>4352000</v>
      </c>
    </row>
    <row r="690" spans="1:25" ht="15.75" x14ac:dyDescent="0.25">
      <c r="A690" s="723"/>
      <c r="B690" s="720" t="s">
        <v>997</v>
      </c>
      <c r="C690" s="720"/>
      <c r="D690" s="699" t="s">
        <v>1596</v>
      </c>
      <c r="E690" s="706"/>
      <c r="F690" s="724"/>
      <c r="G690" s="701"/>
      <c r="H690" s="701"/>
      <c r="I690" s="701"/>
      <c r="J690" s="726"/>
      <c r="K690" s="701"/>
      <c r="L690" s="735">
        <f>SUM(L678:L689)</f>
        <v>115523400</v>
      </c>
      <c r="M690" s="706"/>
      <c r="N690" s="1023">
        <f>SUM(N678:N680)</f>
        <v>0</v>
      </c>
      <c r="O690" s="706"/>
      <c r="P690" s="704"/>
      <c r="Q690" s="701"/>
      <c r="R690" s="1156"/>
      <c r="S690" s="701"/>
      <c r="T690" s="706"/>
    </row>
    <row r="691" spans="1:25" x14ac:dyDescent="0.25">
      <c r="A691" s="686">
        <v>31</v>
      </c>
      <c r="B691" s="1187" t="s">
        <v>1597</v>
      </c>
      <c r="C691" s="1015">
        <v>1024</v>
      </c>
      <c r="D691" s="976" t="s">
        <v>1598</v>
      </c>
      <c r="E691" s="976" t="s">
        <v>1599</v>
      </c>
      <c r="F691" s="973">
        <v>45830400</v>
      </c>
      <c r="G691" s="974"/>
      <c r="H691" s="974">
        <v>22915200</v>
      </c>
      <c r="I691" s="974">
        <v>22915200</v>
      </c>
      <c r="J691" s="975"/>
      <c r="K691" s="974"/>
      <c r="L691" s="974">
        <f t="shared" ref="L691:L707" si="43">SUM(H691:K691)</f>
        <v>45830400</v>
      </c>
      <c r="M691" s="976"/>
      <c r="N691" s="1013">
        <f t="shared" ref="N691:N707" si="44">IF($G691="",($F691-$L691),($G691-$L691))</f>
        <v>0</v>
      </c>
      <c r="O691" s="976"/>
      <c r="P691" s="977"/>
      <c r="Q691" s="974"/>
      <c r="R691" s="1147"/>
      <c r="S691" s="974"/>
      <c r="T691" s="976" t="s">
        <v>1600</v>
      </c>
      <c r="V691" s="687" t="s">
        <v>1411</v>
      </c>
      <c r="W691" s="687">
        <v>840000</v>
      </c>
      <c r="X691" s="686"/>
      <c r="Y691" s="686"/>
    </row>
    <row r="692" spans="1:25" x14ac:dyDescent="0.25">
      <c r="B692" s="1187" t="s">
        <v>1597</v>
      </c>
      <c r="C692" s="1015">
        <v>1024</v>
      </c>
      <c r="D692" s="976" t="s">
        <v>1601</v>
      </c>
      <c r="E692" s="976" t="s">
        <v>1602</v>
      </c>
      <c r="F692" s="973">
        <v>3000000</v>
      </c>
      <c r="G692" s="974">
        <v>1927000</v>
      </c>
      <c r="H692" s="974">
        <v>3000000</v>
      </c>
      <c r="I692" s="974"/>
      <c r="J692" s="975"/>
      <c r="K692" s="974"/>
      <c r="L692" s="974">
        <f t="shared" si="43"/>
        <v>3000000</v>
      </c>
      <c r="M692" s="976"/>
      <c r="N692" s="1013">
        <f t="shared" si="44"/>
        <v>-1073000</v>
      </c>
      <c r="O692" s="976"/>
      <c r="P692" s="977"/>
      <c r="Q692" s="974"/>
      <c r="R692" s="1147"/>
      <c r="S692" s="974"/>
      <c r="T692" s="976"/>
      <c r="V692" s="687" t="s">
        <v>1412</v>
      </c>
      <c r="W692" s="687">
        <v>1120000</v>
      </c>
      <c r="X692" s="686"/>
      <c r="Y692" s="686"/>
    </row>
    <row r="693" spans="1:25" x14ac:dyDescent="0.25">
      <c r="B693" s="1187" t="s">
        <v>1597</v>
      </c>
      <c r="C693" s="1015">
        <v>1024</v>
      </c>
      <c r="D693" s="976" t="s">
        <v>1603</v>
      </c>
      <c r="E693" s="976" t="s">
        <v>662</v>
      </c>
      <c r="F693" s="973">
        <v>5100000</v>
      </c>
      <c r="G693" s="974"/>
      <c r="H693" s="974">
        <v>5100000</v>
      </c>
      <c r="I693" s="974"/>
      <c r="J693" s="975"/>
      <c r="K693" s="974"/>
      <c r="L693" s="974">
        <f t="shared" si="43"/>
        <v>5100000</v>
      </c>
      <c r="M693" s="976"/>
      <c r="N693" s="1013">
        <f t="shared" si="44"/>
        <v>0</v>
      </c>
      <c r="O693" s="976"/>
      <c r="P693" s="977"/>
      <c r="Q693" s="974"/>
      <c r="R693" s="1147"/>
      <c r="S693" s="974"/>
      <c r="T693" s="976"/>
      <c r="V693" s="687" t="s">
        <v>1415</v>
      </c>
      <c r="W693" s="687">
        <v>440000</v>
      </c>
      <c r="X693" s="686"/>
      <c r="Y693" s="686"/>
    </row>
    <row r="694" spans="1:25" x14ac:dyDescent="0.25">
      <c r="B694" s="1113" t="s">
        <v>1597</v>
      </c>
      <c r="C694" s="1015">
        <v>1024</v>
      </c>
      <c r="D694" s="983" t="s">
        <v>981</v>
      </c>
      <c r="E694" s="976" t="s">
        <v>1336</v>
      </c>
      <c r="F694" s="973">
        <v>1500000</v>
      </c>
      <c r="G694" s="974"/>
      <c r="H694" s="974">
        <v>1500000</v>
      </c>
      <c r="I694" s="974"/>
      <c r="J694" s="975"/>
      <c r="K694" s="974"/>
      <c r="L694" s="1003">
        <f t="shared" si="43"/>
        <v>1500000</v>
      </c>
      <c r="M694" s="976"/>
      <c r="N694" s="1013">
        <f t="shared" si="44"/>
        <v>0</v>
      </c>
      <c r="O694" s="976"/>
      <c r="P694" s="977"/>
      <c r="Q694" s="974"/>
      <c r="R694" s="1147"/>
      <c r="S694" s="974"/>
      <c r="T694" s="976"/>
      <c r="V694" s="687" t="s">
        <v>1421</v>
      </c>
      <c r="W694" s="687">
        <v>280000</v>
      </c>
      <c r="X694" s="686"/>
      <c r="Y694" s="686"/>
    </row>
    <row r="695" spans="1:25" x14ac:dyDescent="0.25">
      <c r="B695" s="1113" t="s">
        <v>1597</v>
      </c>
      <c r="C695" s="1015">
        <v>1024</v>
      </c>
      <c r="D695" s="976" t="s">
        <v>1601</v>
      </c>
      <c r="E695" s="976" t="s">
        <v>1602</v>
      </c>
      <c r="F695" s="973">
        <v>3000000</v>
      </c>
      <c r="G695" s="974"/>
      <c r="H695" s="974">
        <v>3000000</v>
      </c>
      <c r="I695" s="974"/>
      <c r="J695" s="975"/>
      <c r="K695" s="974"/>
      <c r="L695" s="1003">
        <f t="shared" si="43"/>
        <v>3000000</v>
      </c>
      <c r="M695" s="976"/>
      <c r="N695" s="1013">
        <f t="shared" si="44"/>
        <v>0</v>
      </c>
      <c r="O695" s="976"/>
      <c r="P695" s="977"/>
      <c r="Q695" s="974"/>
      <c r="R695" s="1147"/>
      <c r="S695" s="974"/>
      <c r="T695" s="976"/>
      <c r="V695" s="1000"/>
      <c r="W695" s="1000"/>
      <c r="X695" s="686"/>
      <c r="Y695" s="686"/>
    </row>
    <row r="696" spans="1:25" x14ac:dyDescent="0.25">
      <c r="B696" s="1113" t="s">
        <v>1597</v>
      </c>
      <c r="C696" s="1015">
        <v>1024</v>
      </c>
      <c r="D696" s="983" t="s">
        <v>1456</v>
      </c>
      <c r="E696" s="976" t="s">
        <v>1118</v>
      </c>
      <c r="F696" s="973">
        <v>704027500</v>
      </c>
      <c r="G696" s="974"/>
      <c r="H696" s="974">
        <v>211208250</v>
      </c>
      <c r="I696" s="974"/>
      <c r="J696" s="975"/>
      <c r="K696" s="974"/>
      <c r="L696" s="1003">
        <f t="shared" si="43"/>
        <v>211208250</v>
      </c>
      <c r="M696" s="976"/>
      <c r="N696" s="1013">
        <f t="shared" si="44"/>
        <v>492819250</v>
      </c>
      <c r="O696" s="976"/>
      <c r="P696" s="977"/>
      <c r="Q696" s="974"/>
      <c r="R696" s="1147"/>
      <c r="S696" s="974"/>
      <c r="T696" s="976"/>
      <c r="V696" s="1000"/>
      <c r="W696" s="1000"/>
      <c r="X696" s="686"/>
      <c r="Y696" s="686"/>
    </row>
    <row r="697" spans="1:25" x14ac:dyDescent="0.25">
      <c r="B697" s="1113" t="s">
        <v>1597</v>
      </c>
      <c r="C697" s="1015">
        <v>1024</v>
      </c>
      <c r="D697" s="983" t="s">
        <v>1416</v>
      </c>
      <c r="E697" s="976" t="s">
        <v>1110</v>
      </c>
      <c r="F697" s="973">
        <v>158133360</v>
      </c>
      <c r="G697" s="974"/>
      <c r="H697" s="974">
        <v>47440008</v>
      </c>
      <c r="I697" s="974"/>
      <c r="J697" s="975"/>
      <c r="K697" s="974"/>
      <c r="L697" s="1003">
        <f t="shared" si="43"/>
        <v>47440008</v>
      </c>
      <c r="M697" s="976"/>
      <c r="N697" s="1013">
        <f t="shared" si="44"/>
        <v>110693352</v>
      </c>
      <c r="O697" s="976"/>
      <c r="P697" s="977"/>
      <c r="Q697" s="974"/>
      <c r="R697" s="1147"/>
      <c r="S697" s="974"/>
      <c r="T697" s="985" t="s">
        <v>1323</v>
      </c>
      <c r="V697" s="1000"/>
      <c r="W697" s="1000"/>
      <c r="X697" s="686"/>
      <c r="Y697" s="686"/>
    </row>
    <row r="698" spans="1:25" x14ac:dyDescent="0.25">
      <c r="B698" s="1113" t="s">
        <v>1597</v>
      </c>
      <c r="C698" s="1015">
        <v>1024</v>
      </c>
      <c r="D698" s="983" t="s">
        <v>1433</v>
      </c>
      <c r="E698" s="976" t="s">
        <v>887</v>
      </c>
      <c r="F698" s="973">
        <v>65675000</v>
      </c>
      <c r="G698" s="974"/>
      <c r="H698" s="974">
        <v>19702500</v>
      </c>
      <c r="I698" s="974">
        <v>19183000</v>
      </c>
      <c r="J698" s="975"/>
      <c r="K698" s="974"/>
      <c r="L698" s="1003">
        <f t="shared" si="43"/>
        <v>38885500</v>
      </c>
      <c r="M698" s="976"/>
      <c r="N698" s="1013">
        <f t="shared" si="44"/>
        <v>26789500</v>
      </c>
      <c r="O698" s="976"/>
      <c r="P698" s="977"/>
      <c r="Q698" s="974"/>
      <c r="R698" s="1147"/>
      <c r="S698" s="974"/>
      <c r="T698" s="976"/>
      <c r="V698" s="1000"/>
      <c r="W698" s="1000"/>
      <c r="X698" s="686"/>
      <c r="Y698" s="686"/>
    </row>
    <row r="699" spans="1:25" x14ac:dyDescent="0.25">
      <c r="B699" s="1113" t="s">
        <v>1597</v>
      </c>
      <c r="C699" s="1015">
        <v>1024</v>
      </c>
      <c r="D699" s="983" t="s">
        <v>1604</v>
      </c>
      <c r="E699" s="976" t="s">
        <v>1605</v>
      </c>
      <c r="F699" s="973">
        <v>197920000</v>
      </c>
      <c r="G699" s="974"/>
      <c r="H699" s="974">
        <v>59376000</v>
      </c>
      <c r="I699" s="974"/>
      <c r="J699" s="975"/>
      <c r="K699" s="974"/>
      <c r="L699" s="1003">
        <f t="shared" si="43"/>
        <v>59376000</v>
      </c>
      <c r="M699" s="976"/>
      <c r="N699" s="1013">
        <f t="shared" si="44"/>
        <v>138544000</v>
      </c>
      <c r="O699" s="976"/>
      <c r="P699" s="977"/>
      <c r="Q699" s="974"/>
      <c r="R699" s="1147"/>
      <c r="S699" s="974"/>
      <c r="T699" s="976"/>
      <c r="V699" s="1000"/>
      <c r="W699" s="1000"/>
      <c r="X699" s="686"/>
      <c r="Y699" s="686"/>
    </row>
    <row r="700" spans="1:25" x14ac:dyDescent="0.25">
      <c r="B700" s="1113" t="s">
        <v>1597</v>
      </c>
      <c r="C700" s="1015">
        <v>1024</v>
      </c>
      <c r="D700" s="983" t="s">
        <v>657</v>
      </c>
      <c r="E700" s="976" t="s">
        <v>1606</v>
      </c>
      <c r="F700" s="973">
        <v>60000000</v>
      </c>
      <c r="G700" s="974"/>
      <c r="H700" s="974">
        <v>60000000</v>
      </c>
      <c r="I700" s="974"/>
      <c r="J700" s="975"/>
      <c r="K700" s="974"/>
      <c r="L700" s="1003">
        <f t="shared" si="43"/>
        <v>60000000</v>
      </c>
      <c r="M700" s="976"/>
      <c r="N700" s="1013">
        <f t="shared" si="44"/>
        <v>0</v>
      </c>
      <c r="O700" s="976"/>
      <c r="P700" s="977"/>
      <c r="Q700" s="974"/>
      <c r="R700" s="1147"/>
      <c r="S700" s="974"/>
      <c r="T700" s="976"/>
      <c r="V700" s="1000"/>
      <c r="W700" s="1000"/>
      <c r="X700" s="686"/>
      <c r="Y700" s="686"/>
    </row>
    <row r="701" spans="1:25" x14ac:dyDescent="0.25">
      <c r="B701" s="1113" t="s">
        <v>1597</v>
      </c>
      <c r="C701" s="1015">
        <v>1024</v>
      </c>
      <c r="D701" s="983" t="s">
        <v>1345</v>
      </c>
      <c r="E701" s="976" t="s">
        <v>1607</v>
      </c>
      <c r="F701" s="973">
        <v>188118000</v>
      </c>
      <c r="G701" s="974"/>
      <c r="H701" s="974">
        <v>50000000</v>
      </c>
      <c r="I701" s="974"/>
      <c r="J701" s="975"/>
      <c r="K701" s="974"/>
      <c r="L701" s="1003">
        <f t="shared" si="43"/>
        <v>50000000</v>
      </c>
      <c r="M701" s="976"/>
      <c r="N701" s="1013">
        <f t="shared" si="44"/>
        <v>138118000</v>
      </c>
      <c r="O701" s="976"/>
      <c r="P701" s="977"/>
      <c r="Q701" s="974"/>
      <c r="R701" s="1147"/>
      <c r="S701" s="974"/>
      <c r="T701" s="976"/>
      <c r="V701" s="1000"/>
      <c r="W701" s="1000"/>
      <c r="X701" s="686"/>
      <c r="Y701" s="686"/>
    </row>
    <row r="702" spans="1:25" x14ac:dyDescent="0.25">
      <c r="B702" s="1113" t="s">
        <v>1597</v>
      </c>
      <c r="C702" s="1015">
        <v>1024</v>
      </c>
      <c r="D702" s="985" t="s">
        <v>1269</v>
      </c>
      <c r="E702" s="985" t="s">
        <v>1568</v>
      </c>
      <c r="F702" s="973">
        <v>10000000</v>
      </c>
      <c r="G702" s="974"/>
      <c r="H702" s="974">
        <v>10000000</v>
      </c>
      <c r="I702" s="974"/>
      <c r="J702" s="975"/>
      <c r="K702" s="974"/>
      <c r="L702" s="1003">
        <f t="shared" si="43"/>
        <v>10000000</v>
      </c>
      <c r="M702" s="976"/>
      <c r="N702" s="1013">
        <f t="shared" si="44"/>
        <v>0</v>
      </c>
      <c r="O702" s="976"/>
      <c r="P702" s="977"/>
      <c r="Q702" s="974"/>
      <c r="R702" s="1147"/>
      <c r="S702" s="974"/>
      <c r="T702" s="976"/>
      <c r="V702" s="1000"/>
      <c r="W702" s="1000"/>
      <c r="X702" s="686"/>
      <c r="Y702" s="686"/>
    </row>
    <row r="703" spans="1:25" x14ac:dyDescent="0.25">
      <c r="B703" s="1113" t="s">
        <v>1597</v>
      </c>
      <c r="C703" s="1015">
        <v>1024</v>
      </c>
      <c r="D703" s="985" t="s">
        <v>1608</v>
      </c>
      <c r="E703" s="985" t="s">
        <v>1609</v>
      </c>
      <c r="F703" s="973">
        <v>236900000</v>
      </c>
      <c r="G703" s="974"/>
      <c r="H703" s="974">
        <v>118450000</v>
      </c>
      <c r="I703" s="974"/>
      <c r="J703" s="975"/>
      <c r="K703" s="974"/>
      <c r="L703" s="1003">
        <f t="shared" si="43"/>
        <v>118450000</v>
      </c>
      <c r="M703" s="976"/>
      <c r="N703" s="1013">
        <f t="shared" si="44"/>
        <v>118450000</v>
      </c>
      <c r="O703" s="976"/>
      <c r="P703" s="977"/>
      <c r="Q703" s="974"/>
      <c r="R703" s="1147"/>
      <c r="S703" s="974"/>
      <c r="T703" s="976" t="s">
        <v>1323</v>
      </c>
      <c r="V703" s="1000"/>
      <c r="W703" s="1000"/>
      <c r="X703" s="686"/>
      <c r="Y703" s="686"/>
    </row>
    <row r="704" spans="1:25" x14ac:dyDescent="0.25">
      <c r="B704" s="1113" t="s">
        <v>1597</v>
      </c>
      <c r="C704" s="1015">
        <v>1024</v>
      </c>
      <c r="D704" s="985" t="s">
        <v>1610</v>
      </c>
      <c r="E704" s="985" t="s">
        <v>1611</v>
      </c>
      <c r="F704" s="973">
        <v>41227120</v>
      </c>
      <c r="G704" s="974"/>
      <c r="H704" s="974">
        <v>28858984</v>
      </c>
      <c r="I704" s="974"/>
      <c r="J704" s="975"/>
      <c r="K704" s="974"/>
      <c r="L704" s="1003">
        <f t="shared" si="43"/>
        <v>28858984</v>
      </c>
      <c r="M704" s="976"/>
      <c r="N704" s="1013">
        <f t="shared" si="44"/>
        <v>12368136</v>
      </c>
      <c r="O704" s="976"/>
      <c r="P704" s="977"/>
      <c r="Q704" s="974"/>
      <c r="R704" s="1147"/>
      <c r="S704" s="974"/>
      <c r="T704" s="976" t="s">
        <v>1323</v>
      </c>
      <c r="V704" s="1000"/>
      <c r="W704" s="1000"/>
      <c r="X704" s="686"/>
      <c r="Y704" s="686"/>
    </row>
    <row r="705" spans="1:25" x14ac:dyDescent="0.25">
      <c r="B705" s="1113" t="s">
        <v>1597</v>
      </c>
      <c r="C705" s="1015">
        <v>1024</v>
      </c>
      <c r="D705" s="985" t="s">
        <v>1612</v>
      </c>
      <c r="E705" s="985" t="s">
        <v>1432</v>
      </c>
      <c r="F705" s="973">
        <v>270133622</v>
      </c>
      <c r="G705" s="974"/>
      <c r="H705" s="974">
        <v>108053448</v>
      </c>
      <c r="I705" s="974"/>
      <c r="J705" s="975"/>
      <c r="K705" s="974"/>
      <c r="L705" s="1003">
        <f t="shared" si="43"/>
        <v>108053448</v>
      </c>
      <c r="M705" s="976"/>
      <c r="N705" s="1013">
        <f t="shared" si="44"/>
        <v>162080174</v>
      </c>
      <c r="O705" s="976"/>
      <c r="P705" s="977"/>
      <c r="Q705" s="974"/>
      <c r="R705" s="1147"/>
      <c r="S705" s="974" t="s">
        <v>1417</v>
      </c>
      <c r="T705" s="976" t="s">
        <v>1323</v>
      </c>
      <c r="V705" s="1000"/>
      <c r="W705" s="1000"/>
      <c r="X705" s="686"/>
      <c r="Y705" s="686"/>
    </row>
    <row r="706" spans="1:25" x14ac:dyDescent="0.25">
      <c r="B706" s="1113" t="s">
        <v>1597</v>
      </c>
      <c r="C706" s="1015">
        <v>1024</v>
      </c>
      <c r="D706" s="985" t="s">
        <v>1447</v>
      </c>
      <c r="E706" s="985" t="s">
        <v>1266</v>
      </c>
      <c r="F706" s="973">
        <v>92820000</v>
      </c>
      <c r="G706" s="974"/>
      <c r="H706" s="974">
        <v>46410000</v>
      </c>
      <c r="I706" s="974"/>
      <c r="J706" s="975"/>
      <c r="K706" s="974"/>
      <c r="L706" s="1003">
        <f t="shared" si="43"/>
        <v>46410000</v>
      </c>
      <c r="M706" s="976"/>
      <c r="N706" s="1013">
        <f t="shared" si="44"/>
        <v>46410000</v>
      </c>
      <c r="O706" s="976"/>
      <c r="P706" s="977"/>
      <c r="Q706" s="974"/>
      <c r="R706" s="1147"/>
      <c r="S706" s="974"/>
      <c r="T706" s="976"/>
      <c r="V706" s="1000"/>
      <c r="W706" s="1000"/>
      <c r="X706" s="686"/>
      <c r="Y706" s="686"/>
    </row>
    <row r="707" spans="1:25" x14ac:dyDescent="0.25">
      <c r="B707" s="1113" t="s">
        <v>1597</v>
      </c>
      <c r="C707" s="1015">
        <v>1024</v>
      </c>
      <c r="D707" s="976" t="s">
        <v>947</v>
      </c>
      <c r="E707" s="976"/>
      <c r="F707" s="973">
        <f>W707</f>
        <v>2680000</v>
      </c>
      <c r="G707" s="974"/>
      <c r="H707" s="974">
        <v>840000</v>
      </c>
      <c r="I707" s="974">
        <v>1120000</v>
      </c>
      <c r="J707" s="975">
        <v>440000</v>
      </c>
      <c r="K707" s="974">
        <v>280000</v>
      </c>
      <c r="L707" s="1003">
        <f t="shared" si="43"/>
        <v>2680000</v>
      </c>
      <c r="M707" s="976"/>
      <c r="N707" s="1013">
        <f t="shared" si="44"/>
        <v>0</v>
      </c>
      <c r="O707" s="976"/>
      <c r="P707" s="977"/>
      <c r="Q707" s="974"/>
      <c r="R707" s="1147"/>
      <c r="S707" s="974"/>
      <c r="T707" s="976"/>
      <c r="V707" s="1000" t="s">
        <v>948</v>
      </c>
      <c r="W707" s="1000">
        <f>SUM(W691:W702)</f>
        <v>2680000</v>
      </c>
      <c r="X707" s="686"/>
      <c r="Y707" s="686"/>
    </row>
    <row r="708" spans="1:25" ht="15.75" x14ac:dyDescent="0.25">
      <c r="A708" s="723"/>
      <c r="B708" s="720" t="s">
        <v>997</v>
      </c>
      <c r="C708" s="720"/>
      <c r="D708" s="699" t="s">
        <v>1597</v>
      </c>
      <c r="E708" s="992"/>
      <c r="F708" s="993"/>
      <c r="G708" s="994"/>
      <c r="H708" s="994"/>
      <c r="I708" s="994"/>
      <c r="J708" s="995"/>
      <c r="K708" s="994"/>
      <c r="L708" s="735">
        <f>SUM(L691:L707)</f>
        <v>839792590</v>
      </c>
      <c r="M708" s="992"/>
      <c r="N708" s="1042">
        <f>SUM(N691:N707)</f>
        <v>1245199412</v>
      </c>
      <c r="O708" s="992"/>
      <c r="P708" s="998"/>
      <c r="Q708" s="994"/>
      <c r="R708" s="1153"/>
      <c r="S708" s="994"/>
      <c r="T708" s="992"/>
      <c r="X708" s="686"/>
      <c r="Y708" s="686"/>
    </row>
    <row r="709" spans="1:25" x14ac:dyDescent="0.25">
      <c r="A709" s="686">
        <v>32</v>
      </c>
      <c r="B709" s="1015" t="s">
        <v>1613</v>
      </c>
      <c r="C709" s="1015"/>
      <c r="D709" s="976" t="s">
        <v>1614</v>
      </c>
      <c r="E709" s="976" t="s">
        <v>1404</v>
      </c>
      <c r="F709" s="973">
        <v>64400000</v>
      </c>
      <c r="G709" s="974">
        <v>111226390</v>
      </c>
      <c r="H709" s="974">
        <v>30000000</v>
      </c>
      <c r="I709" s="974">
        <v>81226390</v>
      </c>
      <c r="J709" s="975"/>
      <c r="K709" s="974"/>
      <c r="L709" s="974">
        <f>SUM(H709:K709)</f>
        <v>111226390</v>
      </c>
      <c r="M709" s="976"/>
      <c r="N709" s="1013">
        <f t="shared" ref="N709:N750" si="45">IF($G709="",($F709-$L709),($G709-$L709))</f>
        <v>0</v>
      </c>
      <c r="O709" s="976"/>
      <c r="P709" s="977"/>
      <c r="Q709" s="974"/>
      <c r="R709" s="1147"/>
      <c r="S709" s="974"/>
      <c r="T709" s="976"/>
      <c r="X709" s="686"/>
      <c r="Y709" s="686"/>
    </row>
    <row r="710" spans="1:25" x14ac:dyDescent="0.25">
      <c r="B710" s="1015" t="s">
        <v>1613</v>
      </c>
      <c r="C710" s="1015"/>
      <c r="D710" s="976"/>
      <c r="E710" s="976"/>
      <c r="F710" s="973"/>
      <c r="G710" s="974"/>
      <c r="H710" s="974"/>
      <c r="I710" s="974"/>
      <c r="J710" s="975"/>
      <c r="K710" s="974"/>
      <c r="L710" s="974">
        <f>SUM(H710:K710)</f>
        <v>0</v>
      </c>
      <c r="M710" s="976"/>
      <c r="N710" s="1013">
        <f t="shared" si="45"/>
        <v>0</v>
      </c>
      <c r="O710" s="976"/>
      <c r="P710" s="977"/>
      <c r="Q710" s="974"/>
      <c r="R710" s="1147"/>
      <c r="S710" s="974"/>
      <c r="T710" s="976"/>
      <c r="X710" s="686"/>
      <c r="Y710" s="686"/>
    </row>
    <row r="711" spans="1:25" x14ac:dyDescent="0.25">
      <c r="B711" s="1015" t="s">
        <v>1613</v>
      </c>
      <c r="C711" s="1015"/>
      <c r="D711" s="976"/>
      <c r="E711" s="976"/>
      <c r="F711" s="973"/>
      <c r="G711" s="974"/>
      <c r="H711" s="974"/>
      <c r="I711" s="974"/>
      <c r="J711" s="975"/>
      <c r="K711" s="974"/>
      <c r="L711" s="974">
        <f>SUM(H711:K711)</f>
        <v>0</v>
      </c>
      <c r="M711" s="976"/>
      <c r="N711" s="1013">
        <f t="shared" si="45"/>
        <v>0</v>
      </c>
      <c r="O711" s="976"/>
      <c r="P711" s="977"/>
      <c r="Q711" s="974"/>
      <c r="R711" s="1147"/>
      <c r="S711" s="974"/>
      <c r="T711" s="976"/>
      <c r="V711" s="1000"/>
      <c r="W711" s="1000"/>
      <c r="X711" s="686"/>
      <c r="Y711" s="686"/>
    </row>
    <row r="712" spans="1:25" ht="15.75" x14ac:dyDescent="0.25">
      <c r="A712" s="723"/>
      <c r="B712" s="720" t="s">
        <v>997</v>
      </c>
      <c r="C712" s="720"/>
      <c r="D712" s="699" t="s">
        <v>1613</v>
      </c>
      <c r="E712" s="992"/>
      <c r="F712" s="993"/>
      <c r="G712" s="994"/>
      <c r="H712" s="994"/>
      <c r="I712" s="994"/>
      <c r="J712" s="995"/>
      <c r="K712" s="994"/>
      <c r="L712" s="735">
        <f>SUM(L709:L711)</f>
        <v>111226390</v>
      </c>
      <c r="M712" s="992"/>
      <c r="N712" s="1042">
        <f>SUM(N709:N711)</f>
        <v>0</v>
      </c>
      <c r="O712" s="992"/>
      <c r="P712" s="998"/>
      <c r="Q712" s="994"/>
      <c r="R712" s="1153"/>
      <c r="S712" s="994"/>
      <c r="T712" s="992"/>
      <c r="X712" s="686"/>
      <c r="Y712" s="686"/>
    </row>
    <row r="713" spans="1:25" x14ac:dyDescent="0.25">
      <c r="A713" s="686">
        <v>33</v>
      </c>
      <c r="B713" s="1187" t="s">
        <v>1615</v>
      </c>
      <c r="C713" s="1015">
        <v>1055</v>
      </c>
      <c r="D713" s="976" t="s">
        <v>1616</v>
      </c>
      <c r="E713" s="976" t="s">
        <v>1520</v>
      </c>
      <c r="F713" s="973">
        <v>544000</v>
      </c>
      <c r="G713" s="974"/>
      <c r="H713" s="974">
        <v>544000</v>
      </c>
      <c r="I713" s="974"/>
      <c r="J713" s="975"/>
      <c r="K713" s="974"/>
      <c r="L713" s="974">
        <f>SUM(H713:K713)</f>
        <v>544000</v>
      </c>
      <c r="M713" s="976"/>
      <c r="N713" s="1013">
        <f t="shared" si="45"/>
        <v>0</v>
      </c>
      <c r="O713" s="976"/>
      <c r="P713" s="977"/>
      <c r="Q713" s="974"/>
      <c r="R713" s="1147"/>
      <c r="S713" s="974"/>
      <c r="T713" s="976"/>
      <c r="V713" s="687" t="s">
        <v>1412</v>
      </c>
      <c r="W713" s="687">
        <v>280000</v>
      </c>
      <c r="X713" s="686"/>
      <c r="Y713" s="686"/>
    </row>
    <row r="714" spans="1:25" x14ac:dyDescent="0.25">
      <c r="B714" s="1187" t="s">
        <v>1615</v>
      </c>
      <c r="C714" s="1015">
        <v>1055</v>
      </c>
      <c r="D714" s="976" t="s">
        <v>1617</v>
      </c>
      <c r="E714" s="976" t="s">
        <v>1618</v>
      </c>
      <c r="F714" s="973">
        <v>5000000</v>
      </c>
      <c r="G714" s="974"/>
      <c r="H714" s="974">
        <v>5000000</v>
      </c>
      <c r="I714" s="974"/>
      <c r="J714" s="975"/>
      <c r="K714" s="974"/>
      <c r="L714" s="974">
        <f>SUM(H714:K714)</f>
        <v>5000000</v>
      </c>
      <c r="M714" s="976"/>
      <c r="N714" s="1013">
        <f t="shared" si="45"/>
        <v>0</v>
      </c>
      <c r="O714" s="976"/>
      <c r="P714" s="977"/>
      <c r="Q714" s="974"/>
      <c r="R714" s="1147"/>
      <c r="S714" s="974"/>
      <c r="T714" s="976"/>
      <c r="V714" s="687" t="s">
        <v>1415</v>
      </c>
      <c r="W714" s="687">
        <v>280000</v>
      </c>
      <c r="X714" s="686"/>
      <c r="Y714" s="686"/>
    </row>
    <row r="715" spans="1:25" x14ac:dyDescent="0.25">
      <c r="B715" s="1187" t="s">
        <v>1615</v>
      </c>
      <c r="C715" s="1015">
        <v>1055</v>
      </c>
      <c r="D715" s="976" t="s">
        <v>1104</v>
      </c>
      <c r="E715" s="976" t="s">
        <v>684</v>
      </c>
      <c r="F715" s="973">
        <v>330000</v>
      </c>
      <c r="G715" s="974"/>
      <c r="H715" s="974">
        <v>330000</v>
      </c>
      <c r="I715" s="974"/>
      <c r="J715" s="975"/>
      <c r="K715" s="974"/>
      <c r="L715" s="974">
        <f>SUM(H715:K715)</f>
        <v>330000</v>
      </c>
      <c r="M715" s="976"/>
      <c r="N715" s="1013">
        <f t="shared" si="45"/>
        <v>0</v>
      </c>
      <c r="O715" s="976"/>
      <c r="P715" s="977"/>
      <c r="Q715" s="974"/>
      <c r="R715" s="1147"/>
      <c r="S715" s="974"/>
      <c r="T715" s="976"/>
      <c r="V715" s="687" t="s">
        <v>1418</v>
      </c>
      <c r="W715" s="687">
        <v>280000</v>
      </c>
      <c r="X715" s="686"/>
      <c r="Y715" s="686"/>
    </row>
    <row r="716" spans="1:25" x14ac:dyDescent="0.25">
      <c r="B716" s="1187" t="s">
        <v>1615</v>
      </c>
      <c r="C716" s="1015">
        <v>1055</v>
      </c>
      <c r="D716" s="983" t="s">
        <v>1619</v>
      </c>
      <c r="E716" s="976" t="s">
        <v>1620</v>
      </c>
      <c r="F716" s="973">
        <v>35000000</v>
      </c>
      <c r="G716" s="974"/>
      <c r="H716" s="974">
        <v>35000000</v>
      </c>
      <c r="I716" s="974"/>
      <c r="J716" s="975"/>
      <c r="K716" s="974"/>
      <c r="L716" s="974">
        <f t="shared" ref="L716:L729" si="46">SUM(H716:K716)</f>
        <v>35000000</v>
      </c>
      <c r="M716" s="976"/>
      <c r="N716" s="1013">
        <f t="shared" si="45"/>
        <v>0</v>
      </c>
      <c r="O716" s="976"/>
      <c r="P716" s="977"/>
      <c r="Q716" s="974"/>
      <c r="R716" s="1147"/>
      <c r="S716" s="974"/>
      <c r="T716" s="976"/>
      <c r="V716" s="687" t="s">
        <v>1421</v>
      </c>
      <c r="W716" s="687">
        <v>560000</v>
      </c>
      <c r="X716" s="686"/>
      <c r="Y716" s="686"/>
    </row>
    <row r="717" spans="1:25" x14ac:dyDescent="0.25">
      <c r="B717" s="1187" t="s">
        <v>1615</v>
      </c>
      <c r="C717" s="1015">
        <v>1055</v>
      </c>
      <c r="D717" s="983" t="s">
        <v>1621</v>
      </c>
      <c r="E717" s="976" t="s">
        <v>1622</v>
      </c>
      <c r="F717" s="973">
        <v>316730326</v>
      </c>
      <c r="G717" s="974">
        <v>300893810</v>
      </c>
      <c r="H717" s="974">
        <v>165491596</v>
      </c>
      <c r="I717" s="974"/>
      <c r="J717" s="975"/>
      <c r="K717" s="974"/>
      <c r="L717" s="974">
        <f t="shared" si="46"/>
        <v>165491596</v>
      </c>
      <c r="M717" s="976"/>
      <c r="N717" s="1013">
        <f t="shared" si="45"/>
        <v>135402214</v>
      </c>
      <c r="O717" s="976"/>
      <c r="P717" s="977"/>
      <c r="Q717" s="974"/>
      <c r="R717" s="1147"/>
      <c r="S717" s="974" t="s">
        <v>1417</v>
      </c>
      <c r="T717" s="976"/>
      <c r="V717" s="1000"/>
      <c r="W717" s="1000"/>
      <c r="X717" s="686"/>
      <c r="Y717" s="686"/>
    </row>
    <row r="718" spans="1:25" x14ac:dyDescent="0.25">
      <c r="B718" s="1187" t="s">
        <v>1615</v>
      </c>
      <c r="C718" s="1015">
        <v>1055</v>
      </c>
      <c r="D718" s="983" t="s">
        <v>1623</v>
      </c>
      <c r="E718" s="976" t="s">
        <v>1624</v>
      </c>
      <c r="F718" s="973">
        <v>182070790</v>
      </c>
      <c r="G718" s="974"/>
      <c r="H718" s="974">
        <v>54621237</v>
      </c>
      <c r="I718" s="974">
        <v>72828316</v>
      </c>
      <c r="J718" s="975"/>
      <c r="K718" s="974"/>
      <c r="L718" s="974">
        <f t="shared" si="46"/>
        <v>127449553</v>
      </c>
      <c r="M718" s="976"/>
      <c r="N718" s="1013">
        <f t="shared" si="45"/>
        <v>54621237</v>
      </c>
      <c r="O718" s="976"/>
      <c r="P718" s="977"/>
      <c r="Q718" s="974"/>
      <c r="R718" s="1147"/>
      <c r="S718" s="974" t="s">
        <v>1417</v>
      </c>
      <c r="T718" s="976" t="s">
        <v>1323</v>
      </c>
      <c r="V718" s="1000"/>
      <c r="W718" s="1000"/>
      <c r="X718" s="686"/>
      <c r="Y718" s="686"/>
    </row>
    <row r="719" spans="1:25" x14ac:dyDescent="0.25">
      <c r="B719" s="1187" t="s">
        <v>1615</v>
      </c>
      <c r="C719" s="1015">
        <v>1055</v>
      </c>
      <c r="D719" s="976" t="s">
        <v>1625</v>
      </c>
      <c r="E719" s="976" t="s">
        <v>1480</v>
      </c>
      <c r="F719" s="973">
        <v>1548000</v>
      </c>
      <c r="G719" s="974"/>
      <c r="H719" s="974">
        <v>1548000</v>
      </c>
      <c r="I719" s="974"/>
      <c r="J719" s="975"/>
      <c r="K719" s="974"/>
      <c r="L719" s="974">
        <f t="shared" si="46"/>
        <v>1548000</v>
      </c>
      <c r="M719" s="976"/>
      <c r="N719" s="1013">
        <f t="shared" si="45"/>
        <v>0</v>
      </c>
      <c r="O719" s="976"/>
      <c r="P719" s="977"/>
      <c r="Q719" s="974">
        <v>1548000</v>
      </c>
      <c r="R719" s="1147" t="s">
        <v>1626</v>
      </c>
      <c r="S719" s="974"/>
      <c r="T719" s="976" t="s">
        <v>1627</v>
      </c>
      <c r="V719" s="1000"/>
      <c r="W719" s="1000"/>
      <c r="X719" s="686"/>
      <c r="Y719" s="686"/>
    </row>
    <row r="720" spans="1:25" x14ac:dyDescent="0.25">
      <c r="B720" s="1187" t="s">
        <v>1615</v>
      </c>
      <c r="C720" s="1015">
        <v>1055</v>
      </c>
      <c r="D720" s="976" t="s">
        <v>1560</v>
      </c>
      <c r="E720" s="976" t="s">
        <v>1480</v>
      </c>
      <c r="F720" s="973">
        <v>14194231</v>
      </c>
      <c r="G720" s="974"/>
      <c r="H720" s="974">
        <v>14194231</v>
      </c>
      <c r="I720" s="974"/>
      <c r="J720" s="975"/>
      <c r="K720" s="974"/>
      <c r="L720" s="974">
        <f t="shared" si="46"/>
        <v>14194231</v>
      </c>
      <c r="M720" s="976"/>
      <c r="N720" s="1013">
        <f t="shared" si="45"/>
        <v>0</v>
      </c>
      <c r="O720" s="976"/>
      <c r="P720" s="977"/>
      <c r="Q720" s="974">
        <v>14194231</v>
      </c>
      <c r="R720" s="1147" t="s">
        <v>1628</v>
      </c>
      <c r="S720" s="974"/>
      <c r="T720" s="976" t="s">
        <v>1627</v>
      </c>
      <c r="V720" s="1000"/>
      <c r="W720" s="1000"/>
      <c r="X720" s="686"/>
      <c r="Y720" s="686"/>
    </row>
    <row r="721" spans="2:25" x14ac:dyDescent="0.25">
      <c r="B721" s="1187" t="s">
        <v>1615</v>
      </c>
      <c r="C721" s="1015">
        <v>1055</v>
      </c>
      <c r="D721" s="983" t="s">
        <v>1416</v>
      </c>
      <c r="E721" s="976" t="s">
        <v>1629</v>
      </c>
      <c r="F721" s="973">
        <v>66770000</v>
      </c>
      <c r="G721" s="974">
        <v>66104500</v>
      </c>
      <c r="H721" s="974">
        <v>33385000</v>
      </c>
      <c r="I721" s="974"/>
      <c r="J721" s="975"/>
      <c r="K721" s="974"/>
      <c r="L721" s="974">
        <f t="shared" si="46"/>
        <v>33385000</v>
      </c>
      <c r="M721" s="976"/>
      <c r="N721" s="1013">
        <f t="shared" si="45"/>
        <v>32719500</v>
      </c>
      <c r="O721" s="976"/>
      <c r="P721" s="977"/>
      <c r="Q721" s="974"/>
      <c r="R721" s="1147" t="s">
        <v>1630</v>
      </c>
      <c r="S721" s="974" t="s">
        <v>1417</v>
      </c>
      <c r="T721" s="976" t="s">
        <v>1631</v>
      </c>
      <c r="V721" s="1000"/>
      <c r="W721" s="1000"/>
      <c r="X721" s="686"/>
      <c r="Y721" s="686"/>
    </row>
    <row r="722" spans="2:25" x14ac:dyDescent="0.25">
      <c r="B722" s="1187" t="s">
        <v>1615</v>
      </c>
      <c r="C722" s="1015">
        <v>1055</v>
      </c>
      <c r="D722" s="983" t="s">
        <v>1632</v>
      </c>
      <c r="E722" s="976" t="s">
        <v>1629</v>
      </c>
      <c r="F722" s="973">
        <v>68200000</v>
      </c>
      <c r="G722" s="974">
        <v>68200000</v>
      </c>
      <c r="H722" s="974">
        <v>34100000</v>
      </c>
      <c r="I722" s="974"/>
      <c r="J722" s="975"/>
      <c r="K722" s="974"/>
      <c r="L722" s="974">
        <f t="shared" si="46"/>
        <v>34100000</v>
      </c>
      <c r="M722" s="976"/>
      <c r="N722" s="1013">
        <f t="shared" si="45"/>
        <v>34100000</v>
      </c>
      <c r="O722" s="976"/>
      <c r="P722" s="977"/>
      <c r="Q722" s="974"/>
      <c r="R722" s="1147" t="s">
        <v>1630</v>
      </c>
      <c r="S722" s="974" t="s">
        <v>1633</v>
      </c>
      <c r="T722" s="976" t="s">
        <v>1631</v>
      </c>
      <c r="V722" s="1000"/>
      <c r="W722" s="1000"/>
      <c r="X722" s="686"/>
      <c r="Y722" s="686"/>
    </row>
    <row r="723" spans="2:25" x14ac:dyDescent="0.25">
      <c r="B723" s="1187" t="s">
        <v>1615</v>
      </c>
      <c r="C723" s="1015">
        <v>1055</v>
      </c>
      <c r="D723" s="983" t="s">
        <v>1634</v>
      </c>
      <c r="E723" s="976" t="s">
        <v>1635</v>
      </c>
      <c r="F723" s="973">
        <v>347275566</v>
      </c>
      <c r="G723" s="974"/>
      <c r="H723" s="974">
        <v>104182670</v>
      </c>
      <c r="I723" s="974"/>
      <c r="J723" s="975"/>
      <c r="K723" s="974"/>
      <c r="L723" s="974">
        <f t="shared" si="46"/>
        <v>104182670</v>
      </c>
      <c r="M723" s="976"/>
      <c r="N723" s="1013">
        <f t="shared" si="45"/>
        <v>243092896</v>
      </c>
      <c r="O723" s="976"/>
      <c r="P723" s="977"/>
      <c r="Q723" s="974"/>
      <c r="R723" s="1147"/>
      <c r="S723" s="974" t="s">
        <v>1417</v>
      </c>
      <c r="T723" s="976" t="s">
        <v>1323</v>
      </c>
      <c r="V723" s="1000"/>
      <c r="W723" s="1000"/>
      <c r="X723" s="686"/>
      <c r="Y723" s="686"/>
    </row>
    <row r="724" spans="2:25" x14ac:dyDescent="0.25">
      <c r="B724" s="1187" t="s">
        <v>1615</v>
      </c>
      <c r="C724" s="1015">
        <v>1055</v>
      </c>
      <c r="D724" s="983" t="s">
        <v>1636</v>
      </c>
      <c r="E724" s="976" t="s">
        <v>1477</v>
      </c>
      <c r="F724" s="973">
        <v>2900000</v>
      </c>
      <c r="G724" s="974"/>
      <c r="H724" s="974">
        <v>1450000</v>
      </c>
      <c r="I724" s="974">
        <v>1450000</v>
      </c>
      <c r="J724" s="975"/>
      <c r="K724" s="974"/>
      <c r="L724" s="974">
        <f t="shared" si="46"/>
        <v>2900000</v>
      </c>
      <c r="M724" s="976"/>
      <c r="N724" s="1013">
        <f t="shared" si="45"/>
        <v>0</v>
      </c>
      <c r="O724" s="976"/>
      <c r="P724" s="977"/>
      <c r="Q724" s="974"/>
      <c r="R724" s="1147"/>
      <c r="S724" s="974"/>
      <c r="T724" s="976"/>
      <c r="V724" s="1000"/>
      <c r="W724" s="1000"/>
      <c r="X724" s="686"/>
      <c r="Y724" s="686"/>
    </row>
    <row r="725" spans="2:25" x14ac:dyDescent="0.25">
      <c r="B725" s="1187" t="s">
        <v>1615</v>
      </c>
      <c r="C725" s="1015">
        <v>1055</v>
      </c>
      <c r="D725" s="983" t="s">
        <v>1637</v>
      </c>
      <c r="E725" s="976" t="s">
        <v>1432</v>
      </c>
      <c r="F725" s="973">
        <v>199702089</v>
      </c>
      <c r="G725" s="974">
        <v>179371889</v>
      </c>
      <c r="H725" s="974">
        <v>79880836</v>
      </c>
      <c r="I725" s="974">
        <v>79880836</v>
      </c>
      <c r="J725" s="975"/>
      <c r="K725" s="974"/>
      <c r="L725" s="974">
        <f t="shared" si="46"/>
        <v>159761672</v>
      </c>
      <c r="M725" s="976"/>
      <c r="N725" s="1013">
        <f t="shared" si="45"/>
        <v>19610217</v>
      </c>
      <c r="O725" s="976"/>
      <c r="P725" s="977"/>
      <c r="Q725" s="974"/>
      <c r="R725" s="1147"/>
      <c r="S725" s="974" t="s">
        <v>1417</v>
      </c>
      <c r="T725" s="976" t="s">
        <v>1323</v>
      </c>
      <c r="V725" s="1000"/>
      <c r="W725" s="1000"/>
      <c r="X725" s="686"/>
      <c r="Y725" s="686"/>
    </row>
    <row r="726" spans="2:25" x14ac:dyDescent="0.25">
      <c r="B726" s="1187" t="s">
        <v>1615</v>
      </c>
      <c r="C726" s="1015">
        <v>1055</v>
      </c>
      <c r="D726" s="983" t="s">
        <v>1638</v>
      </c>
      <c r="E726" s="976" t="s">
        <v>1639</v>
      </c>
      <c r="F726" s="973">
        <v>39281000</v>
      </c>
      <c r="G726" s="974"/>
      <c r="H726" s="974">
        <v>10713000</v>
      </c>
      <c r="I726" s="974"/>
      <c r="J726" s="975"/>
      <c r="K726" s="974"/>
      <c r="L726" s="974">
        <f t="shared" si="46"/>
        <v>10713000</v>
      </c>
      <c r="M726" s="976"/>
      <c r="N726" s="1013">
        <f t="shared" si="45"/>
        <v>28568000</v>
      </c>
      <c r="O726" s="976"/>
      <c r="P726" s="977"/>
      <c r="Q726" s="974"/>
      <c r="R726" s="1147"/>
      <c r="S726" s="974"/>
      <c r="T726" s="976" t="s">
        <v>1323</v>
      </c>
      <c r="V726" s="1000"/>
      <c r="W726" s="1000"/>
      <c r="X726" s="686"/>
      <c r="Y726" s="686"/>
    </row>
    <row r="727" spans="2:25" x14ac:dyDescent="0.25">
      <c r="B727" s="1187" t="s">
        <v>1615</v>
      </c>
      <c r="C727" s="1015">
        <v>1055</v>
      </c>
      <c r="D727" s="983" t="s">
        <v>1640</v>
      </c>
      <c r="E727" s="976" t="s">
        <v>1611</v>
      </c>
      <c r="F727" s="973">
        <v>76612800</v>
      </c>
      <c r="G727" s="974"/>
      <c r="H727" s="974">
        <v>22983840</v>
      </c>
      <c r="I727" s="974">
        <v>30645120</v>
      </c>
      <c r="J727" s="975"/>
      <c r="K727" s="974"/>
      <c r="L727" s="974">
        <f t="shared" si="46"/>
        <v>53628960</v>
      </c>
      <c r="M727" s="976"/>
      <c r="N727" s="1013">
        <f t="shared" si="45"/>
        <v>22983840</v>
      </c>
      <c r="O727" s="976"/>
      <c r="P727" s="977"/>
      <c r="Q727" s="974"/>
      <c r="R727" s="1147"/>
      <c r="S727" s="974" t="s">
        <v>1633</v>
      </c>
      <c r="T727" s="976" t="s">
        <v>1323</v>
      </c>
      <c r="V727" s="1000"/>
      <c r="W727" s="1000"/>
      <c r="X727" s="686"/>
      <c r="Y727" s="686"/>
    </row>
    <row r="728" spans="2:25" x14ac:dyDescent="0.25">
      <c r="B728" s="1187" t="s">
        <v>1615</v>
      </c>
      <c r="C728" s="1015">
        <v>1055</v>
      </c>
      <c r="D728" s="983" t="s">
        <v>1426</v>
      </c>
      <c r="E728" s="976" t="s">
        <v>1609</v>
      </c>
      <c r="F728" s="973">
        <v>79090000</v>
      </c>
      <c r="G728" s="974"/>
      <c r="H728" s="974">
        <v>79090000</v>
      </c>
      <c r="I728" s="974"/>
      <c r="J728" s="975"/>
      <c r="K728" s="974"/>
      <c r="L728" s="974">
        <f t="shared" si="46"/>
        <v>79090000</v>
      </c>
      <c r="M728" s="976"/>
      <c r="N728" s="1013">
        <f t="shared" si="45"/>
        <v>0</v>
      </c>
      <c r="O728" s="976"/>
      <c r="P728" s="977"/>
      <c r="Q728" s="974"/>
      <c r="R728" s="1147"/>
      <c r="S728" s="974"/>
      <c r="T728" s="976"/>
      <c r="V728" s="1000"/>
      <c r="W728" s="1000"/>
      <c r="X728" s="686"/>
      <c r="Y728" s="686"/>
    </row>
    <row r="729" spans="2:25" x14ac:dyDescent="0.25">
      <c r="B729" s="1187" t="s">
        <v>1615</v>
      </c>
      <c r="C729" s="1015">
        <v>1055</v>
      </c>
      <c r="D729" s="983" t="s">
        <v>1360</v>
      </c>
      <c r="E729" s="976" t="s">
        <v>1609</v>
      </c>
      <c r="F729" s="973">
        <v>56210000</v>
      </c>
      <c r="G729" s="974"/>
      <c r="H729" s="974">
        <v>28105000</v>
      </c>
      <c r="I729" s="974"/>
      <c r="J729" s="975"/>
      <c r="K729" s="974"/>
      <c r="L729" s="974">
        <f t="shared" si="46"/>
        <v>28105000</v>
      </c>
      <c r="M729" s="976"/>
      <c r="N729" s="1013">
        <f t="shared" si="45"/>
        <v>28105000</v>
      </c>
      <c r="O729" s="976"/>
      <c r="P729" s="977"/>
      <c r="Q729" s="974"/>
      <c r="R729" s="1147"/>
      <c r="S729" s="974"/>
      <c r="T729" s="976"/>
      <c r="V729" s="1000"/>
      <c r="W729" s="1000"/>
      <c r="X729" s="686"/>
      <c r="Y729" s="686"/>
    </row>
    <row r="730" spans="2:25" x14ac:dyDescent="0.25">
      <c r="B730" s="1187" t="s">
        <v>1615</v>
      </c>
      <c r="C730" s="1015">
        <v>1055</v>
      </c>
      <c r="D730" s="983" t="s">
        <v>1641</v>
      </c>
      <c r="E730" s="976" t="s">
        <v>1264</v>
      </c>
      <c r="F730" s="973">
        <v>45510000</v>
      </c>
      <c r="G730" s="974"/>
      <c r="H730" s="974">
        <v>13653000</v>
      </c>
      <c r="I730" s="974"/>
      <c r="J730" s="975"/>
      <c r="K730" s="974"/>
      <c r="L730" s="974">
        <f t="shared" ref="L730:L750" si="47">SUM(H730:K730)</f>
        <v>13653000</v>
      </c>
      <c r="M730" s="976"/>
      <c r="N730" s="1013">
        <f t="shared" si="45"/>
        <v>31857000</v>
      </c>
      <c r="O730" s="976"/>
      <c r="P730" s="977"/>
      <c r="Q730" s="974"/>
      <c r="R730" s="1147"/>
      <c r="S730" s="974"/>
      <c r="T730" s="976"/>
      <c r="V730" s="1000"/>
      <c r="W730" s="1000"/>
      <c r="X730" s="686"/>
      <c r="Y730" s="686"/>
    </row>
    <row r="731" spans="2:25" x14ac:dyDescent="0.25">
      <c r="B731" s="1187" t="s">
        <v>1615</v>
      </c>
      <c r="C731" s="1015">
        <v>1055</v>
      </c>
      <c r="D731" s="983" t="s">
        <v>1642</v>
      </c>
      <c r="E731" s="976" t="s">
        <v>1620</v>
      </c>
      <c r="F731" s="973">
        <v>825000</v>
      </c>
      <c r="G731" s="974"/>
      <c r="H731" s="974">
        <v>825000</v>
      </c>
      <c r="I731" s="974"/>
      <c r="J731" s="975"/>
      <c r="K731" s="974"/>
      <c r="L731" s="974">
        <f t="shared" si="47"/>
        <v>825000</v>
      </c>
      <c r="M731" s="976"/>
      <c r="N731" s="1013">
        <f t="shared" si="45"/>
        <v>0</v>
      </c>
      <c r="O731" s="976"/>
      <c r="P731" s="977"/>
      <c r="Q731" s="974"/>
      <c r="R731" s="1147"/>
      <c r="S731" s="974"/>
      <c r="T731" s="976"/>
      <c r="V731" s="1000"/>
      <c r="W731" s="1000"/>
      <c r="X731" s="686"/>
      <c r="Y731" s="686"/>
    </row>
    <row r="732" spans="2:25" x14ac:dyDescent="0.25">
      <c r="B732" s="1187" t="s">
        <v>1615</v>
      </c>
      <c r="C732" s="1015">
        <v>1055</v>
      </c>
      <c r="D732" s="976" t="s">
        <v>1643</v>
      </c>
      <c r="E732" s="976" t="s">
        <v>1480</v>
      </c>
      <c r="F732" s="973">
        <v>387000</v>
      </c>
      <c r="G732" s="974"/>
      <c r="H732" s="974">
        <v>387000</v>
      </c>
      <c r="I732" s="974"/>
      <c r="J732" s="975"/>
      <c r="K732" s="974"/>
      <c r="L732" s="974">
        <f t="shared" ref="L732" si="48">SUM(H732:K732)</f>
        <v>387000</v>
      </c>
      <c r="M732" s="976"/>
      <c r="N732" s="1013">
        <f t="shared" si="45"/>
        <v>0</v>
      </c>
      <c r="O732" s="976"/>
      <c r="P732" s="977"/>
      <c r="Q732" s="974">
        <v>387000</v>
      </c>
      <c r="R732" s="1147" t="s">
        <v>1644</v>
      </c>
      <c r="S732" s="974"/>
      <c r="T732" s="976" t="s">
        <v>1645</v>
      </c>
      <c r="V732" s="1000"/>
      <c r="W732" s="1000"/>
      <c r="X732" s="686"/>
      <c r="Y732" s="686"/>
    </row>
    <row r="733" spans="2:25" x14ac:dyDescent="0.25">
      <c r="B733" s="1187" t="s">
        <v>1615</v>
      </c>
      <c r="C733" s="1015">
        <v>1055</v>
      </c>
      <c r="D733" s="976" t="s">
        <v>1646</v>
      </c>
      <c r="E733" s="976" t="s">
        <v>1480</v>
      </c>
      <c r="F733" s="973">
        <v>322500</v>
      </c>
      <c r="G733" s="974"/>
      <c r="H733" s="974">
        <v>322500</v>
      </c>
      <c r="I733" s="974"/>
      <c r="J733" s="975"/>
      <c r="K733" s="974"/>
      <c r="L733" s="974">
        <f t="shared" si="47"/>
        <v>322500</v>
      </c>
      <c r="M733" s="976"/>
      <c r="N733" s="1013">
        <f t="shared" si="45"/>
        <v>0</v>
      </c>
      <c r="O733" s="976"/>
      <c r="P733" s="977"/>
      <c r="Q733" s="974">
        <v>322500</v>
      </c>
      <c r="R733" s="1147" t="s">
        <v>1647</v>
      </c>
      <c r="S733" s="974"/>
      <c r="T733" s="976" t="s">
        <v>1645</v>
      </c>
      <c r="V733" s="1000"/>
      <c r="W733" s="1000"/>
      <c r="X733" s="686"/>
      <c r="Y733" s="686"/>
    </row>
    <row r="734" spans="2:25" x14ac:dyDescent="0.25">
      <c r="B734" s="1187" t="s">
        <v>1615</v>
      </c>
      <c r="C734" s="1015">
        <v>1055</v>
      </c>
      <c r="D734" s="983" t="s">
        <v>1268</v>
      </c>
      <c r="E734" s="976" t="s">
        <v>1118</v>
      </c>
      <c r="F734" s="973">
        <v>81059000</v>
      </c>
      <c r="G734" s="974"/>
      <c r="H734" s="974">
        <v>40529500</v>
      </c>
      <c r="I734" s="974"/>
      <c r="J734" s="975"/>
      <c r="K734" s="974"/>
      <c r="L734" s="974">
        <f t="shared" si="47"/>
        <v>40529500</v>
      </c>
      <c r="M734" s="976"/>
      <c r="N734" s="1013">
        <f t="shared" si="45"/>
        <v>40529500</v>
      </c>
      <c r="O734" s="976"/>
      <c r="P734" s="977"/>
      <c r="Q734" s="974"/>
      <c r="R734" s="1147"/>
      <c r="S734" s="974"/>
      <c r="T734" s="976"/>
      <c r="V734" s="1000"/>
      <c r="W734" s="1000"/>
      <c r="X734" s="686"/>
      <c r="Y734" s="686"/>
    </row>
    <row r="735" spans="2:25" x14ac:dyDescent="0.25">
      <c r="B735" s="1187" t="s">
        <v>1615</v>
      </c>
      <c r="C735" s="1015">
        <v>1055</v>
      </c>
      <c r="D735" s="983" t="s">
        <v>1648</v>
      </c>
      <c r="E735" s="976" t="s">
        <v>1649</v>
      </c>
      <c r="F735" s="973">
        <v>2168000</v>
      </c>
      <c r="G735" s="974"/>
      <c r="H735" s="974">
        <v>2168000</v>
      </c>
      <c r="I735" s="974"/>
      <c r="J735" s="975"/>
      <c r="K735" s="974"/>
      <c r="L735" s="974">
        <f t="shared" si="47"/>
        <v>2168000</v>
      </c>
      <c r="M735" s="976"/>
      <c r="N735" s="1013">
        <f t="shared" si="45"/>
        <v>0</v>
      </c>
      <c r="O735" s="976"/>
      <c r="P735" s="977"/>
      <c r="Q735" s="974"/>
      <c r="R735" s="1147"/>
      <c r="S735" s="974"/>
      <c r="T735" s="976"/>
      <c r="V735" s="1000"/>
      <c r="W735" s="1000"/>
      <c r="X735" s="686"/>
      <c r="Y735" s="686"/>
    </row>
    <row r="736" spans="2:25" x14ac:dyDescent="0.25">
      <c r="B736" s="1187" t="s">
        <v>1615</v>
      </c>
      <c r="C736" s="1015">
        <v>1055</v>
      </c>
      <c r="D736" s="983" t="s">
        <v>1650</v>
      </c>
      <c r="E736" s="976" t="s">
        <v>1651</v>
      </c>
      <c r="F736" s="973">
        <v>961620</v>
      </c>
      <c r="G736" s="974"/>
      <c r="H736" s="974">
        <v>961620</v>
      </c>
      <c r="I736" s="974"/>
      <c r="J736" s="975"/>
      <c r="K736" s="974"/>
      <c r="L736" s="974">
        <f t="shared" si="47"/>
        <v>961620</v>
      </c>
      <c r="M736" s="976"/>
      <c r="N736" s="1013">
        <f t="shared" si="45"/>
        <v>0</v>
      </c>
      <c r="O736" s="976"/>
      <c r="P736" s="977"/>
      <c r="Q736" s="974"/>
      <c r="R736" s="1147"/>
      <c r="S736" s="974"/>
      <c r="T736" s="976"/>
      <c r="V736" s="1000"/>
      <c r="W736" s="1000"/>
      <c r="X736" s="686"/>
      <c r="Y736" s="686"/>
    </row>
    <row r="737" spans="1:25" x14ac:dyDescent="0.25">
      <c r="B737" s="1187" t="s">
        <v>1615</v>
      </c>
      <c r="C737" s="1015">
        <v>1055</v>
      </c>
      <c r="D737" s="983" t="s">
        <v>1652</v>
      </c>
      <c r="E737" s="976" t="s">
        <v>1653</v>
      </c>
      <c r="F737" s="973">
        <v>12727000</v>
      </c>
      <c r="G737" s="974"/>
      <c r="H737" s="974">
        <v>6363500</v>
      </c>
      <c r="I737" s="974">
        <v>6363500</v>
      </c>
      <c r="J737" s="975"/>
      <c r="K737" s="974"/>
      <c r="L737" s="974">
        <f t="shared" si="47"/>
        <v>12727000</v>
      </c>
      <c r="M737" s="976"/>
      <c r="N737" s="1013">
        <f t="shared" si="45"/>
        <v>0</v>
      </c>
      <c r="O737" s="976"/>
      <c r="P737" s="977"/>
      <c r="Q737" s="974">
        <v>12727000</v>
      </c>
      <c r="R737" s="1147" t="s">
        <v>1654</v>
      </c>
      <c r="S737" s="974"/>
      <c r="T737" s="976" t="s">
        <v>1655</v>
      </c>
      <c r="V737" s="1000"/>
      <c r="W737" s="1000"/>
      <c r="X737" s="686"/>
      <c r="Y737" s="686"/>
    </row>
    <row r="738" spans="1:25" x14ac:dyDescent="0.25">
      <c r="B738" s="1187" t="s">
        <v>1615</v>
      </c>
      <c r="C738" s="1015">
        <v>1055</v>
      </c>
      <c r="D738" s="983" t="s">
        <v>1656</v>
      </c>
      <c r="E738" s="976" t="s">
        <v>1657</v>
      </c>
      <c r="F738" s="973">
        <v>60000</v>
      </c>
      <c r="G738" s="974"/>
      <c r="H738" s="974">
        <v>60000</v>
      </c>
      <c r="I738" s="974"/>
      <c r="J738" s="975"/>
      <c r="K738" s="974"/>
      <c r="L738" s="974">
        <f t="shared" si="47"/>
        <v>60000</v>
      </c>
      <c r="M738" s="976"/>
      <c r="N738" s="1013">
        <f t="shared" si="45"/>
        <v>0</v>
      </c>
      <c r="O738" s="976"/>
      <c r="P738" s="977"/>
      <c r="Q738" s="974"/>
      <c r="R738" s="1147"/>
      <c r="S738" s="974"/>
      <c r="T738" s="976"/>
      <c r="V738" s="1000"/>
      <c r="W738" s="1000"/>
      <c r="X738" s="686"/>
      <c r="Y738" s="686"/>
    </row>
    <row r="739" spans="1:25" x14ac:dyDescent="0.25">
      <c r="B739" s="1187" t="s">
        <v>1615</v>
      </c>
      <c r="C739" s="1015">
        <v>1055</v>
      </c>
      <c r="D739" s="983" t="s">
        <v>1658</v>
      </c>
      <c r="E739" s="976" t="s">
        <v>1480</v>
      </c>
      <c r="F739" s="973">
        <v>1935000</v>
      </c>
      <c r="G739" s="974"/>
      <c r="H739" s="974">
        <v>1935000</v>
      </c>
      <c r="I739" s="974"/>
      <c r="J739" s="975"/>
      <c r="K739" s="974"/>
      <c r="L739" s="974">
        <f t="shared" si="47"/>
        <v>1935000</v>
      </c>
      <c r="M739" s="976"/>
      <c r="N739" s="1013">
        <f t="shared" si="45"/>
        <v>0</v>
      </c>
      <c r="O739" s="976"/>
      <c r="P739" s="977"/>
      <c r="Q739" s="974"/>
      <c r="R739" s="1147" t="s">
        <v>1659</v>
      </c>
      <c r="S739" s="974"/>
      <c r="T739" s="976" t="s">
        <v>1660</v>
      </c>
      <c r="V739" s="1000"/>
      <c r="W739" s="1000"/>
      <c r="X739" s="686"/>
      <c r="Y739" s="686"/>
    </row>
    <row r="740" spans="1:25" x14ac:dyDescent="0.25">
      <c r="B740" s="1187" t="s">
        <v>1615</v>
      </c>
      <c r="C740" s="1015">
        <v>1055</v>
      </c>
      <c r="D740" s="983" t="s">
        <v>1650</v>
      </c>
      <c r="E740" s="976" t="s">
        <v>1651</v>
      </c>
      <c r="F740" s="973">
        <v>3846480</v>
      </c>
      <c r="G740" s="974"/>
      <c r="H740" s="974">
        <v>3846480</v>
      </c>
      <c r="I740" s="974"/>
      <c r="J740" s="975"/>
      <c r="K740" s="974"/>
      <c r="L740" s="974">
        <f t="shared" si="47"/>
        <v>3846480</v>
      </c>
      <c r="M740" s="976"/>
      <c r="N740" s="1013">
        <f t="shared" si="45"/>
        <v>0</v>
      </c>
      <c r="O740" s="976"/>
      <c r="P740" s="977"/>
      <c r="Q740" s="974"/>
      <c r="R740" s="1147"/>
      <c r="S740" s="974"/>
      <c r="T740" s="976"/>
      <c r="V740" s="1000"/>
      <c r="W740" s="1000"/>
      <c r="X740" s="686"/>
      <c r="Y740" s="686"/>
    </row>
    <row r="741" spans="1:25" x14ac:dyDescent="0.25">
      <c r="B741" s="1187" t="s">
        <v>1615</v>
      </c>
      <c r="C741" s="1015">
        <v>1055</v>
      </c>
      <c r="D741" s="983" t="s">
        <v>1661</v>
      </c>
      <c r="E741" s="976" t="s">
        <v>1662</v>
      </c>
      <c r="F741" s="973">
        <v>275000</v>
      </c>
      <c r="G741" s="974"/>
      <c r="H741" s="974">
        <v>275000</v>
      </c>
      <c r="I741" s="974"/>
      <c r="J741" s="975"/>
      <c r="K741" s="974"/>
      <c r="L741" s="974">
        <f t="shared" si="47"/>
        <v>275000</v>
      </c>
      <c r="M741" s="976"/>
      <c r="N741" s="1013">
        <f t="shared" si="45"/>
        <v>0</v>
      </c>
      <c r="O741" s="976"/>
      <c r="P741" s="977"/>
      <c r="Q741" s="974">
        <v>275000</v>
      </c>
      <c r="R741" s="1147" t="s">
        <v>1663</v>
      </c>
      <c r="S741" s="974"/>
      <c r="T741" s="976" t="s">
        <v>1655</v>
      </c>
      <c r="V741" s="1000"/>
      <c r="W741" s="1000"/>
      <c r="X741" s="686"/>
      <c r="Y741" s="686"/>
    </row>
    <row r="742" spans="1:25" x14ac:dyDescent="0.25">
      <c r="B742" s="1187" t="s">
        <v>1615</v>
      </c>
      <c r="C742" s="1015">
        <v>1055</v>
      </c>
      <c r="D742" s="983" t="s">
        <v>1452</v>
      </c>
      <c r="E742" s="976" t="s">
        <v>1664</v>
      </c>
      <c r="F742" s="973">
        <v>4516200</v>
      </c>
      <c r="G742" s="974"/>
      <c r="H742" s="974">
        <v>4516200</v>
      </c>
      <c r="I742" s="974"/>
      <c r="J742" s="975"/>
      <c r="K742" s="974"/>
      <c r="L742" s="974">
        <f t="shared" si="47"/>
        <v>4516200</v>
      </c>
      <c r="M742" s="976"/>
      <c r="N742" s="1013">
        <f t="shared" si="45"/>
        <v>0</v>
      </c>
      <c r="O742" s="976"/>
      <c r="P742" s="977"/>
      <c r="Q742" s="974"/>
      <c r="R742" s="1147"/>
      <c r="S742" s="974"/>
      <c r="T742" s="976"/>
      <c r="V742" s="1000"/>
      <c r="W742" s="1000"/>
      <c r="X742" s="686"/>
      <c r="Y742" s="686"/>
    </row>
    <row r="743" spans="1:25" x14ac:dyDescent="0.25">
      <c r="B743" s="1187" t="s">
        <v>1615</v>
      </c>
      <c r="C743" s="1015">
        <v>1055</v>
      </c>
      <c r="D743" s="983" t="s">
        <v>1665</v>
      </c>
      <c r="E743" s="976" t="s">
        <v>1666</v>
      </c>
      <c r="F743" s="973">
        <v>2321000</v>
      </c>
      <c r="G743" s="974"/>
      <c r="H743" s="974">
        <v>2321000</v>
      </c>
      <c r="I743" s="974"/>
      <c r="J743" s="975"/>
      <c r="K743" s="974"/>
      <c r="L743" s="974">
        <f t="shared" si="47"/>
        <v>2321000</v>
      </c>
      <c r="M743" s="976"/>
      <c r="N743" s="1013">
        <f t="shared" si="45"/>
        <v>0</v>
      </c>
      <c r="O743" s="976"/>
      <c r="P743" s="977"/>
      <c r="Q743" s="974"/>
      <c r="R743" s="1147"/>
      <c r="S743" s="974"/>
      <c r="T743" s="976" t="s">
        <v>1323</v>
      </c>
      <c r="V743" s="1000"/>
      <c r="W743" s="1000"/>
      <c r="X743" s="686"/>
      <c r="Y743" s="686"/>
    </row>
    <row r="744" spans="1:25" x14ac:dyDescent="0.25">
      <c r="B744" s="1187" t="s">
        <v>1615</v>
      </c>
      <c r="C744" s="1015">
        <v>1055</v>
      </c>
      <c r="D744" s="983" t="s">
        <v>1667</v>
      </c>
      <c r="E744" s="976" t="s">
        <v>1480</v>
      </c>
      <c r="F744" s="973">
        <v>580500</v>
      </c>
      <c r="G744" s="974"/>
      <c r="H744" s="974">
        <v>580500</v>
      </c>
      <c r="I744" s="974"/>
      <c r="J744" s="975"/>
      <c r="K744" s="974"/>
      <c r="L744" s="974">
        <f t="shared" ref="L744:L749" si="49">SUM(H744:K744)</f>
        <v>580500</v>
      </c>
      <c r="M744" s="976"/>
      <c r="N744" s="1013">
        <f t="shared" si="45"/>
        <v>0</v>
      </c>
      <c r="O744" s="976"/>
      <c r="P744" s="977"/>
      <c r="Q744" s="974">
        <v>580500</v>
      </c>
      <c r="R744" s="1147" t="s">
        <v>1668</v>
      </c>
      <c r="S744" s="974"/>
      <c r="T744" s="976" t="s">
        <v>1669</v>
      </c>
      <c r="V744" s="1000"/>
      <c r="W744" s="1000"/>
      <c r="X744" s="686"/>
      <c r="Y744" s="686"/>
    </row>
    <row r="745" spans="1:25" x14ac:dyDescent="0.25">
      <c r="B745" s="1187" t="s">
        <v>1615</v>
      </c>
      <c r="C745" s="1015">
        <v>1055</v>
      </c>
      <c r="D745" s="983" t="s">
        <v>1670</v>
      </c>
      <c r="E745" s="976" t="s">
        <v>1480</v>
      </c>
      <c r="F745" s="973">
        <v>387000</v>
      </c>
      <c r="G745" s="974"/>
      <c r="H745" s="974">
        <v>387000</v>
      </c>
      <c r="I745" s="974"/>
      <c r="J745" s="975"/>
      <c r="K745" s="974"/>
      <c r="L745" s="974">
        <f t="shared" si="49"/>
        <v>387000</v>
      </c>
      <c r="M745" s="976"/>
      <c r="N745" s="1013">
        <f t="shared" si="45"/>
        <v>0</v>
      </c>
      <c r="O745" s="976"/>
      <c r="P745" s="977"/>
      <c r="Q745" s="974">
        <v>387000</v>
      </c>
      <c r="R745" s="1147" t="s">
        <v>1671</v>
      </c>
      <c r="S745" s="974"/>
      <c r="T745" s="976" t="s">
        <v>1672</v>
      </c>
      <c r="V745" s="1000"/>
      <c r="W745" s="1000"/>
      <c r="X745" s="686"/>
      <c r="Y745" s="686"/>
    </row>
    <row r="746" spans="1:25" x14ac:dyDescent="0.25">
      <c r="B746" s="1187" t="s">
        <v>1615</v>
      </c>
      <c r="C746" s="1015">
        <v>1055</v>
      </c>
      <c r="D746" s="983" t="s">
        <v>1673</v>
      </c>
      <c r="E746" s="976" t="s">
        <v>1674</v>
      </c>
      <c r="F746" s="973">
        <v>13277000</v>
      </c>
      <c r="G746" s="974"/>
      <c r="H746" s="974">
        <v>6638500</v>
      </c>
      <c r="I746" s="974">
        <v>6638500</v>
      </c>
      <c r="J746" s="975"/>
      <c r="K746" s="974"/>
      <c r="L746" s="974">
        <f t="shared" si="49"/>
        <v>13277000</v>
      </c>
      <c r="M746" s="976"/>
      <c r="N746" s="1013">
        <f t="shared" si="45"/>
        <v>0</v>
      </c>
      <c r="O746" s="976"/>
      <c r="P746" s="977"/>
      <c r="Q746" s="974"/>
      <c r="R746" s="1147"/>
      <c r="S746" s="974"/>
      <c r="T746" s="976" t="s">
        <v>1323</v>
      </c>
      <c r="V746" s="1000"/>
      <c r="W746" s="1000"/>
      <c r="X746" s="686"/>
      <c r="Y746" s="686"/>
    </row>
    <row r="747" spans="1:25" x14ac:dyDescent="0.25">
      <c r="B747" s="1187" t="s">
        <v>1615</v>
      </c>
      <c r="C747" s="1015">
        <v>1055</v>
      </c>
      <c r="D747" s="983" t="s">
        <v>1675</v>
      </c>
      <c r="E747" s="976" t="s">
        <v>1110</v>
      </c>
      <c r="F747" s="973">
        <v>1485000</v>
      </c>
      <c r="G747" s="974"/>
      <c r="H747" s="974">
        <v>1485000</v>
      </c>
      <c r="I747" s="974"/>
      <c r="J747" s="975"/>
      <c r="K747" s="974"/>
      <c r="L747" s="974">
        <f t="shared" si="49"/>
        <v>1485000</v>
      </c>
      <c r="M747" s="976"/>
      <c r="N747" s="1013">
        <f t="shared" si="45"/>
        <v>0</v>
      </c>
      <c r="O747" s="976"/>
      <c r="P747" s="977"/>
      <c r="Q747" s="974"/>
      <c r="R747" s="1147"/>
      <c r="S747" s="974"/>
      <c r="T747" s="976" t="s">
        <v>1323</v>
      </c>
      <c r="V747" s="1000"/>
      <c r="W747" s="1000"/>
      <c r="X747" s="686"/>
      <c r="Y747" s="686"/>
    </row>
    <row r="748" spans="1:25" x14ac:dyDescent="0.25">
      <c r="B748" s="1187" t="s">
        <v>1615</v>
      </c>
      <c r="C748" s="1015">
        <v>1055</v>
      </c>
      <c r="D748" s="983" t="s">
        <v>1676</v>
      </c>
      <c r="E748" s="976" t="s">
        <v>1677</v>
      </c>
      <c r="F748" s="973">
        <v>18892500</v>
      </c>
      <c r="G748" s="974"/>
      <c r="H748" s="974">
        <v>18892500</v>
      </c>
      <c r="I748" s="974"/>
      <c r="J748" s="975"/>
      <c r="K748" s="974"/>
      <c r="L748" s="974">
        <f t="shared" si="49"/>
        <v>18892500</v>
      </c>
      <c r="M748" s="976"/>
      <c r="N748" s="1013">
        <f t="shared" si="45"/>
        <v>0</v>
      </c>
      <c r="O748" s="976"/>
      <c r="P748" s="977"/>
      <c r="Q748" s="974"/>
      <c r="R748" s="1147"/>
      <c r="S748" s="974"/>
      <c r="T748" s="976"/>
      <c r="V748" s="1000"/>
      <c r="W748" s="1000"/>
      <c r="X748" s="686"/>
      <c r="Y748" s="686"/>
    </row>
    <row r="749" spans="1:25" x14ac:dyDescent="0.25">
      <c r="B749" s="1187" t="s">
        <v>1615</v>
      </c>
      <c r="C749" s="1015">
        <v>1055</v>
      </c>
      <c r="D749" s="983" t="s">
        <v>1678</v>
      </c>
      <c r="E749" s="976" t="s">
        <v>1679</v>
      </c>
      <c r="F749" s="973">
        <v>240000</v>
      </c>
      <c r="G749" s="974"/>
      <c r="H749" s="974">
        <v>240000</v>
      </c>
      <c r="I749" s="974"/>
      <c r="J749" s="975"/>
      <c r="K749" s="974"/>
      <c r="L749" s="974">
        <f t="shared" si="49"/>
        <v>240000</v>
      </c>
      <c r="M749" s="976"/>
      <c r="N749" s="1013">
        <f t="shared" si="45"/>
        <v>0</v>
      </c>
      <c r="O749" s="976"/>
      <c r="P749" s="977"/>
      <c r="Q749" s="974"/>
      <c r="R749" s="1147"/>
      <c r="S749" s="974"/>
      <c r="T749" s="976"/>
      <c r="V749" s="1000"/>
      <c r="W749" s="1000"/>
      <c r="X749" s="686"/>
      <c r="Y749" s="686"/>
    </row>
    <row r="750" spans="1:25" x14ac:dyDescent="0.25">
      <c r="B750" s="1187" t="s">
        <v>1615</v>
      </c>
      <c r="C750" s="1015">
        <v>1055</v>
      </c>
      <c r="D750" s="983" t="s">
        <v>947</v>
      </c>
      <c r="E750" s="976"/>
      <c r="F750" s="973">
        <f>W750</f>
        <v>1400000</v>
      </c>
      <c r="G750" s="974"/>
      <c r="H750" s="974">
        <v>280000</v>
      </c>
      <c r="I750" s="974">
        <v>280000</v>
      </c>
      <c r="J750" s="975">
        <v>280000</v>
      </c>
      <c r="K750" s="974">
        <v>560000</v>
      </c>
      <c r="L750" s="974">
        <f t="shared" si="47"/>
        <v>1400000</v>
      </c>
      <c r="M750" s="976"/>
      <c r="N750" s="1013">
        <f t="shared" si="45"/>
        <v>0</v>
      </c>
      <c r="O750" s="976"/>
      <c r="P750" s="977"/>
      <c r="Q750" s="974"/>
      <c r="R750" s="1147"/>
      <c r="S750" s="974"/>
      <c r="T750" s="976"/>
      <c r="V750" s="1000" t="s">
        <v>948</v>
      </c>
      <c r="W750" s="1000">
        <f>SUM(W713:W734)</f>
        <v>1400000</v>
      </c>
      <c r="X750" s="686"/>
      <c r="Y750" s="686"/>
    </row>
    <row r="751" spans="1:25" ht="15.75" x14ac:dyDescent="0.25">
      <c r="A751" s="723"/>
      <c r="B751" s="720" t="s">
        <v>997</v>
      </c>
      <c r="C751" s="720"/>
      <c r="D751" s="699" t="s">
        <v>1680</v>
      </c>
      <c r="E751" s="992"/>
      <c r="F751" s="993"/>
      <c r="G751" s="994"/>
      <c r="H751" s="994"/>
      <c r="I751" s="994"/>
      <c r="J751" s="995"/>
      <c r="K751" s="994"/>
      <c r="L751" s="735">
        <f>SUM(L713:L750)</f>
        <v>976212982</v>
      </c>
      <c r="M751" s="992"/>
      <c r="N751" s="1042">
        <f>SUM(N713:N750)</f>
        <v>671589404</v>
      </c>
      <c r="O751" s="992"/>
      <c r="P751" s="998"/>
      <c r="Q751" s="994"/>
      <c r="R751" s="1153"/>
      <c r="S751" s="994"/>
      <c r="T751" s="992"/>
      <c r="X751" s="686"/>
      <c r="Y751" s="686"/>
    </row>
    <row r="752" spans="1:25" x14ac:dyDescent="0.25">
      <c r="A752" s="686">
        <v>34</v>
      </c>
      <c r="B752" s="1187" t="s">
        <v>1681</v>
      </c>
      <c r="C752" s="1015">
        <v>1057</v>
      </c>
      <c r="D752" s="976" t="s">
        <v>1682</v>
      </c>
      <c r="E752" s="985" t="s">
        <v>1683</v>
      </c>
      <c r="F752" s="973">
        <v>66440000</v>
      </c>
      <c r="G752" s="974"/>
      <c r="H752" s="974">
        <v>30200000</v>
      </c>
      <c r="I752" s="974"/>
      <c r="J752" s="975"/>
      <c r="K752" s="974"/>
      <c r="L752" s="974">
        <f>SUM(H752:K752)</f>
        <v>30200000</v>
      </c>
      <c r="M752" s="976"/>
      <c r="N752" s="1013">
        <f t="shared" ref="N752:N761" si="50">IF($G752="",($F752-$L752),($G752-$L752))</f>
        <v>36240000</v>
      </c>
      <c r="O752" s="976"/>
      <c r="P752" s="977"/>
      <c r="Q752" s="974"/>
      <c r="R752" s="1147"/>
      <c r="S752" s="974"/>
      <c r="T752" s="976"/>
      <c r="V752" s="687" t="s">
        <v>1684</v>
      </c>
      <c r="X752" s="686"/>
      <c r="Y752" s="686"/>
    </row>
    <row r="753" spans="1:25" x14ac:dyDescent="0.25">
      <c r="B753" s="1187" t="s">
        <v>1681</v>
      </c>
      <c r="C753" s="1015">
        <v>1057</v>
      </c>
      <c r="D753" s="976" t="s">
        <v>1685</v>
      </c>
      <c r="E753" s="976" t="s">
        <v>1686</v>
      </c>
      <c r="F753" s="973">
        <v>36000000</v>
      </c>
      <c r="G753" s="974"/>
      <c r="H753" s="974">
        <v>36000000</v>
      </c>
      <c r="I753" s="974"/>
      <c r="J753" s="975"/>
      <c r="K753" s="974"/>
      <c r="L753" s="974">
        <f>SUM(H753:K753)</f>
        <v>36000000</v>
      </c>
      <c r="M753" s="976"/>
      <c r="N753" s="1013">
        <f t="shared" si="50"/>
        <v>0</v>
      </c>
      <c r="O753" s="976"/>
      <c r="P753" s="977"/>
      <c r="Q753" s="974"/>
      <c r="R753" s="1147"/>
      <c r="S753" s="974"/>
      <c r="T753" s="976"/>
      <c r="V753" s="687" t="s">
        <v>1684</v>
      </c>
      <c r="X753" s="686"/>
      <c r="Y753" s="686"/>
    </row>
    <row r="754" spans="1:25" x14ac:dyDescent="0.25">
      <c r="B754" s="1187" t="s">
        <v>1681</v>
      </c>
      <c r="C754" s="1015">
        <v>1057</v>
      </c>
      <c r="D754" s="976"/>
      <c r="E754" s="976"/>
      <c r="F754" s="973"/>
      <c r="G754" s="974"/>
      <c r="H754" s="974"/>
      <c r="I754" s="974"/>
      <c r="J754" s="975"/>
      <c r="K754" s="974"/>
      <c r="L754" s="974">
        <f t="shared" ref="L754:L761" si="51">SUM(H754:K754)</f>
        <v>0</v>
      </c>
      <c r="M754" s="976"/>
      <c r="N754" s="1013">
        <f t="shared" si="50"/>
        <v>0</v>
      </c>
      <c r="O754" s="976"/>
      <c r="P754" s="977"/>
      <c r="Q754" s="974"/>
      <c r="R754" s="1147"/>
      <c r="S754" s="974"/>
      <c r="T754" s="976"/>
      <c r="V754" s="687" t="s">
        <v>1684</v>
      </c>
      <c r="X754" s="686"/>
      <c r="Y754" s="686"/>
    </row>
    <row r="755" spans="1:25" x14ac:dyDescent="0.25">
      <c r="B755" s="1187" t="s">
        <v>1681</v>
      </c>
      <c r="C755" s="1015">
        <v>1057</v>
      </c>
      <c r="D755" s="976"/>
      <c r="E755" s="976"/>
      <c r="F755" s="973"/>
      <c r="G755" s="974"/>
      <c r="H755" s="974"/>
      <c r="I755" s="974"/>
      <c r="J755" s="975"/>
      <c r="K755" s="974"/>
      <c r="L755" s="974">
        <f t="shared" si="51"/>
        <v>0</v>
      </c>
      <c r="M755" s="976"/>
      <c r="N755" s="1013">
        <f t="shared" si="50"/>
        <v>0</v>
      </c>
      <c r="O755" s="976"/>
      <c r="P755" s="977"/>
      <c r="Q755" s="974"/>
      <c r="R755" s="1147"/>
      <c r="S755" s="974"/>
      <c r="T755" s="976"/>
      <c r="X755" s="686"/>
      <c r="Y755" s="686"/>
    </row>
    <row r="756" spans="1:25" x14ac:dyDescent="0.25">
      <c r="B756" s="1187" t="s">
        <v>1681</v>
      </c>
      <c r="C756" s="1015">
        <v>1057</v>
      </c>
      <c r="D756" s="976"/>
      <c r="E756" s="976"/>
      <c r="F756" s="973"/>
      <c r="G756" s="974"/>
      <c r="H756" s="974"/>
      <c r="I756" s="974"/>
      <c r="J756" s="975"/>
      <c r="K756" s="974"/>
      <c r="L756" s="974">
        <f t="shared" si="51"/>
        <v>0</v>
      </c>
      <c r="M756" s="976"/>
      <c r="N756" s="1013">
        <f t="shared" si="50"/>
        <v>0</v>
      </c>
      <c r="O756" s="976"/>
      <c r="P756" s="977"/>
      <c r="Q756" s="974"/>
      <c r="R756" s="1147"/>
      <c r="S756" s="974"/>
      <c r="T756" s="976"/>
      <c r="X756" s="686"/>
      <c r="Y756" s="686"/>
    </row>
    <row r="757" spans="1:25" x14ac:dyDescent="0.25">
      <c r="B757" s="1187" t="s">
        <v>1681</v>
      </c>
      <c r="C757" s="1015">
        <v>1057</v>
      </c>
      <c r="D757" s="976"/>
      <c r="E757" s="976"/>
      <c r="F757" s="973"/>
      <c r="G757" s="974"/>
      <c r="H757" s="974"/>
      <c r="I757" s="974"/>
      <c r="J757" s="975"/>
      <c r="K757" s="974"/>
      <c r="L757" s="974">
        <f t="shared" si="51"/>
        <v>0</v>
      </c>
      <c r="M757" s="976"/>
      <c r="N757" s="1013">
        <f t="shared" si="50"/>
        <v>0</v>
      </c>
      <c r="O757" s="976"/>
      <c r="P757" s="977"/>
      <c r="Q757" s="974"/>
      <c r="R757" s="1147"/>
      <c r="S757" s="974"/>
      <c r="T757" s="976"/>
      <c r="X757" s="686"/>
      <c r="Y757" s="686"/>
    </row>
    <row r="758" spans="1:25" x14ac:dyDescent="0.25">
      <c r="B758" s="1187" t="s">
        <v>1681</v>
      </c>
      <c r="C758" s="1015">
        <v>1057</v>
      </c>
      <c r="D758" s="976"/>
      <c r="E758" s="976"/>
      <c r="F758" s="973"/>
      <c r="G758" s="974"/>
      <c r="H758" s="974"/>
      <c r="I758" s="974"/>
      <c r="J758" s="975"/>
      <c r="K758" s="974"/>
      <c r="L758" s="974">
        <f t="shared" si="51"/>
        <v>0</v>
      </c>
      <c r="M758" s="976"/>
      <c r="N758" s="1013">
        <f t="shared" si="50"/>
        <v>0</v>
      </c>
      <c r="O758" s="976"/>
      <c r="P758" s="977"/>
      <c r="Q758" s="974"/>
      <c r="R758" s="1147"/>
      <c r="S758" s="974"/>
      <c r="T758" s="976"/>
      <c r="X758" s="686"/>
      <c r="Y758" s="686"/>
    </row>
    <row r="759" spans="1:25" x14ac:dyDescent="0.25">
      <c r="B759" s="1187" t="s">
        <v>1681</v>
      </c>
      <c r="C759" s="1015">
        <v>1057</v>
      </c>
      <c r="D759" s="976"/>
      <c r="E759" s="976"/>
      <c r="F759" s="973"/>
      <c r="G759" s="974"/>
      <c r="H759" s="974"/>
      <c r="I759" s="974"/>
      <c r="J759" s="975"/>
      <c r="K759" s="974"/>
      <c r="L759" s="974">
        <f t="shared" si="51"/>
        <v>0</v>
      </c>
      <c r="M759" s="976"/>
      <c r="N759" s="1013">
        <f t="shared" si="50"/>
        <v>0</v>
      </c>
      <c r="O759" s="976"/>
      <c r="P759" s="977"/>
      <c r="Q759" s="974"/>
      <c r="R759" s="1147"/>
      <c r="S759" s="974"/>
      <c r="T759" s="976"/>
      <c r="X759" s="686"/>
      <c r="Y759" s="686"/>
    </row>
    <row r="760" spans="1:25" x14ac:dyDescent="0.25">
      <c r="B760" s="1187" t="s">
        <v>1681</v>
      </c>
      <c r="C760" s="1015">
        <v>1057</v>
      </c>
      <c r="D760" s="976"/>
      <c r="E760" s="976"/>
      <c r="F760" s="973"/>
      <c r="G760" s="974"/>
      <c r="H760" s="974"/>
      <c r="I760" s="974"/>
      <c r="J760" s="975"/>
      <c r="K760" s="974"/>
      <c r="L760" s="974">
        <f t="shared" si="51"/>
        <v>0</v>
      </c>
      <c r="M760" s="976"/>
      <c r="N760" s="1013">
        <f t="shared" si="50"/>
        <v>0</v>
      </c>
      <c r="O760" s="976"/>
      <c r="P760" s="977"/>
      <c r="Q760" s="974"/>
      <c r="R760" s="1147"/>
      <c r="S760" s="974"/>
      <c r="T760" s="976"/>
      <c r="X760" s="686"/>
      <c r="Y760" s="686"/>
    </row>
    <row r="761" spans="1:25" x14ac:dyDescent="0.25">
      <c r="B761" s="1187" t="s">
        <v>1681</v>
      </c>
      <c r="C761" s="1015">
        <v>1057</v>
      </c>
      <c r="D761" s="976" t="s">
        <v>947</v>
      </c>
      <c r="E761" s="976"/>
      <c r="F761" s="973"/>
      <c r="G761" s="974"/>
      <c r="H761" s="974"/>
      <c r="I761" s="974"/>
      <c r="J761" s="975"/>
      <c r="K761" s="974"/>
      <c r="L761" s="974">
        <f t="shared" si="51"/>
        <v>0</v>
      </c>
      <c r="M761" s="976"/>
      <c r="N761" s="1013">
        <f t="shared" si="50"/>
        <v>0</v>
      </c>
      <c r="O761" s="976"/>
      <c r="P761" s="977"/>
      <c r="Q761" s="974"/>
      <c r="R761" s="1147"/>
      <c r="S761" s="974"/>
      <c r="T761" s="976"/>
      <c r="V761" s="1000" t="s">
        <v>948</v>
      </c>
      <c r="W761" s="1000">
        <f>SUM(W752:W755)</f>
        <v>0</v>
      </c>
      <c r="X761" s="686"/>
      <c r="Y761" s="686"/>
    </row>
    <row r="762" spans="1:25" ht="15.75" x14ac:dyDescent="0.25">
      <c r="A762" s="723"/>
      <c r="B762" s="720" t="s">
        <v>997</v>
      </c>
      <c r="C762" s="720"/>
      <c r="D762" s="699" t="s">
        <v>1687</v>
      </c>
      <c r="E762" s="992"/>
      <c r="F762" s="993"/>
      <c r="G762" s="994"/>
      <c r="H762" s="994"/>
      <c r="I762" s="994"/>
      <c r="J762" s="995"/>
      <c r="K762" s="994"/>
      <c r="L762" s="735">
        <f>SUM(L752:L761)</f>
        <v>66200000</v>
      </c>
      <c r="M762" s="992"/>
      <c r="N762" s="1042">
        <f>SUM(N752:N761)</f>
        <v>36240000</v>
      </c>
      <c r="O762" s="992"/>
      <c r="P762" s="998"/>
      <c r="Q762" s="994"/>
      <c r="R762" s="1153"/>
      <c r="S762" s="994"/>
      <c r="T762" s="992"/>
      <c r="X762" s="686"/>
      <c r="Y762" s="686"/>
    </row>
    <row r="763" spans="1:25" x14ac:dyDescent="0.25">
      <c r="A763" s="686">
        <v>35</v>
      </c>
      <c r="B763" s="1187" t="s">
        <v>1687</v>
      </c>
      <c r="C763" s="1015">
        <v>1017</v>
      </c>
      <c r="D763" s="976" t="s">
        <v>1688</v>
      </c>
      <c r="E763" s="985" t="s">
        <v>1465</v>
      </c>
      <c r="F763" s="973">
        <v>77800000</v>
      </c>
      <c r="G763" s="974"/>
      <c r="H763" s="974">
        <v>77800000</v>
      </c>
      <c r="I763" s="974"/>
      <c r="J763" s="975"/>
      <c r="K763" s="974"/>
      <c r="L763" s="974">
        <f>SUM(H763:K763)</f>
        <v>77800000</v>
      </c>
      <c r="M763" s="976"/>
      <c r="N763" s="1013">
        <f t="shared" ref="N763:N881" si="52">IF($G763="",($F763-$L763),($G763-$L763))</f>
        <v>0</v>
      </c>
      <c r="O763" s="976"/>
      <c r="P763" s="977"/>
      <c r="Q763" s="974"/>
      <c r="R763" s="1147"/>
      <c r="S763" s="974"/>
      <c r="T763" s="976"/>
      <c r="V763" s="687" t="s">
        <v>1689</v>
      </c>
      <c r="W763" s="687">
        <v>2612000</v>
      </c>
      <c r="X763" s="686"/>
      <c r="Y763" s="686"/>
    </row>
    <row r="764" spans="1:25" x14ac:dyDescent="0.25">
      <c r="B764" s="1187" t="s">
        <v>1687</v>
      </c>
      <c r="C764" s="1015">
        <v>1017</v>
      </c>
      <c r="D764" s="976" t="s">
        <v>1560</v>
      </c>
      <c r="E764" s="976" t="s">
        <v>1480</v>
      </c>
      <c r="F764" s="973">
        <v>1100000</v>
      </c>
      <c r="G764" s="974"/>
      <c r="H764" s="974">
        <v>1100000</v>
      </c>
      <c r="I764" s="974"/>
      <c r="J764" s="975"/>
      <c r="K764" s="974"/>
      <c r="L764" s="974">
        <f>SUM(H764:K764)</f>
        <v>1100000</v>
      </c>
      <c r="M764" s="976"/>
      <c r="N764" s="1013">
        <f t="shared" si="52"/>
        <v>0</v>
      </c>
      <c r="O764" s="976"/>
      <c r="P764" s="977"/>
      <c r="Q764" s="974"/>
      <c r="R764" s="1147"/>
      <c r="S764" s="974"/>
      <c r="T764" s="976"/>
      <c r="V764" s="687" t="s">
        <v>1411</v>
      </c>
      <c r="W764" s="687">
        <v>240000</v>
      </c>
      <c r="X764" s="686"/>
      <c r="Y764" s="686"/>
    </row>
    <row r="765" spans="1:25" x14ac:dyDescent="0.25">
      <c r="B765" s="1187" t="s">
        <v>1687</v>
      </c>
      <c r="C765" s="1015">
        <v>1017</v>
      </c>
      <c r="D765" s="976" t="s">
        <v>1690</v>
      </c>
      <c r="E765" s="976" t="s">
        <v>1691</v>
      </c>
      <c r="F765" s="973">
        <v>17468000</v>
      </c>
      <c r="G765" s="974"/>
      <c r="H765" s="974">
        <v>17468000</v>
      </c>
      <c r="I765" s="974"/>
      <c r="J765" s="975"/>
      <c r="K765" s="974"/>
      <c r="L765" s="974">
        <f t="shared" ref="L765:L775" si="53">SUM(H765:K765)</f>
        <v>17468000</v>
      </c>
      <c r="M765" s="976"/>
      <c r="N765" s="1013">
        <f t="shared" si="52"/>
        <v>0</v>
      </c>
      <c r="O765" s="976"/>
      <c r="P765" s="977"/>
      <c r="Q765" s="974"/>
      <c r="R765" s="1147"/>
      <c r="S765" s="974"/>
      <c r="T765" s="976"/>
      <c r="V765" s="687" t="s">
        <v>1692</v>
      </c>
      <c r="W765" s="687">
        <v>580000</v>
      </c>
      <c r="X765" s="686"/>
      <c r="Y765" s="686"/>
    </row>
    <row r="766" spans="1:25" x14ac:dyDescent="0.25">
      <c r="B766" s="1187" t="s">
        <v>1687</v>
      </c>
      <c r="C766" s="1015">
        <v>1017</v>
      </c>
      <c r="D766" s="976" t="s">
        <v>1693</v>
      </c>
      <c r="E766" s="976" t="s">
        <v>1338</v>
      </c>
      <c r="F766" s="973">
        <v>8280000</v>
      </c>
      <c r="G766" s="974"/>
      <c r="H766" s="974">
        <v>8280000</v>
      </c>
      <c r="I766" s="974"/>
      <c r="J766" s="975"/>
      <c r="K766" s="974"/>
      <c r="L766" s="974">
        <f t="shared" si="53"/>
        <v>8280000</v>
      </c>
      <c r="M766" s="976"/>
      <c r="N766" s="1013">
        <f t="shared" si="52"/>
        <v>0</v>
      </c>
      <c r="O766" s="976"/>
      <c r="P766" s="977"/>
      <c r="Q766" s="974"/>
      <c r="R766" s="1147"/>
      <c r="S766" s="974"/>
      <c r="T766" s="976"/>
      <c r="X766" s="686"/>
      <c r="Y766" s="686"/>
    </row>
    <row r="767" spans="1:25" x14ac:dyDescent="0.25">
      <c r="B767" s="1187" t="s">
        <v>1687</v>
      </c>
      <c r="C767" s="1015">
        <v>1017</v>
      </c>
      <c r="D767" s="976" t="s">
        <v>981</v>
      </c>
      <c r="E767" s="976" t="s">
        <v>1516</v>
      </c>
      <c r="F767" s="973">
        <v>2022000</v>
      </c>
      <c r="G767" s="974"/>
      <c r="H767" s="974">
        <v>2022000</v>
      </c>
      <c r="I767" s="974"/>
      <c r="J767" s="975"/>
      <c r="K767" s="974"/>
      <c r="L767" s="974">
        <f t="shared" si="53"/>
        <v>2022000</v>
      </c>
      <c r="M767" s="976"/>
      <c r="N767" s="1013">
        <f t="shared" si="52"/>
        <v>0</v>
      </c>
      <c r="O767" s="976"/>
      <c r="P767" s="977"/>
      <c r="Q767" s="974"/>
      <c r="R767" s="1147"/>
      <c r="S767" s="974"/>
      <c r="T767" s="976"/>
      <c r="X767" s="686"/>
      <c r="Y767" s="686"/>
    </row>
    <row r="768" spans="1:25" x14ac:dyDescent="0.25">
      <c r="B768" s="1187" t="s">
        <v>1687</v>
      </c>
      <c r="C768" s="1015">
        <v>1017</v>
      </c>
      <c r="D768" s="976" t="s">
        <v>1694</v>
      </c>
      <c r="E768" s="976" t="s">
        <v>1691</v>
      </c>
      <c r="F768" s="973">
        <v>8064000</v>
      </c>
      <c r="G768" s="974"/>
      <c r="H768" s="974">
        <v>8064000</v>
      </c>
      <c r="I768" s="974"/>
      <c r="J768" s="975"/>
      <c r="K768" s="974"/>
      <c r="L768" s="974">
        <f t="shared" si="53"/>
        <v>8064000</v>
      </c>
      <c r="M768" s="976"/>
      <c r="N768" s="1013">
        <f t="shared" si="52"/>
        <v>0</v>
      </c>
      <c r="O768" s="976"/>
      <c r="P768" s="977"/>
      <c r="Q768" s="974"/>
      <c r="R768" s="1147"/>
      <c r="S768" s="974"/>
      <c r="T768" s="976" t="s">
        <v>1323</v>
      </c>
      <c r="X768" s="686"/>
      <c r="Y768" s="686"/>
    </row>
    <row r="769" spans="1:25" x14ac:dyDescent="0.25">
      <c r="B769" s="1187" t="s">
        <v>1687</v>
      </c>
      <c r="C769" s="1015">
        <v>1017</v>
      </c>
      <c r="D769" s="976" t="s">
        <v>1695</v>
      </c>
      <c r="E769" s="976" t="s">
        <v>1696</v>
      </c>
      <c r="F769" s="973">
        <v>5358000</v>
      </c>
      <c r="G769" s="974"/>
      <c r="H769" s="974">
        <v>5358000</v>
      </c>
      <c r="I769" s="974"/>
      <c r="J769" s="975"/>
      <c r="K769" s="974"/>
      <c r="L769" s="974">
        <f t="shared" si="53"/>
        <v>5358000</v>
      </c>
      <c r="M769" s="976"/>
      <c r="N769" s="1013">
        <f t="shared" si="52"/>
        <v>0</v>
      </c>
      <c r="O769" s="976"/>
      <c r="P769" s="977"/>
      <c r="Q769" s="974"/>
      <c r="R769" s="1147"/>
      <c r="S769" s="974"/>
      <c r="T769" s="976"/>
      <c r="X769" s="686"/>
      <c r="Y769" s="686"/>
    </row>
    <row r="770" spans="1:25" x14ac:dyDescent="0.25">
      <c r="B770" s="1187" t="s">
        <v>1687</v>
      </c>
      <c r="C770" s="1015">
        <v>1017</v>
      </c>
      <c r="D770" s="976" t="s">
        <v>1488</v>
      </c>
      <c r="E770" s="976" t="s">
        <v>521</v>
      </c>
      <c r="F770" s="973">
        <v>4200000</v>
      </c>
      <c r="G770" s="974"/>
      <c r="H770" s="974">
        <v>4200000</v>
      </c>
      <c r="I770" s="974"/>
      <c r="J770" s="975"/>
      <c r="K770" s="974"/>
      <c r="L770" s="974">
        <f t="shared" si="53"/>
        <v>4200000</v>
      </c>
      <c r="M770" s="976"/>
      <c r="N770" s="1013">
        <f t="shared" si="52"/>
        <v>0</v>
      </c>
      <c r="O770" s="976"/>
      <c r="P770" s="977"/>
      <c r="Q770" s="974"/>
      <c r="R770" s="1147"/>
      <c r="S770" s="974"/>
      <c r="T770" s="976"/>
      <c r="X770" s="686"/>
      <c r="Y770" s="686"/>
    </row>
    <row r="771" spans="1:25" x14ac:dyDescent="0.25">
      <c r="B771" s="1187" t="s">
        <v>1687</v>
      </c>
      <c r="C771" s="1015">
        <v>1017</v>
      </c>
      <c r="D771" s="976" t="s">
        <v>1697</v>
      </c>
      <c r="E771" s="976" t="s">
        <v>1698</v>
      </c>
      <c r="F771" s="973">
        <v>3400000</v>
      </c>
      <c r="G771" s="974"/>
      <c r="H771" s="974">
        <v>3400000</v>
      </c>
      <c r="I771" s="974"/>
      <c r="J771" s="975"/>
      <c r="K771" s="974"/>
      <c r="L771" s="974">
        <f t="shared" si="53"/>
        <v>3400000</v>
      </c>
      <c r="M771" s="976"/>
      <c r="N771" s="1013">
        <f t="shared" si="52"/>
        <v>0</v>
      </c>
      <c r="O771" s="976"/>
      <c r="P771" s="977"/>
      <c r="Q771" s="974"/>
      <c r="R771" s="1147"/>
      <c r="S771" s="974"/>
      <c r="T771" s="976"/>
      <c r="X771" s="686"/>
      <c r="Y771" s="686"/>
    </row>
    <row r="772" spans="1:25" x14ac:dyDescent="0.25">
      <c r="B772" s="1187" t="s">
        <v>1687</v>
      </c>
      <c r="C772" s="1015">
        <v>1017</v>
      </c>
      <c r="D772" s="976" t="s">
        <v>1699</v>
      </c>
      <c r="E772" s="976" t="s">
        <v>1319</v>
      </c>
      <c r="F772" s="973">
        <v>11500000</v>
      </c>
      <c r="G772" s="974"/>
      <c r="H772" s="974">
        <v>11500000</v>
      </c>
      <c r="I772" s="974"/>
      <c r="J772" s="975"/>
      <c r="K772" s="974"/>
      <c r="L772" s="974">
        <f t="shared" si="53"/>
        <v>11500000</v>
      </c>
      <c r="M772" s="976"/>
      <c r="N772" s="1013">
        <f t="shared" si="52"/>
        <v>0</v>
      </c>
      <c r="O772" s="976"/>
      <c r="P772" s="977"/>
      <c r="Q772" s="974"/>
      <c r="R772" s="1147"/>
      <c r="S772" s="974"/>
      <c r="T772" s="976"/>
      <c r="X772" s="686"/>
      <c r="Y772" s="686"/>
    </row>
    <row r="773" spans="1:25" x14ac:dyDescent="0.25">
      <c r="B773" s="1187" t="s">
        <v>1687</v>
      </c>
      <c r="C773" s="1015">
        <v>1017</v>
      </c>
      <c r="D773" s="976" t="s">
        <v>1447</v>
      </c>
      <c r="E773" s="976" t="s">
        <v>1316</v>
      </c>
      <c r="F773" s="973">
        <v>8800000</v>
      </c>
      <c r="G773" s="974"/>
      <c r="H773" s="974">
        <v>8800000</v>
      </c>
      <c r="I773" s="974"/>
      <c r="J773" s="975"/>
      <c r="K773" s="974"/>
      <c r="L773" s="974">
        <f t="shared" si="53"/>
        <v>8800000</v>
      </c>
      <c r="M773" s="976"/>
      <c r="N773" s="1013">
        <f t="shared" si="52"/>
        <v>0</v>
      </c>
      <c r="O773" s="976"/>
      <c r="P773" s="977"/>
      <c r="Q773" s="974"/>
      <c r="R773" s="1147"/>
      <c r="S773" s="974"/>
      <c r="T773" s="976"/>
      <c r="X773" s="686"/>
      <c r="Y773" s="686"/>
    </row>
    <row r="774" spans="1:25" x14ac:dyDescent="0.25">
      <c r="B774" s="1187" t="s">
        <v>1687</v>
      </c>
      <c r="C774" s="1015">
        <v>1017</v>
      </c>
      <c r="D774" s="976" t="s">
        <v>1438</v>
      </c>
      <c r="E774" s="976" t="s">
        <v>1400</v>
      </c>
      <c r="F774" s="973">
        <v>18500000</v>
      </c>
      <c r="G774" s="974"/>
      <c r="H774" s="974">
        <v>18500000</v>
      </c>
      <c r="I774" s="974"/>
      <c r="J774" s="975"/>
      <c r="K774" s="974"/>
      <c r="L774" s="974">
        <f t="shared" si="53"/>
        <v>18500000</v>
      </c>
      <c r="M774" s="976"/>
      <c r="N774" s="1013">
        <f t="shared" si="52"/>
        <v>0</v>
      </c>
      <c r="O774" s="976"/>
      <c r="P774" s="977"/>
      <c r="Q774" s="974"/>
      <c r="R774" s="1147"/>
      <c r="S774" s="974"/>
      <c r="T774" s="976"/>
      <c r="X774" s="686"/>
      <c r="Y774" s="686"/>
    </row>
    <row r="775" spans="1:25" x14ac:dyDescent="0.25">
      <c r="B775" s="1187" t="s">
        <v>1687</v>
      </c>
      <c r="C775" s="1015">
        <v>1017</v>
      </c>
      <c r="D775" s="976" t="s">
        <v>947</v>
      </c>
      <c r="E775" s="976"/>
      <c r="F775" s="973">
        <f>W775</f>
        <v>3432000</v>
      </c>
      <c r="G775" s="974"/>
      <c r="H775" s="974">
        <v>2612000</v>
      </c>
      <c r="I775" s="974">
        <v>240000</v>
      </c>
      <c r="J775" s="975">
        <v>580000</v>
      </c>
      <c r="K775" s="974"/>
      <c r="L775" s="974">
        <f t="shared" si="53"/>
        <v>3432000</v>
      </c>
      <c r="M775" s="976"/>
      <c r="N775" s="1013">
        <f t="shared" si="52"/>
        <v>0</v>
      </c>
      <c r="O775" s="976"/>
      <c r="P775" s="977"/>
      <c r="Q775" s="974"/>
      <c r="R775" s="1147"/>
      <c r="S775" s="974"/>
      <c r="T775" s="976"/>
      <c r="V775" s="1000" t="s">
        <v>948</v>
      </c>
      <c r="W775" s="1000">
        <f>SUM(W763:W766)</f>
        <v>3432000</v>
      </c>
      <c r="X775" s="686"/>
      <c r="Y775" s="686"/>
    </row>
    <row r="776" spans="1:25" ht="15.75" x14ac:dyDescent="0.25">
      <c r="A776" s="723"/>
      <c r="B776" s="720" t="s">
        <v>997</v>
      </c>
      <c r="C776" s="720"/>
      <c r="D776" s="699" t="s">
        <v>1687</v>
      </c>
      <c r="E776" s="992"/>
      <c r="F776" s="993"/>
      <c r="G776" s="994"/>
      <c r="H776" s="994"/>
      <c r="I776" s="994"/>
      <c r="J776" s="995"/>
      <c r="K776" s="994"/>
      <c r="L776" s="735">
        <f>SUM(L763:L775)</f>
        <v>169924000</v>
      </c>
      <c r="M776" s="992"/>
      <c r="N776" s="1042">
        <f>SUM(N763:N775)</f>
        <v>0</v>
      </c>
      <c r="O776" s="992"/>
      <c r="P776" s="998"/>
      <c r="Q776" s="994"/>
      <c r="R776" s="1153"/>
      <c r="S776" s="994"/>
      <c r="T776" s="992"/>
      <c r="X776" s="686"/>
      <c r="Y776" s="686"/>
    </row>
    <row r="777" spans="1:25" x14ac:dyDescent="0.25">
      <c r="A777" s="686">
        <v>36</v>
      </c>
      <c r="B777" s="1187" t="s">
        <v>1700</v>
      </c>
      <c r="C777" s="1015">
        <v>1049</v>
      </c>
      <c r="D777" s="976" t="s">
        <v>1688</v>
      </c>
      <c r="E777" s="985" t="s">
        <v>1553</v>
      </c>
      <c r="F777" s="973">
        <v>35000000</v>
      </c>
      <c r="G777" s="974"/>
      <c r="H777" s="974">
        <v>35000000</v>
      </c>
      <c r="I777" s="974"/>
      <c r="J777" s="975"/>
      <c r="K777" s="974"/>
      <c r="L777" s="974">
        <f t="shared" ref="L777:L783" si="54">SUM(H777:K777)</f>
        <v>35000000</v>
      </c>
      <c r="M777" s="976"/>
      <c r="N777" s="1013">
        <f t="shared" si="52"/>
        <v>0</v>
      </c>
      <c r="O777" s="976"/>
      <c r="P777" s="977"/>
      <c r="Q777" s="974"/>
      <c r="R777" s="1147"/>
      <c r="S777" s="974"/>
      <c r="T777" s="976"/>
      <c r="V777" s="687" t="s">
        <v>1407</v>
      </c>
      <c r="W777" s="687">
        <v>860000</v>
      </c>
      <c r="X777" s="686"/>
      <c r="Y777" s="686"/>
    </row>
    <row r="778" spans="1:25" x14ac:dyDescent="0.25">
      <c r="B778" s="1187" t="s">
        <v>1700</v>
      </c>
      <c r="C778" s="1015">
        <v>1049</v>
      </c>
      <c r="D778" s="976" t="s">
        <v>1690</v>
      </c>
      <c r="E778" s="976" t="s">
        <v>1701</v>
      </c>
      <c r="F778" s="973">
        <v>12782000</v>
      </c>
      <c r="G778" s="974"/>
      <c r="H778" s="974">
        <v>12782000</v>
      </c>
      <c r="I778" s="974"/>
      <c r="J778" s="975"/>
      <c r="K778" s="974"/>
      <c r="L778" s="974">
        <f t="shared" si="54"/>
        <v>12782000</v>
      </c>
      <c r="M778" s="976"/>
      <c r="N778" s="1013">
        <f t="shared" si="52"/>
        <v>0</v>
      </c>
      <c r="O778" s="976"/>
      <c r="P778" s="977"/>
      <c r="Q778" s="974"/>
      <c r="R778" s="1147"/>
      <c r="S778" s="974"/>
      <c r="T778" s="976"/>
      <c r="X778" s="686"/>
      <c r="Y778" s="686"/>
    </row>
    <row r="779" spans="1:25" x14ac:dyDescent="0.25">
      <c r="B779" s="1187" t="s">
        <v>1700</v>
      </c>
      <c r="C779" s="1015">
        <v>1049</v>
      </c>
      <c r="D779" s="976" t="s">
        <v>1702</v>
      </c>
      <c r="E779" s="976" t="s">
        <v>1703</v>
      </c>
      <c r="F779" s="973">
        <v>60000000</v>
      </c>
      <c r="G779" s="974"/>
      <c r="H779" s="974">
        <v>30000000</v>
      </c>
      <c r="I779" s="974">
        <v>30000000</v>
      </c>
      <c r="J779" s="975"/>
      <c r="K779" s="974"/>
      <c r="L779" s="974">
        <f t="shared" si="54"/>
        <v>60000000</v>
      </c>
      <c r="M779" s="976"/>
      <c r="N779" s="1013">
        <f t="shared" si="52"/>
        <v>0</v>
      </c>
      <c r="O779" s="976"/>
      <c r="P779" s="977"/>
      <c r="Q779" s="974"/>
      <c r="R779" s="1147"/>
      <c r="S779" s="974"/>
      <c r="T779" s="976"/>
      <c r="V779" s="1000"/>
      <c r="W779" s="1000"/>
      <c r="X779" s="686"/>
      <c r="Y779" s="686"/>
    </row>
    <row r="780" spans="1:25" x14ac:dyDescent="0.25">
      <c r="B780" s="1113" t="s">
        <v>1700</v>
      </c>
      <c r="C780" s="1129">
        <v>1049</v>
      </c>
      <c r="D780" s="976" t="s">
        <v>1704</v>
      </c>
      <c r="E780" s="976" t="s">
        <v>887</v>
      </c>
      <c r="F780" s="973">
        <v>14000000</v>
      </c>
      <c r="G780" s="974"/>
      <c r="H780" s="974">
        <v>14000000</v>
      </c>
      <c r="I780" s="974"/>
      <c r="J780" s="975"/>
      <c r="K780" s="974"/>
      <c r="L780" s="1003">
        <f t="shared" si="54"/>
        <v>14000000</v>
      </c>
      <c r="M780" s="976"/>
      <c r="N780" s="1013">
        <f t="shared" si="52"/>
        <v>0</v>
      </c>
      <c r="O780" s="976"/>
      <c r="P780" s="977"/>
      <c r="Q780" s="974"/>
      <c r="R780" s="1147"/>
      <c r="S780" s="974"/>
      <c r="T780" s="976"/>
      <c r="V780" s="1000"/>
      <c r="W780" s="1000"/>
      <c r="X780" s="686"/>
      <c r="Y780" s="686"/>
    </row>
    <row r="781" spans="1:25" x14ac:dyDescent="0.25">
      <c r="B781" s="1113" t="s">
        <v>1700</v>
      </c>
      <c r="C781" s="1129">
        <v>1049</v>
      </c>
      <c r="D781" s="976" t="s">
        <v>1269</v>
      </c>
      <c r="E781" s="976" t="s">
        <v>1568</v>
      </c>
      <c r="F781" s="973">
        <v>5340000</v>
      </c>
      <c r="G781" s="974"/>
      <c r="H781" s="974">
        <v>5340000</v>
      </c>
      <c r="I781" s="974"/>
      <c r="J781" s="975"/>
      <c r="K781" s="974"/>
      <c r="L781" s="1003">
        <f t="shared" si="54"/>
        <v>5340000</v>
      </c>
      <c r="M781" s="976"/>
      <c r="N781" s="1013">
        <f t="shared" si="52"/>
        <v>0</v>
      </c>
      <c r="O781" s="976"/>
      <c r="P781" s="977"/>
      <c r="Q781" s="974"/>
      <c r="R781" s="1147"/>
      <c r="S781" s="974"/>
      <c r="T781" s="976"/>
      <c r="V781" s="1000"/>
      <c r="W781" s="1000"/>
      <c r="X781" s="686"/>
      <c r="Y781" s="686"/>
    </row>
    <row r="782" spans="1:25" x14ac:dyDescent="0.25">
      <c r="B782" s="1113" t="s">
        <v>1700</v>
      </c>
      <c r="C782" s="1129">
        <v>1049</v>
      </c>
      <c r="D782" s="976" t="s">
        <v>1705</v>
      </c>
      <c r="E782" s="976" t="s">
        <v>1400</v>
      </c>
      <c r="F782" s="973">
        <v>24145000</v>
      </c>
      <c r="G782" s="974"/>
      <c r="H782" s="974">
        <v>24145000</v>
      </c>
      <c r="I782" s="974"/>
      <c r="J782" s="975"/>
      <c r="K782" s="974"/>
      <c r="L782" s="1003">
        <f t="shared" si="54"/>
        <v>24145000</v>
      </c>
      <c r="M782" s="976"/>
      <c r="N782" s="1013">
        <f t="shared" si="52"/>
        <v>0</v>
      </c>
      <c r="O782" s="976"/>
      <c r="P782" s="977"/>
      <c r="Q782" s="974"/>
      <c r="R782" s="1147"/>
      <c r="S782" s="974"/>
      <c r="T782" s="976"/>
      <c r="V782" s="1000"/>
      <c r="W782" s="1000"/>
      <c r="X782" s="686"/>
      <c r="Y782" s="686"/>
    </row>
    <row r="783" spans="1:25" x14ac:dyDescent="0.25">
      <c r="B783" s="1113" t="s">
        <v>1700</v>
      </c>
      <c r="C783" s="1129">
        <v>1049</v>
      </c>
      <c r="D783" s="976" t="s">
        <v>947</v>
      </c>
      <c r="E783" s="976"/>
      <c r="F783" s="973">
        <f>W783</f>
        <v>860000</v>
      </c>
      <c r="G783" s="974"/>
      <c r="H783" s="974">
        <v>860000</v>
      </c>
      <c r="I783" s="974"/>
      <c r="J783" s="975"/>
      <c r="K783" s="974"/>
      <c r="L783" s="1003">
        <f t="shared" si="54"/>
        <v>860000</v>
      </c>
      <c r="M783" s="976"/>
      <c r="N783" s="1013">
        <f t="shared" si="52"/>
        <v>0</v>
      </c>
      <c r="O783" s="976"/>
      <c r="P783" s="977"/>
      <c r="Q783" s="974"/>
      <c r="R783" s="1147"/>
      <c r="S783" s="974"/>
      <c r="T783" s="976"/>
      <c r="V783" s="1000" t="s">
        <v>948</v>
      </c>
      <c r="W783" s="1000">
        <f>SUM(W777:W779)</f>
        <v>860000</v>
      </c>
      <c r="X783" s="686"/>
      <c r="Y783" s="686"/>
    </row>
    <row r="784" spans="1:25" ht="15.75" x14ac:dyDescent="0.25">
      <c r="A784" s="723"/>
      <c r="B784" s="720" t="s">
        <v>997</v>
      </c>
      <c r="C784" s="720"/>
      <c r="D784" s="699" t="s">
        <v>1706</v>
      </c>
      <c r="E784" s="992"/>
      <c r="F784" s="993"/>
      <c r="G784" s="994"/>
      <c r="H784" s="994"/>
      <c r="I784" s="994"/>
      <c r="J784" s="995"/>
      <c r="K784" s="994"/>
      <c r="L784" s="735">
        <f>SUM(L777:L783)</f>
        <v>152127000</v>
      </c>
      <c r="M784" s="992"/>
      <c r="N784" s="1042">
        <f>SUM(N777:N779)</f>
        <v>0</v>
      </c>
      <c r="O784" s="992"/>
      <c r="P784" s="998"/>
      <c r="Q784" s="994"/>
      <c r="R784" s="1153"/>
      <c r="S784" s="994"/>
      <c r="T784" s="992"/>
      <c r="X784" s="686"/>
      <c r="Y784" s="686"/>
    </row>
    <row r="785" spans="1:25" x14ac:dyDescent="0.25">
      <c r="A785" s="686">
        <v>37</v>
      </c>
      <c r="B785" s="1145" t="s">
        <v>1707</v>
      </c>
      <c r="C785" s="1187"/>
      <c r="D785" s="976" t="s">
        <v>1708</v>
      </c>
      <c r="E785" s="985" t="s">
        <v>1709</v>
      </c>
      <c r="F785" s="973">
        <v>8000000</v>
      </c>
      <c r="G785" s="974"/>
      <c r="H785" s="974">
        <v>4000000</v>
      </c>
      <c r="I785" s="974"/>
      <c r="J785" s="975"/>
      <c r="K785" s="974"/>
      <c r="L785" s="974">
        <f>SUM(H785:K785)</f>
        <v>4000000</v>
      </c>
      <c r="M785" s="976"/>
      <c r="N785" s="1013">
        <f t="shared" si="52"/>
        <v>4000000</v>
      </c>
      <c r="O785" s="976"/>
      <c r="P785" s="977"/>
      <c r="Q785" s="974"/>
      <c r="R785" s="1147"/>
      <c r="S785" s="974"/>
      <c r="T785" s="976"/>
      <c r="V785" s="687" t="s">
        <v>1710</v>
      </c>
      <c r="W785" s="687">
        <v>1500000</v>
      </c>
      <c r="X785" s="686"/>
      <c r="Y785" s="686"/>
    </row>
    <row r="786" spans="1:25" x14ac:dyDescent="0.25">
      <c r="B786" s="1145" t="s">
        <v>1707</v>
      </c>
      <c r="C786" s="1187"/>
      <c r="D786" s="976" t="s">
        <v>675</v>
      </c>
      <c r="E786" s="976" t="s">
        <v>1711</v>
      </c>
      <c r="F786" s="973">
        <v>1000000</v>
      </c>
      <c r="G786" s="974"/>
      <c r="H786" s="974">
        <v>1000000</v>
      </c>
      <c r="I786" s="974"/>
      <c r="J786" s="975"/>
      <c r="K786" s="974"/>
      <c r="L786" s="974">
        <f>SUM(H786:K786)</f>
        <v>1000000</v>
      </c>
      <c r="M786" s="976"/>
      <c r="N786" s="1013">
        <f t="shared" si="52"/>
        <v>0</v>
      </c>
      <c r="O786" s="976"/>
      <c r="P786" s="977"/>
      <c r="Q786" s="974"/>
      <c r="R786" s="1147"/>
      <c r="S786" s="974"/>
      <c r="T786" s="976"/>
      <c r="X786" s="686"/>
      <c r="Y786" s="686"/>
    </row>
    <row r="787" spans="1:25" x14ac:dyDescent="0.25">
      <c r="B787" s="1145" t="s">
        <v>1707</v>
      </c>
      <c r="C787" s="1187"/>
      <c r="D787" s="976" t="s">
        <v>1712</v>
      </c>
      <c r="E787" s="976" t="s">
        <v>1713</v>
      </c>
      <c r="F787" s="973">
        <v>2404000</v>
      </c>
      <c r="G787" s="974"/>
      <c r="H787" s="974">
        <v>2404000</v>
      </c>
      <c r="I787" s="974"/>
      <c r="J787" s="975"/>
      <c r="K787" s="974"/>
      <c r="L787" s="974">
        <f>SUM(H787:K787)</f>
        <v>2404000</v>
      </c>
      <c r="M787" s="976"/>
      <c r="N787" s="1013">
        <f t="shared" si="52"/>
        <v>0</v>
      </c>
      <c r="O787" s="976"/>
      <c r="P787" s="977"/>
      <c r="Q787" s="974"/>
      <c r="R787" s="1147"/>
      <c r="S787" s="974"/>
      <c r="T787" s="976"/>
      <c r="X787" s="686"/>
      <c r="Y787" s="686"/>
    </row>
    <row r="788" spans="1:25" x14ac:dyDescent="0.25">
      <c r="B788" s="1145" t="s">
        <v>1707</v>
      </c>
      <c r="C788" s="1187"/>
      <c r="D788" s="976"/>
      <c r="E788" s="976"/>
      <c r="F788" s="973"/>
      <c r="G788" s="974"/>
      <c r="H788" s="974"/>
      <c r="I788" s="974"/>
      <c r="J788" s="975"/>
      <c r="K788" s="974"/>
      <c r="L788" s="974"/>
      <c r="M788" s="976"/>
      <c r="N788" s="1013"/>
      <c r="O788" s="976"/>
      <c r="P788" s="977"/>
      <c r="Q788" s="974"/>
      <c r="R788" s="1147"/>
      <c r="S788" s="974"/>
      <c r="T788" s="976"/>
      <c r="X788" s="686"/>
      <c r="Y788" s="686"/>
    </row>
    <row r="789" spans="1:25" x14ac:dyDescent="0.25">
      <c r="B789" s="1145" t="s">
        <v>1707</v>
      </c>
      <c r="C789" s="1187"/>
      <c r="D789" s="976"/>
      <c r="E789" s="976"/>
      <c r="F789" s="973"/>
      <c r="G789" s="974"/>
      <c r="H789" s="974"/>
      <c r="I789" s="974"/>
      <c r="J789" s="975"/>
      <c r="K789" s="974"/>
      <c r="L789" s="974"/>
      <c r="M789" s="976"/>
      <c r="N789" s="1013"/>
      <c r="O789" s="976"/>
      <c r="P789" s="977"/>
      <c r="Q789" s="974"/>
      <c r="R789" s="1147"/>
      <c r="S789" s="974"/>
      <c r="T789" s="976"/>
      <c r="X789" s="686"/>
      <c r="Y789" s="686"/>
    </row>
    <row r="790" spans="1:25" x14ac:dyDescent="0.25">
      <c r="B790" s="1145" t="s">
        <v>1707</v>
      </c>
      <c r="C790" s="1187"/>
      <c r="D790" s="976"/>
      <c r="E790" s="976"/>
      <c r="F790" s="973"/>
      <c r="G790" s="974"/>
      <c r="H790" s="974"/>
      <c r="I790" s="974"/>
      <c r="J790" s="975"/>
      <c r="K790" s="974"/>
      <c r="L790" s="974"/>
      <c r="M790" s="976"/>
      <c r="N790" s="1013"/>
      <c r="O790" s="976"/>
      <c r="P790" s="977"/>
      <c r="Q790" s="974"/>
      <c r="R790" s="1147"/>
      <c r="S790" s="974"/>
      <c r="T790" s="976"/>
      <c r="X790" s="686"/>
      <c r="Y790" s="686"/>
    </row>
    <row r="791" spans="1:25" x14ac:dyDescent="0.25">
      <c r="B791" s="1145" t="s">
        <v>1707</v>
      </c>
      <c r="C791" s="1187"/>
      <c r="D791" s="976" t="s">
        <v>947</v>
      </c>
      <c r="E791" s="976"/>
      <c r="F791" s="973">
        <f>W791</f>
        <v>1500000</v>
      </c>
      <c r="G791" s="974"/>
      <c r="H791" s="974">
        <v>1500000</v>
      </c>
      <c r="I791" s="974"/>
      <c r="J791" s="975"/>
      <c r="K791" s="974"/>
      <c r="L791" s="974">
        <f>SUM(H791:K791)</f>
        <v>1500000</v>
      </c>
      <c r="M791" s="976"/>
      <c r="N791" s="1013">
        <f t="shared" si="52"/>
        <v>0</v>
      </c>
      <c r="O791" s="976"/>
      <c r="P791" s="977"/>
      <c r="Q791" s="974"/>
      <c r="R791" s="1147"/>
      <c r="S791" s="974"/>
      <c r="T791" s="976"/>
      <c r="V791" s="1000" t="s">
        <v>948</v>
      </c>
      <c r="W791" s="1000">
        <f>SUM(W785:W787)</f>
        <v>1500000</v>
      </c>
      <c r="X791" s="686"/>
      <c r="Y791" s="686"/>
    </row>
    <row r="792" spans="1:25" ht="15.75" x14ac:dyDescent="0.25">
      <c r="A792" s="723"/>
      <c r="B792" s="720" t="s">
        <v>997</v>
      </c>
      <c r="C792" s="720"/>
      <c r="D792" s="699" t="s">
        <v>1714</v>
      </c>
      <c r="E792" s="992"/>
      <c r="F792" s="993"/>
      <c r="G792" s="994"/>
      <c r="H792" s="994"/>
      <c r="I792" s="994"/>
      <c r="J792" s="995"/>
      <c r="K792" s="994"/>
      <c r="L792" s="735">
        <f>SUM(L785:L791)</f>
        <v>8904000</v>
      </c>
      <c r="M792" s="992"/>
      <c r="N792" s="1042">
        <f>SUM(N785:N791)</f>
        <v>4000000</v>
      </c>
      <c r="O792" s="992"/>
      <c r="P792" s="998"/>
      <c r="Q792" s="994"/>
      <c r="R792" s="1153"/>
      <c r="S792" s="994"/>
      <c r="T792" s="992"/>
      <c r="X792" s="686"/>
      <c r="Y792" s="686"/>
    </row>
    <row r="793" spans="1:25" x14ac:dyDescent="0.25">
      <c r="A793" s="686">
        <v>38</v>
      </c>
      <c r="B793" s="1187" t="s">
        <v>1715</v>
      </c>
      <c r="C793" s="1015">
        <v>1063</v>
      </c>
      <c r="D793" s="976" t="s">
        <v>1688</v>
      </c>
      <c r="E793" s="985" t="s">
        <v>1716</v>
      </c>
      <c r="F793" s="973">
        <v>144168200</v>
      </c>
      <c r="G793" s="974"/>
      <c r="H793" s="974">
        <v>144168200</v>
      </c>
      <c r="I793" s="974"/>
      <c r="J793" s="975"/>
      <c r="K793" s="974"/>
      <c r="L793" s="974">
        <f>SUM(H793:K793)</f>
        <v>144168200</v>
      </c>
      <c r="M793" s="976"/>
      <c r="N793" s="1013">
        <f t="shared" si="52"/>
        <v>0</v>
      </c>
      <c r="O793" s="976"/>
      <c r="P793" s="977"/>
      <c r="Q793" s="974"/>
      <c r="R793" s="1147"/>
      <c r="S793" s="974"/>
      <c r="T793" s="976"/>
      <c r="V793" s="687" t="s">
        <v>1407</v>
      </c>
      <c r="W793" s="687">
        <v>600000</v>
      </c>
      <c r="X793" s="686"/>
      <c r="Y793" s="686"/>
    </row>
    <row r="794" spans="1:25" x14ac:dyDescent="0.25">
      <c r="B794" s="1187" t="s">
        <v>1715</v>
      </c>
      <c r="C794" s="1015">
        <v>1063</v>
      </c>
      <c r="D794" s="976" t="s">
        <v>1560</v>
      </c>
      <c r="E794" s="976" t="s">
        <v>1480</v>
      </c>
      <c r="F794" s="973">
        <v>1515008</v>
      </c>
      <c r="G794" s="974"/>
      <c r="H794" s="974">
        <v>1515008</v>
      </c>
      <c r="I794" s="974"/>
      <c r="J794" s="975"/>
      <c r="K794" s="974"/>
      <c r="L794" s="974">
        <f>SUM(H794:K794)</f>
        <v>1515008</v>
      </c>
      <c r="M794" s="976"/>
      <c r="N794" s="1013">
        <f t="shared" si="52"/>
        <v>0</v>
      </c>
      <c r="O794" s="976"/>
      <c r="P794" s="977"/>
      <c r="Q794" s="974"/>
      <c r="R794" s="1147"/>
      <c r="S794" s="974"/>
      <c r="T794" s="976"/>
      <c r="V794" s="687" t="s">
        <v>1408</v>
      </c>
      <c r="W794" s="687">
        <v>1800000</v>
      </c>
      <c r="X794" s="686"/>
      <c r="Y794" s="686"/>
    </row>
    <row r="795" spans="1:25" x14ac:dyDescent="0.25">
      <c r="B795" s="1187" t="s">
        <v>1715</v>
      </c>
      <c r="C795" s="1015">
        <v>1063</v>
      </c>
      <c r="D795" s="976" t="s">
        <v>1625</v>
      </c>
      <c r="E795" s="976" t="s">
        <v>1480</v>
      </c>
      <c r="F795" s="973">
        <v>387000</v>
      </c>
      <c r="G795" s="974"/>
      <c r="H795" s="974">
        <v>387000</v>
      </c>
      <c r="I795" s="974"/>
      <c r="J795" s="975"/>
      <c r="K795" s="974"/>
      <c r="L795" s="974">
        <f t="shared" ref="L795:L827" si="55">SUM(H795:K795)</f>
        <v>387000</v>
      </c>
      <c r="M795" s="976"/>
      <c r="N795" s="1013">
        <f t="shared" si="52"/>
        <v>0</v>
      </c>
      <c r="O795" s="976"/>
      <c r="P795" s="977"/>
      <c r="Q795" s="974"/>
      <c r="R795" s="1147"/>
      <c r="S795" s="974"/>
      <c r="T795" s="976"/>
      <c r="V795" s="687" t="s">
        <v>1411</v>
      </c>
      <c r="W795" s="687">
        <v>2100000</v>
      </c>
      <c r="X795" s="686"/>
      <c r="Y795" s="686"/>
    </row>
    <row r="796" spans="1:25" x14ac:dyDescent="0.25">
      <c r="B796" s="1187" t="s">
        <v>1715</v>
      </c>
      <c r="C796" s="1015">
        <v>1063</v>
      </c>
      <c r="D796" s="976" t="s">
        <v>1717</v>
      </c>
      <c r="E796" s="976" t="s">
        <v>1507</v>
      </c>
      <c r="F796" s="973">
        <v>1225000</v>
      </c>
      <c r="G796" s="974"/>
      <c r="H796" s="974">
        <v>1225000</v>
      </c>
      <c r="I796" s="974"/>
      <c r="J796" s="975"/>
      <c r="K796" s="974"/>
      <c r="L796" s="974">
        <f t="shared" si="55"/>
        <v>1225000</v>
      </c>
      <c r="M796" s="976"/>
      <c r="N796" s="1013">
        <f t="shared" si="52"/>
        <v>0</v>
      </c>
      <c r="O796" s="976"/>
      <c r="P796" s="977"/>
      <c r="Q796" s="974"/>
      <c r="R796" s="1147"/>
      <c r="S796" s="974"/>
      <c r="T796" s="976"/>
      <c r="V796" s="687" t="s">
        <v>1692</v>
      </c>
      <c r="W796" s="687">
        <v>2538000</v>
      </c>
      <c r="X796" s="686"/>
      <c r="Y796" s="686"/>
    </row>
    <row r="797" spans="1:25" x14ac:dyDescent="0.25">
      <c r="B797" s="1187" t="s">
        <v>1715</v>
      </c>
      <c r="C797" s="1015">
        <v>1063</v>
      </c>
      <c r="D797" s="976" t="s">
        <v>1718</v>
      </c>
      <c r="E797" s="976" t="s">
        <v>1437</v>
      </c>
      <c r="F797" s="973">
        <v>8518000</v>
      </c>
      <c r="G797" s="974"/>
      <c r="H797" s="974">
        <v>8518000</v>
      </c>
      <c r="I797" s="974"/>
      <c r="J797" s="975"/>
      <c r="K797" s="974"/>
      <c r="L797" s="974">
        <f t="shared" si="55"/>
        <v>8518000</v>
      </c>
      <c r="M797" s="976"/>
      <c r="N797" s="1013">
        <f t="shared" si="52"/>
        <v>0</v>
      </c>
      <c r="O797" s="976"/>
      <c r="P797" s="977"/>
      <c r="Q797" s="974"/>
      <c r="R797" s="1147"/>
      <c r="S797" s="974"/>
      <c r="T797" s="976"/>
      <c r="V797" s="687" t="s">
        <v>1470</v>
      </c>
      <c r="W797" s="687">
        <v>2370000</v>
      </c>
      <c r="X797" s="686"/>
      <c r="Y797" s="686"/>
    </row>
    <row r="798" spans="1:25" x14ac:dyDescent="0.25">
      <c r="B798" s="1187" t="s">
        <v>1715</v>
      </c>
      <c r="C798" s="1015">
        <v>1063</v>
      </c>
      <c r="D798" s="976" t="s">
        <v>1345</v>
      </c>
      <c r="E798" s="976" t="s">
        <v>1423</v>
      </c>
      <c r="F798" s="973">
        <v>68196290</v>
      </c>
      <c r="G798" s="974"/>
      <c r="H798" s="974">
        <v>20458887</v>
      </c>
      <c r="I798" s="974">
        <v>27278516</v>
      </c>
      <c r="J798" s="975"/>
      <c r="K798" s="974"/>
      <c r="L798" s="974">
        <f t="shared" si="55"/>
        <v>47737403</v>
      </c>
      <c r="M798" s="976"/>
      <c r="N798" s="1013">
        <f t="shared" si="52"/>
        <v>20458887</v>
      </c>
      <c r="O798" s="976"/>
      <c r="P798" s="977"/>
      <c r="Q798" s="974"/>
      <c r="R798" s="1147"/>
      <c r="S798" s="974"/>
      <c r="T798" s="976"/>
      <c r="V798" s="687" t="s">
        <v>1710</v>
      </c>
      <c r="W798" s="687">
        <v>3354000</v>
      </c>
      <c r="X798" s="686"/>
      <c r="Y798" s="686"/>
    </row>
    <row r="799" spans="1:25" x14ac:dyDescent="0.25">
      <c r="B799" s="1187" t="s">
        <v>1715</v>
      </c>
      <c r="C799" s="1015">
        <v>1063</v>
      </c>
      <c r="D799" s="976" t="s">
        <v>1719</v>
      </c>
      <c r="E799" s="976" t="s">
        <v>1232</v>
      </c>
      <c r="F799" s="973">
        <v>5000000</v>
      </c>
      <c r="G799" s="974"/>
      <c r="H799" s="974">
        <v>5000000</v>
      </c>
      <c r="I799" s="974"/>
      <c r="J799" s="975"/>
      <c r="K799" s="974"/>
      <c r="L799" s="974">
        <f t="shared" si="55"/>
        <v>5000000</v>
      </c>
      <c r="M799" s="976"/>
      <c r="N799" s="1013">
        <f t="shared" si="52"/>
        <v>0</v>
      </c>
      <c r="O799" s="976"/>
      <c r="P799" s="977"/>
      <c r="Q799" s="974"/>
      <c r="R799" s="1147"/>
      <c r="S799" s="974"/>
      <c r="T799" s="976"/>
      <c r="V799" s="687" t="s">
        <v>1720</v>
      </c>
      <c r="W799" s="687">
        <v>1812000</v>
      </c>
      <c r="X799" s="686"/>
      <c r="Y799" s="686"/>
    </row>
    <row r="800" spans="1:25" x14ac:dyDescent="0.25">
      <c r="B800" s="1187" t="s">
        <v>1715</v>
      </c>
      <c r="C800" s="1015">
        <v>1063</v>
      </c>
      <c r="D800" s="976" t="s">
        <v>1416</v>
      </c>
      <c r="E800" s="976" t="s">
        <v>1110</v>
      </c>
      <c r="F800" s="973">
        <v>109734240</v>
      </c>
      <c r="G800" s="974"/>
      <c r="H800" s="974">
        <v>32920272</v>
      </c>
      <c r="I800" s="974">
        <v>43893696</v>
      </c>
      <c r="J800" s="975"/>
      <c r="K800" s="974"/>
      <c r="L800" s="974">
        <f t="shared" si="55"/>
        <v>76813968</v>
      </c>
      <c r="M800" s="976"/>
      <c r="N800" s="1013">
        <f t="shared" si="52"/>
        <v>32920272</v>
      </c>
      <c r="O800" s="976"/>
      <c r="P800" s="977"/>
      <c r="Q800" s="974"/>
      <c r="R800" s="1147"/>
      <c r="S800" s="974"/>
      <c r="T800" s="976" t="s">
        <v>1323</v>
      </c>
      <c r="X800" s="686"/>
      <c r="Y800" s="686"/>
    </row>
    <row r="801" spans="2:25" x14ac:dyDescent="0.25">
      <c r="B801" s="1187" t="s">
        <v>1715</v>
      </c>
      <c r="C801" s="1015">
        <v>1063</v>
      </c>
      <c r="D801" s="976" t="s">
        <v>1721</v>
      </c>
      <c r="E801" s="976" t="s">
        <v>1425</v>
      </c>
      <c r="F801" s="973">
        <v>42097000</v>
      </c>
      <c r="G801" s="974"/>
      <c r="H801" s="974">
        <v>21048500</v>
      </c>
      <c r="I801" s="974"/>
      <c r="J801" s="975"/>
      <c r="K801" s="974"/>
      <c r="L801" s="974">
        <f t="shared" si="55"/>
        <v>21048500</v>
      </c>
      <c r="M801" s="976"/>
      <c r="N801" s="1013">
        <f t="shared" si="52"/>
        <v>21048500</v>
      </c>
      <c r="O801" s="976"/>
      <c r="P801" s="977"/>
      <c r="Q801" s="974"/>
      <c r="R801" s="1147"/>
      <c r="S801" s="974"/>
      <c r="T801" s="976" t="s">
        <v>1323</v>
      </c>
      <c r="X801" s="686"/>
      <c r="Y801" s="686"/>
    </row>
    <row r="802" spans="2:25" x14ac:dyDescent="0.25">
      <c r="B802" s="1187" t="s">
        <v>1715</v>
      </c>
      <c r="C802" s="1015">
        <v>1063</v>
      </c>
      <c r="D802" s="976" t="s">
        <v>1722</v>
      </c>
      <c r="E802" s="976" t="s">
        <v>1514</v>
      </c>
      <c r="F802" s="973">
        <v>160000000</v>
      </c>
      <c r="G802" s="974"/>
      <c r="H802" s="974">
        <v>64000000</v>
      </c>
      <c r="I802" s="974">
        <v>96000000</v>
      </c>
      <c r="J802" s="975"/>
      <c r="K802" s="974"/>
      <c r="L802" s="974">
        <f t="shared" si="55"/>
        <v>160000000</v>
      </c>
      <c r="M802" s="976"/>
      <c r="N802" s="1013">
        <f t="shared" si="52"/>
        <v>0</v>
      </c>
      <c r="O802" s="976"/>
      <c r="P802" s="977"/>
      <c r="Q802" s="974"/>
      <c r="R802" s="1147"/>
      <c r="S802" s="974"/>
      <c r="T802" s="976"/>
      <c r="X802" s="686"/>
      <c r="Y802" s="686"/>
    </row>
    <row r="803" spans="2:25" x14ac:dyDescent="0.25">
      <c r="B803" s="1187" t="s">
        <v>1715</v>
      </c>
      <c r="C803" s="1015">
        <v>1063</v>
      </c>
      <c r="D803" s="976" t="s">
        <v>1427</v>
      </c>
      <c r="E803" s="976" t="s">
        <v>1237</v>
      </c>
      <c r="F803" s="973">
        <v>57313280</v>
      </c>
      <c r="G803" s="974"/>
      <c r="H803" s="974">
        <v>17193984</v>
      </c>
      <c r="I803" s="974">
        <v>40119296</v>
      </c>
      <c r="J803" s="975"/>
      <c r="K803" s="974"/>
      <c r="L803" s="974">
        <f t="shared" si="55"/>
        <v>57313280</v>
      </c>
      <c r="M803" s="976"/>
      <c r="N803" s="1013">
        <f t="shared" si="52"/>
        <v>0</v>
      </c>
      <c r="O803" s="976"/>
      <c r="P803" s="977"/>
      <c r="Q803" s="974">
        <v>57313297</v>
      </c>
      <c r="R803" s="1147" t="s">
        <v>1723</v>
      </c>
      <c r="S803" s="974"/>
      <c r="T803" s="976" t="s">
        <v>1724</v>
      </c>
      <c r="X803" s="686"/>
      <c r="Y803" s="686"/>
    </row>
    <row r="804" spans="2:25" x14ac:dyDescent="0.25">
      <c r="B804" s="1187" t="s">
        <v>1715</v>
      </c>
      <c r="C804" s="1015">
        <v>1063</v>
      </c>
      <c r="D804" s="976" t="s">
        <v>1725</v>
      </c>
      <c r="E804" s="976" t="s">
        <v>1354</v>
      </c>
      <c r="F804" s="973">
        <v>4780000</v>
      </c>
      <c r="G804" s="974"/>
      <c r="H804" s="974">
        <v>1434000</v>
      </c>
      <c r="I804" s="974">
        <v>3346000</v>
      </c>
      <c r="J804" s="975"/>
      <c r="K804" s="974"/>
      <c r="L804" s="974">
        <f t="shared" si="55"/>
        <v>4780000</v>
      </c>
      <c r="M804" s="976"/>
      <c r="N804" s="1013">
        <f t="shared" si="52"/>
        <v>0</v>
      </c>
      <c r="O804" s="976"/>
      <c r="P804" s="977"/>
      <c r="Q804" s="974"/>
      <c r="R804" s="1147"/>
      <c r="S804" s="974"/>
      <c r="T804" s="976"/>
      <c r="X804" s="686"/>
      <c r="Y804" s="686"/>
    </row>
    <row r="805" spans="2:25" x14ac:dyDescent="0.25">
      <c r="B805" s="1187" t="s">
        <v>1715</v>
      </c>
      <c r="C805" s="1015">
        <v>1063</v>
      </c>
      <c r="D805" s="976" t="s">
        <v>1476</v>
      </c>
      <c r="E805" s="976" t="s">
        <v>1726</v>
      </c>
      <c r="F805" s="973">
        <v>10159600</v>
      </c>
      <c r="G805" s="974"/>
      <c r="H805" s="974">
        <v>4618000</v>
      </c>
      <c r="I805" s="974">
        <v>5541600</v>
      </c>
      <c r="J805" s="975"/>
      <c r="K805" s="974"/>
      <c r="L805" s="974">
        <f t="shared" si="55"/>
        <v>10159600</v>
      </c>
      <c r="M805" s="976"/>
      <c r="N805" s="1013">
        <f t="shared" si="52"/>
        <v>0</v>
      </c>
      <c r="O805" s="976"/>
      <c r="P805" s="977"/>
      <c r="Q805" s="974"/>
      <c r="R805" s="1147"/>
      <c r="S805" s="974" t="s">
        <v>1417</v>
      </c>
      <c r="T805" s="976"/>
      <c r="X805" s="686"/>
      <c r="Y805" s="686"/>
    </row>
    <row r="806" spans="2:25" x14ac:dyDescent="0.25">
      <c r="B806" s="1187" t="s">
        <v>1715</v>
      </c>
      <c r="C806" s="1015">
        <v>1063</v>
      </c>
      <c r="D806" s="976" t="s">
        <v>1727</v>
      </c>
      <c r="E806" s="976" t="s">
        <v>1728</v>
      </c>
      <c r="F806" s="973">
        <v>73970000</v>
      </c>
      <c r="G806" s="974">
        <v>81150000</v>
      </c>
      <c r="H806" s="974">
        <v>36985000</v>
      </c>
      <c r="I806" s="974">
        <v>30000000</v>
      </c>
      <c r="J806" s="975">
        <v>14165000</v>
      </c>
      <c r="K806" s="974"/>
      <c r="L806" s="974">
        <f t="shared" si="55"/>
        <v>81150000</v>
      </c>
      <c r="M806" s="976"/>
      <c r="N806" s="1013">
        <f t="shared" si="52"/>
        <v>0</v>
      </c>
      <c r="O806" s="976"/>
      <c r="P806" s="977"/>
      <c r="Q806" s="974"/>
      <c r="R806" s="1147"/>
      <c r="S806" s="974"/>
      <c r="T806" s="976"/>
      <c r="X806" s="686"/>
      <c r="Y806" s="686"/>
    </row>
    <row r="807" spans="2:25" x14ac:dyDescent="0.25">
      <c r="B807" s="1187" t="s">
        <v>1715</v>
      </c>
      <c r="C807" s="1015">
        <v>1063</v>
      </c>
      <c r="D807" s="976" t="s">
        <v>1729</v>
      </c>
      <c r="E807" s="976" t="s">
        <v>1730</v>
      </c>
      <c r="F807" s="973">
        <v>5578100</v>
      </c>
      <c r="G807" s="974"/>
      <c r="H807" s="974">
        <v>5578100</v>
      </c>
      <c r="I807" s="974"/>
      <c r="J807" s="975"/>
      <c r="K807" s="974"/>
      <c r="L807" s="974">
        <f t="shared" si="55"/>
        <v>5578100</v>
      </c>
      <c r="M807" s="976"/>
      <c r="N807" s="1013">
        <f t="shared" si="52"/>
        <v>0</v>
      </c>
      <c r="O807" s="976"/>
      <c r="P807" s="977"/>
      <c r="Q807" s="974"/>
      <c r="R807" s="1147"/>
      <c r="S807" s="974"/>
      <c r="T807" s="976"/>
      <c r="X807" s="686"/>
      <c r="Y807" s="686"/>
    </row>
    <row r="808" spans="2:25" x14ac:dyDescent="0.25">
      <c r="B808" s="1187" t="s">
        <v>1715</v>
      </c>
      <c r="C808" s="1015">
        <v>1063</v>
      </c>
      <c r="D808" s="976" t="s">
        <v>1731</v>
      </c>
      <c r="E808" s="976" t="s">
        <v>1726</v>
      </c>
      <c r="F808" s="973">
        <v>23069200</v>
      </c>
      <c r="G808" s="974">
        <v>27365800</v>
      </c>
      <c r="H808" s="974">
        <v>11534600</v>
      </c>
      <c r="I808" s="974">
        <v>15831200</v>
      </c>
      <c r="J808" s="975"/>
      <c r="K808" s="974"/>
      <c r="L808" s="974">
        <f t="shared" si="55"/>
        <v>27365800</v>
      </c>
      <c r="M808" s="976"/>
      <c r="N808" s="1013">
        <f t="shared" si="52"/>
        <v>0</v>
      </c>
      <c r="O808" s="976"/>
      <c r="P808" s="977"/>
      <c r="Q808" s="974"/>
      <c r="R808" s="1147"/>
      <c r="S808" s="974" t="s">
        <v>1417</v>
      </c>
      <c r="T808" s="976"/>
      <c r="X808" s="686"/>
      <c r="Y808" s="686"/>
    </row>
    <row r="809" spans="2:25" x14ac:dyDescent="0.25">
      <c r="B809" s="1187" t="s">
        <v>1715</v>
      </c>
      <c r="C809" s="1015">
        <v>1063</v>
      </c>
      <c r="D809" s="976" t="s">
        <v>1732</v>
      </c>
      <c r="E809" s="976" t="s">
        <v>1733</v>
      </c>
      <c r="F809" s="973">
        <v>17337600</v>
      </c>
      <c r="G809" s="974"/>
      <c r="H809" s="974">
        <v>17337600</v>
      </c>
      <c r="I809" s="974"/>
      <c r="J809" s="975"/>
      <c r="K809" s="974"/>
      <c r="L809" s="974">
        <f t="shared" si="55"/>
        <v>17337600</v>
      </c>
      <c r="M809" s="976"/>
      <c r="N809" s="1013">
        <f t="shared" si="52"/>
        <v>0</v>
      </c>
      <c r="O809" s="976"/>
      <c r="P809" s="977"/>
      <c r="Q809" s="974"/>
      <c r="R809" s="1147"/>
      <c r="S809" s="974"/>
      <c r="T809" s="976"/>
      <c r="X809" s="686"/>
      <c r="Y809" s="686"/>
    </row>
    <row r="810" spans="2:25" x14ac:dyDescent="0.25">
      <c r="B810" s="1187" t="s">
        <v>1715</v>
      </c>
      <c r="C810" s="1015">
        <v>1063</v>
      </c>
      <c r="D810" s="976" t="s">
        <v>1268</v>
      </c>
      <c r="E810" s="976" t="s">
        <v>1118</v>
      </c>
      <c r="F810" s="973">
        <v>286440000</v>
      </c>
      <c r="G810" s="974">
        <v>351610000</v>
      </c>
      <c r="H810" s="974">
        <v>85932000</v>
      </c>
      <c r="I810" s="974">
        <v>114576000</v>
      </c>
      <c r="J810" s="975"/>
      <c r="K810" s="974"/>
      <c r="L810" s="974">
        <f t="shared" si="55"/>
        <v>200508000</v>
      </c>
      <c r="M810" s="976"/>
      <c r="N810" s="1013">
        <f t="shared" si="52"/>
        <v>151102000</v>
      </c>
      <c r="O810" s="976"/>
      <c r="P810" s="977"/>
      <c r="Q810" s="974"/>
      <c r="R810" s="1147"/>
      <c r="S810" s="974"/>
      <c r="T810" s="976"/>
      <c r="X810" s="686"/>
      <c r="Y810" s="686"/>
    </row>
    <row r="811" spans="2:25" x14ac:dyDescent="0.25">
      <c r="B811" s="1187" t="s">
        <v>1715</v>
      </c>
      <c r="C811" s="1015">
        <v>1063</v>
      </c>
      <c r="D811" s="976" t="s">
        <v>1734</v>
      </c>
      <c r="E811" s="976" t="s">
        <v>1735</v>
      </c>
      <c r="F811" s="973">
        <v>26800000</v>
      </c>
      <c r="G811" s="974">
        <v>27300000</v>
      </c>
      <c r="H811" s="974">
        <v>10000000</v>
      </c>
      <c r="I811" s="974">
        <v>17300000</v>
      </c>
      <c r="J811" s="975"/>
      <c r="K811" s="974"/>
      <c r="L811" s="974">
        <f t="shared" si="55"/>
        <v>27300000</v>
      </c>
      <c r="M811" s="976"/>
      <c r="N811" s="1013">
        <f t="shared" si="52"/>
        <v>0</v>
      </c>
      <c r="O811" s="976"/>
      <c r="P811" s="977"/>
      <c r="Q811" s="974"/>
      <c r="R811" s="1147"/>
      <c r="S811" s="974"/>
      <c r="T811" s="976"/>
      <c r="X811" s="686"/>
      <c r="Y811" s="686"/>
    </row>
    <row r="812" spans="2:25" x14ac:dyDescent="0.25">
      <c r="B812" s="1187" t="s">
        <v>1715</v>
      </c>
      <c r="C812" s="1015">
        <v>1063</v>
      </c>
      <c r="D812" s="976" t="s">
        <v>657</v>
      </c>
      <c r="E812" s="976" t="s">
        <v>1736</v>
      </c>
      <c r="F812" s="973">
        <v>50000000</v>
      </c>
      <c r="G812" s="974"/>
      <c r="H812" s="974">
        <v>25000000</v>
      </c>
      <c r="I812" s="974"/>
      <c r="J812" s="975"/>
      <c r="K812" s="974"/>
      <c r="L812" s="974">
        <f t="shared" si="55"/>
        <v>25000000</v>
      </c>
      <c r="M812" s="976"/>
      <c r="N812" s="1013">
        <f t="shared" si="52"/>
        <v>25000000</v>
      </c>
      <c r="O812" s="976"/>
      <c r="P812" s="977"/>
      <c r="Q812" s="974"/>
      <c r="R812" s="1147"/>
      <c r="S812" s="974"/>
      <c r="T812" s="976"/>
      <c r="X812" s="686"/>
      <c r="Y812" s="686"/>
    </row>
    <row r="813" spans="2:25" x14ac:dyDescent="0.25">
      <c r="B813" s="1187" t="s">
        <v>1715</v>
      </c>
      <c r="C813" s="1015">
        <v>1063</v>
      </c>
      <c r="D813" s="976" t="s">
        <v>1737</v>
      </c>
      <c r="E813" s="976" t="s">
        <v>1738</v>
      </c>
      <c r="F813" s="973">
        <v>26666667</v>
      </c>
      <c r="G813" s="974">
        <v>28410000</v>
      </c>
      <c r="H813" s="974">
        <v>8000000</v>
      </c>
      <c r="I813" s="974">
        <v>15000000</v>
      </c>
      <c r="J813" s="975">
        <v>5410000</v>
      </c>
      <c r="K813" s="974"/>
      <c r="L813" s="974">
        <f t="shared" si="55"/>
        <v>28410000</v>
      </c>
      <c r="M813" s="976"/>
      <c r="N813" s="1013">
        <f t="shared" si="52"/>
        <v>0</v>
      </c>
      <c r="O813" s="976"/>
      <c r="P813" s="977"/>
      <c r="Q813" s="974"/>
      <c r="R813" s="1147"/>
      <c r="S813" s="974"/>
      <c r="T813" s="976"/>
      <c r="X813" s="686"/>
      <c r="Y813" s="686"/>
    </row>
    <row r="814" spans="2:25" x14ac:dyDescent="0.25">
      <c r="B814" s="1187" t="s">
        <v>1715</v>
      </c>
      <c r="C814" s="1015">
        <v>1063</v>
      </c>
      <c r="D814" s="976" t="s">
        <v>1538</v>
      </c>
      <c r="E814" s="976" t="s">
        <v>1739</v>
      </c>
      <c r="F814" s="973">
        <v>11600000</v>
      </c>
      <c r="G814" s="974"/>
      <c r="H814" s="974">
        <v>5800000</v>
      </c>
      <c r="I814" s="974"/>
      <c r="J814" s="975"/>
      <c r="K814" s="974"/>
      <c r="L814" s="974">
        <f t="shared" si="55"/>
        <v>5800000</v>
      </c>
      <c r="M814" s="976"/>
      <c r="N814" s="1013">
        <f t="shared" si="52"/>
        <v>5800000</v>
      </c>
      <c r="O814" s="976"/>
      <c r="P814" s="977"/>
      <c r="Q814" s="974"/>
      <c r="R814" s="1147"/>
      <c r="S814" s="974"/>
      <c r="T814" s="976"/>
      <c r="X814" s="686"/>
      <c r="Y814" s="686"/>
    </row>
    <row r="815" spans="2:25" x14ac:dyDescent="0.25">
      <c r="B815" s="1187" t="s">
        <v>1715</v>
      </c>
      <c r="C815" s="1015">
        <v>1063</v>
      </c>
      <c r="D815" s="976" t="s">
        <v>1641</v>
      </c>
      <c r="E815" s="976" t="s">
        <v>1122</v>
      </c>
      <c r="F815" s="973">
        <v>72000000</v>
      </c>
      <c r="G815" s="974">
        <v>85390000</v>
      </c>
      <c r="H815" s="974">
        <v>30000000</v>
      </c>
      <c r="I815" s="974">
        <v>55390000</v>
      </c>
      <c r="J815" s="975"/>
      <c r="K815" s="974"/>
      <c r="L815" s="974">
        <f t="shared" si="55"/>
        <v>85390000</v>
      </c>
      <c r="M815" s="976"/>
      <c r="N815" s="1013">
        <f t="shared" si="52"/>
        <v>0</v>
      </c>
      <c r="O815" s="976"/>
      <c r="P815" s="977"/>
      <c r="Q815" s="974"/>
      <c r="R815" s="1147"/>
      <c r="S815" s="974"/>
      <c r="T815" s="976"/>
      <c r="X815" s="686"/>
      <c r="Y815" s="686"/>
    </row>
    <row r="816" spans="2:25" x14ac:dyDescent="0.25">
      <c r="B816" s="1187" t="s">
        <v>1715</v>
      </c>
      <c r="C816" s="1015">
        <v>1063</v>
      </c>
      <c r="D816" s="976" t="s">
        <v>1740</v>
      </c>
      <c r="E816" s="976" t="s">
        <v>1696</v>
      </c>
      <c r="F816" s="973">
        <v>2024000</v>
      </c>
      <c r="G816" s="974"/>
      <c r="H816" s="974">
        <v>2024000</v>
      </c>
      <c r="I816" s="974"/>
      <c r="J816" s="975"/>
      <c r="K816" s="974"/>
      <c r="L816" s="974">
        <f t="shared" si="55"/>
        <v>2024000</v>
      </c>
      <c r="M816" s="976"/>
      <c r="N816" s="1013">
        <f t="shared" si="52"/>
        <v>0</v>
      </c>
      <c r="O816" s="976"/>
      <c r="P816" s="977"/>
      <c r="Q816" s="974"/>
      <c r="R816" s="1147"/>
      <c r="S816" s="974"/>
      <c r="T816" s="976"/>
      <c r="X816" s="686"/>
      <c r="Y816" s="686"/>
    </row>
    <row r="817" spans="1:25" x14ac:dyDescent="0.25">
      <c r="B817" s="1187" t="s">
        <v>1715</v>
      </c>
      <c r="C817" s="1015">
        <v>1063</v>
      </c>
      <c r="D817" s="976" t="s">
        <v>1447</v>
      </c>
      <c r="E817" s="976" t="s">
        <v>1325</v>
      </c>
      <c r="F817" s="973">
        <v>91000000</v>
      </c>
      <c r="G817" s="974">
        <v>91800000</v>
      </c>
      <c r="H817" s="974">
        <v>45000000</v>
      </c>
      <c r="I817" s="974">
        <v>46800000</v>
      </c>
      <c r="J817" s="975"/>
      <c r="K817" s="974"/>
      <c r="L817" s="974">
        <f t="shared" si="55"/>
        <v>91800000</v>
      </c>
      <c r="M817" s="976"/>
      <c r="N817" s="1013">
        <f t="shared" si="52"/>
        <v>0</v>
      </c>
      <c r="O817" s="976"/>
      <c r="P817" s="977"/>
      <c r="Q817" s="974"/>
      <c r="R817" s="1147"/>
      <c r="S817" s="974"/>
      <c r="T817" s="976"/>
      <c r="X817" s="686"/>
      <c r="Y817" s="686"/>
    </row>
    <row r="818" spans="1:25" x14ac:dyDescent="0.25">
      <c r="B818" s="1187" t="s">
        <v>1715</v>
      </c>
      <c r="C818" s="1015">
        <v>1063</v>
      </c>
      <c r="D818" s="976" t="s">
        <v>1601</v>
      </c>
      <c r="E818" s="976" t="s">
        <v>659</v>
      </c>
      <c r="F818" s="973">
        <v>3000000</v>
      </c>
      <c r="G818" s="974"/>
      <c r="H818" s="974">
        <v>3000000</v>
      </c>
      <c r="I818" s="974"/>
      <c r="J818" s="975"/>
      <c r="K818" s="974"/>
      <c r="L818" s="974">
        <f t="shared" si="55"/>
        <v>3000000</v>
      </c>
      <c r="M818" s="976"/>
      <c r="N818" s="1013">
        <f t="shared" si="52"/>
        <v>0</v>
      </c>
      <c r="O818" s="976"/>
      <c r="P818" s="977"/>
      <c r="Q818" s="974"/>
      <c r="R818" s="1147"/>
      <c r="S818" s="974"/>
      <c r="T818" s="976"/>
      <c r="X818" s="686"/>
      <c r="Y818" s="686"/>
    </row>
    <row r="819" spans="1:25" x14ac:dyDescent="0.25">
      <c r="B819" s="1187" t="s">
        <v>1715</v>
      </c>
      <c r="C819" s="1015">
        <v>1063</v>
      </c>
      <c r="D819" s="976" t="s">
        <v>1741</v>
      </c>
      <c r="E819" s="976" t="s">
        <v>1742</v>
      </c>
      <c r="F819" s="973">
        <v>3255000</v>
      </c>
      <c r="G819" s="974"/>
      <c r="H819" s="974">
        <v>3255000</v>
      </c>
      <c r="I819" s="974"/>
      <c r="J819" s="975"/>
      <c r="K819" s="974"/>
      <c r="L819" s="974">
        <f t="shared" si="55"/>
        <v>3255000</v>
      </c>
      <c r="M819" s="976"/>
      <c r="N819" s="1013">
        <f t="shared" si="52"/>
        <v>0</v>
      </c>
      <c r="O819" s="976"/>
      <c r="P819" s="977"/>
      <c r="Q819" s="974"/>
      <c r="R819" s="1147"/>
      <c r="S819" s="974"/>
      <c r="T819" s="976"/>
      <c r="X819" s="686"/>
      <c r="Y819" s="686"/>
    </row>
    <row r="820" spans="1:25" x14ac:dyDescent="0.25">
      <c r="B820" s="1187" t="s">
        <v>1715</v>
      </c>
      <c r="C820" s="1015">
        <v>1063</v>
      </c>
      <c r="D820" s="976" t="s">
        <v>1743</v>
      </c>
      <c r="E820" s="976" t="s">
        <v>1744</v>
      </c>
      <c r="F820" s="973">
        <v>3200000</v>
      </c>
      <c r="G820" s="974"/>
      <c r="H820" s="974">
        <v>3200000</v>
      </c>
      <c r="I820" s="974"/>
      <c r="J820" s="975"/>
      <c r="K820" s="974"/>
      <c r="L820" s="974">
        <f t="shared" si="55"/>
        <v>3200000</v>
      </c>
      <c r="M820" s="976"/>
      <c r="N820" s="1013">
        <f t="shared" si="52"/>
        <v>0</v>
      </c>
      <c r="O820" s="976"/>
      <c r="P820" s="977"/>
      <c r="Q820" s="974"/>
      <c r="R820" s="1147"/>
      <c r="S820" s="974"/>
      <c r="T820" s="976"/>
      <c r="X820" s="686"/>
      <c r="Y820" s="686"/>
    </row>
    <row r="821" spans="1:25" x14ac:dyDescent="0.25">
      <c r="B821" s="1187" t="s">
        <v>1715</v>
      </c>
      <c r="C821" s="1015">
        <v>1063</v>
      </c>
      <c r="D821" s="976" t="s">
        <v>1745</v>
      </c>
      <c r="E821" s="976" t="s">
        <v>1746</v>
      </c>
      <c r="F821" s="973">
        <v>20000000</v>
      </c>
      <c r="G821" s="974"/>
      <c r="H821" s="974">
        <v>6000000</v>
      </c>
      <c r="I821" s="974">
        <v>14000000</v>
      </c>
      <c r="J821" s="975"/>
      <c r="K821" s="974"/>
      <c r="L821" s="974">
        <f t="shared" si="55"/>
        <v>20000000</v>
      </c>
      <c r="M821" s="976"/>
      <c r="N821" s="1013">
        <f t="shared" si="52"/>
        <v>0</v>
      </c>
      <c r="O821" s="976"/>
      <c r="P821" s="977"/>
      <c r="Q821" s="974"/>
      <c r="R821" s="1147"/>
      <c r="S821" s="974"/>
      <c r="T821" s="976"/>
      <c r="X821" s="686"/>
      <c r="Y821" s="686"/>
    </row>
    <row r="822" spans="1:25" x14ac:dyDescent="0.25">
      <c r="B822" s="1187" t="s">
        <v>1715</v>
      </c>
      <c r="C822" s="1015">
        <v>1063</v>
      </c>
      <c r="D822" s="976" t="s">
        <v>1747</v>
      </c>
      <c r="E822" s="976" t="s">
        <v>1516</v>
      </c>
      <c r="F822" s="973">
        <v>1320000</v>
      </c>
      <c r="G822" s="974"/>
      <c r="H822" s="974">
        <v>1320000</v>
      </c>
      <c r="I822" s="974"/>
      <c r="J822" s="975"/>
      <c r="K822" s="974"/>
      <c r="L822" s="974">
        <f t="shared" si="55"/>
        <v>1320000</v>
      </c>
      <c r="M822" s="976"/>
      <c r="N822" s="1013">
        <f t="shared" si="52"/>
        <v>0</v>
      </c>
      <c r="O822" s="976"/>
      <c r="P822" s="977"/>
      <c r="Q822" s="974"/>
      <c r="R822" s="1147"/>
      <c r="S822" s="974"/>
      <c r="T822" s="976"/>
      <c r="X822" s="686"/>
      <c r="Y822" s="686"/>
    </row>
    <row r="823" spans="1:25" x14ac:dyDescent="0.25">
      <c r="B823" s="1187" t="s">
        <v>1715</v>
      </c>
      <c r="C823" s="1015">
        <v>1063</v>
      </c>
      <c r="D823" s="976" t="s">
        <v>1748</v>
      </c>
      <c r="E823" s="976" t="s">
        <v>1516</v>
      </c>
      <c r="F823" s="973">
        <v>1200000</v>
      </c>
      <c r="G823" s="974"/>
      <c r="H823" s="974">
        <v>1200000</v>
      </c>
      <c r="I823" s="974"/>
      <c r="J823" s="975"/>
      <c r="K823" s="974"/>
      <c r="L823" s="974">
        <f t="shared" si="55"/>
        <v>1200000</v>
      </c>
      <c r="M823" s="976"/>
      <c r="N823" s="1013">
        <f t="shared" si="52"/>
        <v>0</v>
      </c>
      <c r="O823" s="976"/>
      <c r="P823" s="977"/>
      <c r="Q823" s="974"/>
      <c r="R823" s="1147"/>
      <c r="S823" s="974"/>
      <c r="T823" s="976"/>
      <c r="X823" s="686"/>
      <c r="Y823" s="686"/>
    </row>
    <row r="824" spans="1:25" x14ac:dyDescent="0.25">
      <c r="B824" s="1187" t="s">
        <v>1715</v>
      </c>
      <c r="C824" s="1015">
        <v>1063</v>
      </c>
      <c r="D824" s="976" t="s">
        <v>1749</v>
      </c>
      <c r="E824" s="976" t="s">
        <v>1750</v>
      </c>
      <c r="F824" s="973">
        <v>8964960</v>
      </c>
      <c r="G824" s="974"/>
      <c r="H824" s="974">
        <v>8964960</v>
      </c>
      <c r="I824" s="974"/>
      <c r="J824" s="975"/>
      <c r="K824" s="974"/>
      <c r="L824" s="974">
        <f t="shared" si="55"/>
        <v>8964960</v>
      </c>
      <c r="M824" s="976"/>
      <c r="N824" s="1013">
        <f t="shared" si="52"/>
        <v>0</v>
      </c>
      <c r="O824" s="976"/>
      <c r="P824" s="977"/>
      <c r="Q824" s="974"/>
      <c r="R824" s="1147"/>
      <c r="S824" s="974"/>
      <c r="T824" s="976"/>
      <c r="X824" s="686"/>
      <c r="Y824" s="686"/>
    </row>
    <row r="825" spans="1:25" x14ac:dyDescent="0.25">
      <c r="B825" s="1187" t="s">
        <v>1715</v>
      </c>
      <c r="C825" s="1015">
        <v>1063</v>
      </c>
      <c r="D825" s="976" t="s">
        <v>1751</v>
      </c>
      <c r="E825" s="976" t="s">
        <v>1453</v>
      </c>
      <c r="F825" s="973">
        <v>35070800</v>
      </c>
      <c r="G825" s="974"/>
      <c r="H825" s="974">
        <v>35070800</v>
      </c>
      <c r="I825" s="974"/>
      <c r="J825" s="975"/>
      <c r="K825" s="974"/>
      <c r="L825" s="974">
        <f t="shared" si="55"/>
        <v>35070800</v>
      </c>
      <c r="M825" s="976"/>
      <c r="N825" s="1013">
        <f t="shared" si="52"/>
        <v>0</v>
      </c>
      <c r="O825" s="976"/>
      <c r="P825" s="977"/>
      <c r="Q825" s="974"/>
      <c r="R825" s="1147"/>
      <c r="S825" s="974"/>
      <c r="T825" s="976"/>
      <c r="X825" s="686"/>
      <c r="Y825" s="686"/>
    </row>
    <row r="826" spans="1:25" x14ac:dyDescent="0.25">
      <c r="B826" s="1187" t="s">
        <v>1715</v>
      </c>
      <c r="C826" s="1015">
        <v>1063</v>
      </c>
      <c r="D826" s="976" t="s">
        <v>1449</v>
      </c>
      <c r="E826" s="976" t="s">
        <v>1319</v>
      </c>
      <c r="F826" s="973">
        <v>21200000</v>
      </c>
      <c r="G826" s="974"/>
      <c r="H826" s="974">
        <v>21200000</v>
      </c>
      <c r="I826" s="974"/>
      <c r="J826" s="975"/>
      <c r="K826" s="974"/>
      <c r="L826" s="974">
        <f t="shared" si="55"/>
        <v>21200000</v>
      </c>
      <c r="M826" s="976"/>
      <c r="N826" s="1013">
        <f t="shared" si="52"/>
        <v>0</v>
      </c>
      <c r="O826" s="976"/>
      <c r="P826" s="977"/>
      <c r="Q826" s="974"/>
      <c r="R826" s="1147"/>
      <c r="S826" s="974"/>
      <c r="T826" s="976"/>
      <c r="X826" s="686"/>
      <c r="Y826" s="686"/>
    </row>
    <row r="827" spans="1:25" x14ac:dyDescent="0.25">
      <c r="B827" s="1187" t="s">
        <v>1715</v>
      </c>
      <c r="C827" s="1015">
        <v>1063</v>
      </c>
      <c r="D827" s="976" t="s">
        <v>947</v>
      </c>
      <c r="E827" s="976"/>
      <c r="F827" s="973">
        <f>W827</f>
        <v>14574000</v>
      </c>
      <c r="G827" s="974"/>
      <c r="H827" s="974">
        <v>600000</v>
      </c>
      <c r="I827" s="974">
        <v>1800000</v>
      </c>
      <c r="J827" s="975">
        <v>2100000</v>
      </c>
      <c r="K827" s="974">
        <f>2538000+2370000+3354000+1812000</f>
        <v>10074000</v>
      </c>
      <c r="L827" s="974">
        <f t="shared" si="55"/>
        <v>14574000</v>
      </c>
      <c r="M827" s="976"/>
      <c r="N827" s="1013">
        <f t="shared" si="52"/>
        <v>0</v>
      </c>
      <c r="O827" s="976"/>
      <c r="P827" s="977"/>
      <c r="Q827" s="974"/>
      <c r="R827" s="1147"/>
      <c r="S827" s="974"/>
      <c r="T827" s="976"/>
      <c r="V827" s="1000" t="s">
        <v>948</v>
      </c>
      <c r="W827" s="1000">
        <f>SUM(W793:W800)</f>
        <v>14574000</v>
      </c>
      <c r="X827" s="686"/>
      <c r="Y827" s="686"/>
    </row>
    <row r="828" spans="1:25" ht="15.75" x14ac:dyDescent="0.25">
      <c r="A828" s="723"/>
      <c r="B828" s="720" t="s">
        <v>997</v>
      </c>
      <c r="C828" s="720"/>
      <c r="D828" s="699" t="s">
        <v>1715</v>
      </c>
      <c r="E828" s="992"/>
      <c r="F828" s="993"/>
      <c r="G828" s="994"/>
      <c r="H828" s="994"/>
      <c r="I828" s="994"/>
      <c r="J828" s="995"/>
      <c r="K828" s="994"/>
      <c r="L828" s="735">
        <f>SUM(L793:L827)</f>
        <v>1248114219</v>
      </c>
      <c r="M828" s="992"/>
      <c r="N828" s="1042">
        <f>SUM(N793:N827)</f>
        <v>256329659</v>
      </c>
      <c r="O828" s="992"/>
      <c r="P828" s="998"/>
      <c r="Q828" s="994"/>
      <c r="R828" s="1153"/>
      <c r="S828" s="994"/>
      <c r="T828" s="992"/>
      <c r="X828" s="686"/>
      <c r="Y828" s="686"/>
    </row>
    <row r="829" spans="1:25" x14ac:dyDescent="0.25">
      <c r="A829" s="686">
        <v>39</v>
      </c>
      <c r="B829" s="1187" t="s">
        <v>654</v>
      </c>
      <c r="C829" s="1015">
        <v>1064</v>
      </c>
      <c r="D829" s="976" t="s">
        <v>1427</v>
      </c>
      <c r="E829" s="985" t="s">
        <v>1428</v>
      </c>
      <c r="F829" s="973">
        <v>39523876</v>
      </c>
      <c r="G829" s="974"/>
      <c r="H829" s="974">
        <v>19761938</v>
      </c>
      <c r="I829" s="974">
        <v>19761938</v>
      </c>
      <c r="J829" s="975"/>
      <c r="K829" s="974"/>
      <c r="L829" s="974">
        <f>SUM(H829:K829)</f>
        <v>39523876</v>
      </c>
      <c r="M829" s="976"/>
      <c r="N829" s="1013">
        <f t="shared" si="52"/>
        <v>0</v>
      </c>
      <c r="O829" s="976"/>
      <c r="P829" s="977"/>
      <c r="Q829" s="974"/>
      <c r="R829" s="1147" t="s">
        <v>1752</v>
      </c>
      <c r="S829" s="974"/>
      <c r="T829" s="976" t="s">
        <v>1753</v>
      </c>
      <c r="V829" s="687" t="s">
        <v>1407</v>
      </c>
      <c r="W829" s="687">
        <v>1960000</v>
      </c>
      <c r="X829" s="686"/>
      <c r="Y829" s="686"/>
    </row>
    <row r="830" spans="1:25" x14ac:dyDescent="0.25">
      <c r="B830" s="1187" t="s">
        <v>654</v>
      </c>
      <c r="C830" s="1015">
        <v>1064</v>
      </c>
      <c r="D830" s="976" t="s">
        <v>1424</v>
      </c>
      <c r="E830" s="976" t="s">
        <v>1754</v>
      </c>
      <c r="F830" s="973">
        <v>124000000</v>
      </c>
      <c r="G830" s="974"/>
      <c r="H830" s="974">
        <v>37200000</v>
      </c>
      <c r="I830" s="974">
        <v>86800000</v>
      </c>
      <c r="J830" s="975"/>
      <c r="K830" s="974"/>
      <c r="L830" s="974">
        <f>SUM(H830:K830)</f>
        <v>124000000</v>
      </c>
      <c r="M830" s="976"/>
      <c r="N830" s="1013">
        <f t="shared" si="52"/>
        <v>0</v>
      </c>
      <c r="O830" s="976"/>
      <c r="P830" s="977"/>
      <c r="Q830" s="974">
        <v>124000000</v>
      </c>
      <c r="R830" s="1147" t="s">
        <v>1755</v>
      </c>
      <c r="S830" s="974"/>
      <c r="T830" s="976" t="s">
        <v>1627</v>
      </c>
      <c r="V830" s="687" t="s">
        <v>1408</v>
      </c>
      <c r="W830" s="687">
        <v>2100000</v>
      </c>
      <c r="X830" s="686"/>
      <c r="Y830" s="686"/>
    </row>
    <row r="831" spans="1:25" x14ac:dyDescent="0.25">
      <c r="B831" s="1187" t="s">
        <v>654</v>
      </c>
      <c r="C831" s="1015">
        <v>1064</v>
      </c>
      <c r="D831" s="976" t="s">
        <v>1756</v>
      </c>
      <c r="E831" s="976" t="s">
        <v>1757</v>
      </c>
      <c r="F831" s="973">
        <v>25000000</v>
      </c>
      <c r="G831" s="974"/>
      <c r="H831" s="974">
        <v>10000000</v>
      </c>
      <c r="I831" s="974">
        <v>15000000</v>
      </c>
      <c r="J831" s="975"/>
      <c r="K831" s="974"/>
      <c r="L831" s="974">
        <f t="shared" ref="L831:L854" si="56">SUM(H831:K831)</f>
        <v>25000000</v>
      </c>
      <c r="M831" s="976"/>
      <c r="N831" s="1013">
        <f t="shared" si="52"/>
        <v>0</v>
      </c>
      <c r="O831" s="976"/>
      <c r="P831" s="977"/>
      <c r="Q831" s="974"/>
      <c r="R831" s="1147"/>
      <c r="S831" s="974"/>
      <c r="T831" s="976"/>
      <c r="V831" s="687" t="s">
        <v>1411</v>
      </c>
      <c r="W831" s="687">
        <v>2100000</v>
      </c>
      <c r="X831" s="686"/>
      <c r="Y831" s="686"/>
    </row>
    <row r="832" spans="1:25" x14ac:dyDescent="0.25">
      <c r="B832" s="1187" t="s">
        <v>654</v>
      </c>
      <c r="C832" s="1015">
        <v>1064</v>
      </c>
      <c r="D832" s="976" t="s">
        <v>1758</v>
      </c>
      <c r="E832" s="976" t="s">
        <v>1759</v>
      </c>
      <c r="F832" s="973">
        <v>960000</v>
      </c>
      <c r="G832" s="974"/>
      <c r="H832" s="974">
        <v>288000</v>
      </c>
      <c r="I832" s="974">
        <v>672000</v>
      </c>
      <c r="J832" s="975"/>
      <c r="K832" s="974"/>
      <c r="L832" s="974">
        <f t="shared" si="56"/>
        <v>960000</v>
      </c>
      <c r="M832" s="976"/>
      <c r="N832" s="1013">
        <f t="shared" si="52"/>
        <v>0</v>
      </c>
      <c r="O832" s="976"/>
      <c r="P832" s="977"/>
      <c r="Q832" s="974"/>
      <c r="R832" s="1147"/>
      <c r="S832" s="974"/>
      <c r="T832" s="976"/>
      <c r="V832" s="687" t="s">
        <v>1692</v>
      </c>
      <c r="W832" s="687">
        <v>3345000</v>
      </c>
      <c r="X832" s="686"/>
      <c r="Y832" s="686"/>
    </row>
    <row r="833" spans="2:25" x14ac:dyDescent="0.25">
      <c r="B833" s="1187" t="s">
        <v>654</v>
      </c>
      <c r="C833" s="1015">
        <v>1064</v>
      </c>
      <c r="D833" s="976" t="s">
        <v>1433</v>
      </c>
      <c r="E833" s="976" t="s">
        <v>887</v>
      </c>
      <c r="F833" s="973">
        <v>26108000</v>
      </c>
      <c r="G833" s="974"/>
      <c r="H833" s="974">
        <v>7832400</v>
      </c>
      <c r="I833" s="974">
        <v>10443200</v>
      </c>
      <c r="J833" s="975"/>
      <c r="K833" s="974"/>
      <c r="L833" s="974">
        <f t="shared" si="56"/>
        <v>18275600</v>
      </c>
      <c r="M833" s="976"/>
      <c r="N833" s="1013">
        <f t="shared" si="52"/>
        <v>7832400</v>
      </c>
      <c r="O833" s="976"/>
      <c r="P833" s="977"/>
      <c r="Q833" s="974"/>
      <c r="R833" s="1147"/>
      <c r="S833" s="974"/>
      <c r="T833" s="976"/>
      <c r="V833" s="687" t="s">
        <v>1470</v>
      </c>
      <c r="W833" s="687">
        <v>1899000</v>
      </c>
      <c r="X833" s="686"/>
      <c r="Y833" s="686"/>
    </row>
    <row r="834" spans="2:25" x14ac:dyDescent="0.25">
      <c r="B834" s="1187" t="s">
        <v>654</v>
      </c>
      <c r="C834" s="1015">
        <v>1064</v>
      </c>
      <c r="D834" s="976" t="s">
        <v>1760</v>
      </c>
      <c r="E834" s="976" t="s">
        <v>1761</v>
      </c>
      <c r="F834" s="973">
        <v>709000</v>
      </c>
      <c r="G834" s="974">
        <v>732500</v>
      </c>
      <c r="H834" s="974">
        <v>709000</v>
      </c>
      <c r="I834" s="974">
        <v>23500</v>
      </c>
      <c r="J834" s="975"/>
      <c r="K834" s="974"/>
      <c r="L834" s="974">
        <f t="shared" si="56"/>
        <v>732500</v>
      </c>
      <c r="M834" s="976"/>
      <c r="N834" s="1013">
        <f t="shared" si="52"/>
        <v>0</v>
      </c>
      <c r="O834" s="976"/>
      <c r="P834" s="977"/>
      <c r="Q834" s="974"/>
      <c r="R834" s="1147"/>
      <c r="S834" s="974"/>
      <c r="T834" s="976"/>
      <c r="V834" s="687" t="s">
        <v>1710</v>
      </c>
      <c r="W834" s="687">
        <v>11225000</v>
      </c>
      <c r="X834" s="686"/>
      <c r="Y834" s="686"/>
    </row>
    <row r="835" spans="2:25" x14ac:dyDescent="0.25">
      <c r="B835" s="1187" t="s">
        <v>654</v>
      </c>
      <c r="C835" s="1015">
        <v>1064</v>
      </c>
      <c r="D835" s="976" t="s">
        <v>1762</v>
      </c>
      <c r="E835" s="976" t="s">
        <v>1761</v>
      </c>
      <c r="F835" s="973">
        <v>350000</v>
      </c>
      <c r="G835" s="974">
        <v>364500</v>
      </c>
      <c r="H835" s="974">
        <v>350000</v>
      </c>
      <c r="I835" s="974">
        <v>14500</v>
      </c>
      <c r="J835" s="975"/>
      <c r="K835" s="974"/>
      <c r="L835" s="974">
        <f t="shared" si="56"/>
        <v>364500</v>
      </c>
      <c r="M835" s="976"/>
      <c r="N835" s="1013">
        <f t="shared" si="52"/>
        <v>0</v>
      </c>
      <c r="O835" s="976"/>
      <c r="P835" s="977"/>
      <c r="Q835" s="974"/>
      <c r="R835" s="1147"/>
      <c r="S835" s="974"/>
      <c r="T835" s="976"/>
      <c r="V835" s="687" t="s">
        <v>1720</v>
      </c>
      <c r="W835" s="687">
        <v>1428000</v>
      </c>
      <c r="X835" s="686"/>
      <c r="Y835" s="686"/>
    </row>
    <row r="836" spans="2:25" x14ac:dyDescent="0.25">
      <c r="B836" s="1187" t="s">
        <v>654</v>
      </c>
      <c r="C836" s="1015">
        <v>1064</v>
      </c>
      <c r="D836" s="976" t="s">
        <v>1763</v>
      </c>
      <c r="E836" s="976" t="s">
        <v>1764</v>
      </c>
      <c r="F836" s="973">
        <v>252000</v>
      </c>
      <c r="G836" s="974">
        <v>1141500</v>
      </c>
      <c r="H836" s="974">
        <v>252000</v>
      </c>
      <c r="I836" s="974">
        <v>889500</v>
      </c>
      <c r="J836" s="975"/>
      <c r="K836" s="974"/>
      <c r="L836" s="974">
        <f t="shared" si="56"/>
        <v>1141500</v>
      </c>
      <c r="M836" s="976"/>
      <c r="N836" s="1013">
        <f t="shared" si="52"/>
        <v>0</v>
      </c>
      <c r="O836" s="976"/>
      <c r="P836" s="977"/>
      <c r="Q836" s="974"/>
      <c r="R836" s="1147"/>
      <c r="S836" s="974"/>
      <c r="T836" s="976"/>
      <c r="X836" s="686"/>
      <c r="Y836" s="686"/>
    </row>
    <row r="837" spans="2:25" x14ac:dyDescent="0.25">
      <c r="B837" s="1187" t="s">
        <v>654</v>
      </c>
      <c r="C837" s="1015">
        <v>1064</v>
      </c>
      <c r="D837" s="976" t="s">
        <v>1765</v>
      </c>
      <c r="E837" s="976" t="s">
        <v>1766</v>
      </c>
      <c r="F837" s="973">
        <v>18473048</v>
      </c>
      <c r="G837" s="974"/>
      <c r="H837" s="974">
        <v>7389219</v>
      </c>
      <c r="I837" s="974">
        <v>7389219</v>
      </c>
      <c r="J837" s="975"/>
      <c r="K837" s="974"/>
      <c r="L837" s="974">
        <f t="shared" si="56"/>
        <v>14778438</v>
      </c>
      <c r="M837" s="976"/>
      <c r="N837" s="1013">
        <f t="shared" si="52"/>
        <v>3694610</v>
      </c>
      <c r="O837" s="976"/>
      <c r="P837" s="977"/>
      <c r="Q837" s="974"/>
      <c r="R837" s="1147"/>
      <c r="S837" s="974"/>
      <c r="T837" s="976" t="s">
        <v>1323</v>
      </c>
      <c r="X837" s="686"/>
      <c r="Y837" s="686"/>
    </row>
    <row r="838" spans="2:25" x14ac:dyDescent="0.25">
      <c r="B838" s="1187" t="s">
        <v>654</v>
      </c>
      <c r="C838" s="1015">
        <v>1064</v>
      </c>
      <c r="D838" s="976" t="s">
        <v>1767</v>
      </c>
      <c r="E838" s="976" t="s">
        <v>1726</v>
      </c>
      <c r="F838" s="973">
        <v>7183000</v>
      </c>
      <c r="G838" s="974"/>
      <c r="H838" s="974">
        <v>3591500</v>
      </c>
      <c r="I838" s="974">
        <v>3591500</v>
      </c>
      <c r="J838" s="975"/>
      <c r="K838" s="974"/>
      <c r="L838" s="974">
        <f t="shared" si="56"/>
        <v>7183000</v>
      </c>
      <c r="M838" s="976"/>
      <c r="N838" s="1013">
        <f t="shared" si="52"/>
        <v>0</v>
      </c>
      <c r="O838" s="976"/>
      <c r="P838" s="977"/>
      <c r="Q838" s="974">
        <v>7183000</v>
      </c>
      <c r="R838" s="1147" t="s">
        <v>1768</v>
      </c>
      <c r="S838" s="974"/>
      <c r="T838" s="976" t="s">
        <v>1655</v>
      </c>
      <c r="X838" s="686"/>
      <c r="Y838" s="686"/>
    </row>
    <row r="839" spans="2:25" x14ac:dyDescent="0.25">
      <c r="B839" s="1187" t="s">
        <v>654</v>
      </c>
      <c r="C839" s="1015">
        <v>1064</v>
      </c>
      <c r="D839" s="976" t="s">
        <v>1769</v>
      </c>
      <c r="E839" s="976" t="s">
        <v>1770</v>
      </c>
      <c r="F839" s="973">
        <v>3637600</v>
      </c>
      <c r="G839" s="974">
        <v>4609290</v>
      </c>
      <c r="H839" s="974">
        <v>3637600</v>
      </c>
      <c r="I839" s="974">
        <v>971690</v>
      </c>
      <c r="J839" s="975"/>
      <c r="K839" s="974"/>
      <c r="L839" s="974">
        <f t="shared" si="56"/>
        <v>4609290</v>
      </c>
      <c r="M839" s="976"/>
      <c r="N839" s="1013">
        <f t="shared" si="52"/>
        <v>0</v>
      </c>
      <c r="O839" s="976"/>
      <c r="P839" s="977"/>
      <c r="Q839" s="974"/>
      <c r="R839" s="1147"/>
      <c r="S839" s="974"/>
      <c r="T839" s="976"/>
      <c r="X839" s="686"/>
      <c r="Y839" s="686"/>
    </row>
    <row r="840" spans="2:25" x14ac:dyDescent="0.25">
      <c r="B840" s="1187" t="s">
        <v>654</v>
      </c>
      <c r="C840" s="1015">
        <v>1064</v>
      </c>
      <c r="D840" s="976" t="s">
        <v>1771</v>
      </c>
      <c r="E840" s="976" t="s">
        <v>1761</v>
      </c>
      <c r="F840" s="973">
        <v>88000</v>
      </c>
      <c r="G840" s="974"/>
      <c r="H840" s="974">
        <v>88000</v>
      </c>
      <c r="I840" s="974"/>
      <c r="J840" s="975"/>
      <c r="K840" s="974"/>
      <c r="L840" s="974">
        <f t="shared" si="56"/>
        <v>88000</v>
      </c>
      <c r="M840" s="976"/>
      <c r="N840" s="1013">
        <f t="shared" si="52"/>
        <v>0</v>
      </c>
      <c r="O840" s="976"/>
      <c r="P840" s="977"/>
      <c r="Q840" s="974"/>
      <c r="R840" s="1147"/>
      <c r="S840" s="974"/>
      <c r="T840" s="976"/>
      <c r="X840" s="686"/>
      <c r="Y840" s="686"/>
    </row>
    <row r="841" spans="2:25" x14ac:dyDescent="0.25">
      <c r="B841" s="1187" t="s">
        <v>654</v>
      </c>
      <c r="C841" s="1015">
        <v>1064</v>
      </c>
      <c r="D841" s="976" t="s">
        <v>1772</v>
      </c>
      <c r="E841" s="976" t="s">
        <v>1536</v>
      </c>
      <c r="F841" s="973">
        <v>89053800</v>
      </c>
      <c r="G841" s="974"/>
      <c r="H841" s="974">
        <v>44526900</v>
      </c>
      <c r="I841" s="974">
        <v>44526900</v>
      </c>
      <c r="J841" s="975"/>
      <c r="K841" s="974"/>
      <c r="L841" s="974">
        <f t="shared" si="56"/>
        <v>89053800</v>
      </c>
      <c r="M841" s="976"/>
      <c r="N841" s="1013">
        <f t="shared" si="52"/>
        <v>0</v>
      </c>
      <c r="O841" s="976"/>
      <c r="P841" s="977"/>
      <c r="Q841" s="974">
        <v>89053800</v>
      </c>
      <c r="R841" s="1147" t="s">
        <v>1773</v>
      </c>
      <c r="S841" s="974" t="s">
        <v>1417</v>
      </c>
      <c r="T841" s="976" t="s">
        <v>1655</v>
      </c>
      <c r="X841" s="686"/>
      <c r="Y841" s="686"/>
    </row>
    <row r="842" spans="2:25" x14ac:dyDescent="0.25">
      <c r="B842" s="1187" t="s">
        <v>654</v>
      </c>
      <c r="C842" s="1015">
        <v>1064</v>
      </c>
      <c r="D842" s="976" t="s">
        <v>1774</v>
      </c>
      <c r="E842" s="976" t="s">
        <v>1775</v>
      </c>
      <c r="F842" s="973">
        <v>5390000</v>
      </c>
      <c r="G842" s="974"/>
      <c r="H842" s="974">
        <v>2156000</v>
      </c>
      <c r="I842" s="974">
        <v>2156000</v>
      </c>
      <c r="J842" s="975"/>
      <c r="K842" s="974"/>
      <c r="L842" s="974">
        <f t="shared" si="56"/>
        <v>4312000</v>
      </c>
      <c r="M842" s="976"/>
      <c r="N842" s="1013">
        <f t="shared" si="52"/>
        <v>1078000</v>
      </c>
      <c r="O842" s="976"/>
      <c r="P842" s="977"/>
      <c r="Q842" s="974"/>
      <c r="R842" s="1147"/>
      <c r="S842" s="974"/>
      <c r="T842" s="976"/>
      <c r="X842" s="686"/>
      <c r="Y842" s="686"/>
    </row>
    <row r="843" spans="2:25" x14ac:dyDescent="0.25">
      <c r="B843" s="1187" t="s">
        <v>654</v>
      </c>
      <c r="C843" s="1015">
        <v>1064</v>
      </c>
      <c r="D843" s="976" t="s">
        <v>1776</v>
      </c>
      <c r="E843" s="976" t="s">
        <v>1777</v>
      </c>
      <c r="F843" s="973">
        <v>2000000</v>
      </c>
      <c r="G843" s="974"/>
      <c r="H843" s="974">
        <v>2000000</v>
      </c>
      <c r="I843" s="974"/>
      <c r="J843" s="975"/>
      <c r="K843" s="974"/>
      <c r="L843" s="974">
        <f t="shared" si="56"/>
        <v>2000000</v>
      </c>
      <c r="M843" s="976"/>
      <c r="N843" s="1013">
        <f t="shared" si="52"/>
        <v>0</v>
      </c>
      <c r="O843" s="976"/>
      <c r="P843" s="977"/>
      <c r="Q843" s="974"/>
      <c r="R843" s="1147"/>
      <c r="S843" s="974"/>
      <c r="T843" s="976"/>
      <c r="X843" s="686"/>
      <c r="Y843" s="686"/>
    </row>
    <row r="844" spans="2:25" x14ac:dyDescent="0.25">
      <c r="B844" s="1187" t="s">
        <v>654</v>
      </c>
      <c r="C844" s="1015">
        <v>1064</v>
      </c>
      <c r="D844" s="976" t="s">
        <v>1778</v>
      </c>
      <c r="E844" s="976" t="s">
        <v>662</v>
      </c>
      <c r="F844" s="973">
        <v>24288000</v>
      </c>
      <c r="G844" s="974"/>
      <c r="H844" s="974">
        <v>7286400</v>
      </c>
      <c r="I844" s="974"/>
      <c r="J844" s="975"/>
      <c r="K844" s="974"/>
      <c r="L844" s="974">
        <f t="shared" si="56"/>
        <v>7286400</v>
      </c>
      <c r="M844" s="976"/>
      <c r="N844" s="1013">
        <f t="shared" si="52"/>
        <v>17001600</v>
      </c>
      <c r="O844" s="976"/>
      <c r="P844" s="977"/>
      <c r="Q844" s="974"/>
      <c r="R844" s="1147"/>
      <c r="S844" s="974"/>
      <c r="T844" s="976"/>
      <c r="X844" s="686"/>
      <c r="Y844" s="686"/>
    </row>
    <row r="845" spans="2:25" x14ac:dyDescent="0.25">
      <c r="B845" s="1187" t="s">
        <v>654</v>
      </c>
      <c r="C845" s="1015">
        <v>1064</v>
      </c>
      <c r="D845" s="976" t="s">
        <v>1779</v>
      </c>
      <c r="E845" s="976" t="s">
        <v>1435</v>
      </c>
      <c r="F845" s="973">
        <v>14250000</v>
      </c>
      <c r="G845" s="974"/>
      <c r="H845" s="974">
        <v>8550000</v>
      </c>
      <c r="I845" s="974"/>
      <c r="J845" s="975"/>
      <c r="K845" s="974"/>
      <c r="L845" s="974">
        <f t="shared" si="56"/>
        <v>8550000</v>
      </c>
      <c r="M845" s="976"/>
      <c r="N845" s="1013">
        <f t="shared" si="52"/>
        <v>5700000</v>
      </c>
      <c r="O845" s="976"/>
      <c r="P845" s="977"/>
      <c r="Q845" s="974"/>
      <c r="R845" s="1147"/>
      <c r="S845" s="974"/>
      <c r="T845" s="976"/>
      <c r="X845" s="686"/>
      <c r="Y845" s="686"/>
    </row>
    <row r="846" spans="2:25" x14ac:dyDescent="0.25">
      <c r="B846" s="1187" t="s">
        <v>654</v>
      </c>
      <c r="C846" s="1015">
        <v>1064</v>
      </c>
      <c r="D846" s="976" t="s">
        <v>1780</v>
      </c>
      <c r="E846" s="976" t="s">
        <v>1349</v>
      </c>
      <c r="F846" s="973">
        <v>1000000</v>
      </c>
      <c r="G846" s="974"/>
      <c r="H846" s="974">
        <v>1000000</v>
      </c>
      <c r="I846" s="974"/>
      <c r="J846" s="975"/>
      <c r="K846" s="974"/>
      <c r="L846" s="974">
        <f t="shared" si="56"/>
        <v>1000000</v>
      </c>
      <c r="M846" s="976"/>
      <c r="N846" s="1013">
        <f t="shared" si="52"/>
        <v>0</v>
      </c>
      <c r="O846" s="976"/>
      <c r="P846" s="977"/>
      <c r="Q846" s="974"/>
      <c r="R846" s="1147"/>
      <c r="S846" s="974"/>
      <c r="T846" s="976"/>
      <c r="X846" s="686"/>
      <c r="Y846" s="686"/>
    </row>
    <row r="847" spans="2:25" x14ac:dyDescent="0.25">
      <c r="B847" s="1187" t="s">
        <v>654</v>
      </c>
      <c r="C847" s="1015">
        <v>1064</v>
      </c>
      <c r="D847" s="976" t="s">
        <v>1416</v>
      </c>
      <c r="E847" s="976" t="s">
        <v>1781</v>
      </c>
      <c r="F847" s="973">
        <v>4680000</v>
      </c>
      <c r="G847" s="974"/>
      <c r="H847" s="974">
        <v>4680000</v>
      </c>
      <c r="I847" s="974"/>
      <c r="J847" s="975"/>
      <c r="K847" s="974"/>
      <c r="L847" s="974">
        <f t="shared" si="56"/>
        <v>4680000</v>
      </c>
      <c r="M847" s="976"/>
      <c r="N847" s="1013">
        <f t="shared" si="52"/>
        <v>0</v>
      </c>
      <c r="O847" s="976"/>
      <c r="P847" s="977"/>
      <c r="Q847" s="974"/>
      <c r="R847" s="1147"/>
      <c r="S847" s="974"/>
      <c r="T847" s="976"/>
      <c r="X847" s="686"/>
      <c r="Y847" s="686"/>
    </row>
    <row r="848" spans="2:25" x14ac:dyDescent="0.25">
      <c r="B848" s="1187" t="s">
        <v>654</v>
      </c>
      <c r="C848" s="1015">
        <v>1064</v>
      </c>
      <c r="D848" s="976" t="s">
        <v>1345</v>
      </c>
      <c r="E848" s="976" t="s">
        <v>457</v>
      </c>
      <c r="F848" s="973">
        <v>25661565</v>
      </c>
      <c r="G848" s="974"/>
      <c r="H848" s="974">
        <v>25661565</v>
      </c>
      <c r="I848" s="974"/>
      <c r="J848" s="975"/>
      <c r="K848" s="974"/>
      <c r="L848" s="974">
        <f t="shared" si="56"/>
        <v>25661565</v>
      </c>
      <c r="M848" s="976"/>
      <c r="N848" s="1013">
        <f t="shared" si="52"/>
        <v>0</v>
      </c>
      <c r="O848" s="976"/>
      <c r="P848" s="977"/>
      <c r="Q848" s="974"/>
      <c r="R848" s="1147"/>
      <c r="S848" s="974"/>
      <c r="T848" s="976"/>
      <c r="X848" s="686"/>
      <c r="Y848" s="686"/>
    </row>
    <row r="849" spans="1:25" x14ac:dyDescent="0.25">
      <c r="B849" s="1187" t="s">
        <v>654</v>
      </c>
      <c r="C849" s="1015">
        <v>1064</v>
      </c>
      <c r="D849" s="976" t="s">
        <v>1782</v>
      </c>
      <c r="E849" s="976" t="s">
        <v>1783</v>
      </c>
      <c r="F849" s="973">
        <v>7282000</v>
      </c>
      <c r="G849" s="974"/>
      <c r="H849" s="974">
        <v>2912800</v>
      </c>
      <c r="I849" s="974"/>
      <c r="J849" s="975"/>
      <c r="K849" s="974"/>
      <c r="L849" s="974">
        <f t="shared" si="56"/>
        <v>2912800</v>
      </c>
      <c r="M849" s="976"/>
      <c r="N849" s="1013">
        <f t="shared" si="52"/>
        <v>4369200</v>
      </c>
      <c r="O849" s="976"/>
      <c r="P849" s="977"/>
      <c r="Q849" s="974"/>
      <c r="R849" s="1147"/>
      <c r="S849" s="974"/>
      <c r="T849" s="976" t="s">
        <v>1323</v>
      </c>
      <c r="X849" s="686"/>
      <c r="Y849" s="686"/>
    </row>
    <row r="850" spans="1:25" x14ac:dyDescent="0.25">
      <c r="B850" s="1187" t="s">
        <v>654</v>
      </c>
      <c r="C850" s="1015">
        <v>1064</v>
      </c>
      <c r="D850" s="976" t="s">
        <v>1784</v>
      </c>
      <c r="E850" s="976" t="s">
        <v>1785</v>
      </c>
      <c r="F850" s="973">
        <v>260000</v>
      </c>
      <c r="G850" s="974"/>
      <c r="H850" s="974">
        <v>260000</v>
      </c>
      <c r="I850" s="974"/>
      <c r="J850" s="975"/>
      <c r="K850" s="974"/>
      <c r="L850" s="974">
        <f t="shared" si="56"/>
        <v>260000</v>
      </c>
      <c r="M850" s="976"/>
      <c r="N850" s="1013">
        <f t="shared" si="52"/>
        <v>0</v>
      </c>
      <c r="O850" s="976"/>
      <c r="P850" s="977"/>
      <c r="Q850" s="974"/>
      <c r="R850" s="1147"/>
      <c r="S850" s="974"/>
      <c r="T850" s="976"/>
      <c r="X850" s="686"/>
      <c r="Y850" s="686"/>
    </row>
    <row r="851" spans="1:25" x14ac:dyDescent="0.25">
      <c r="B851" s="1187" t="s">
        <v>654</v>
      </c>
      <c r="C851" s="1015">
        <v>1064</v>
      </c>
      <c r="D851" s="976" t="s">
        <v>1786</v>
      </c>
      <c r="E851" s="976" t="s">
        <v>1787</v>
      </c>
      <c r="F851" s="973">
        <v>8800000</v>
      </c>
      <c r="G851" s="974"/>
      <c r="H851" s="974">
        <v>4400000</v>
      </c>
      <c r="I851" s="974"/>
      <c r="J851" s="975"/>
      <c r="K851" s="974"/>
      <c r="L851" s="974">
        <f t="shared" si="56"/>
        <v>4400000</v>
      </c>
      <c r="M851" s="976"/>
      <c r="N851" s="1013">
        <f t="shared" si="52"/>
        <v>4400000</v>
      </c>
      <c r="O851" s="976"/>
      <c r="P851" s="977"/>
      <c r="Q851" s="974"/>
      <c r="R851" s="1147"/>
      <c r="S851" s="974"/>
      <c r="T851" s="976" t="s">
        <v>1323</v>
      </c>
      <c r="X851" s="686"/>
      <c r="Y851" s="686"/>
    </row>
    <row r="852" spans="1:25" x14ac:dyDescent="0.25">
      <c r="B852" s="1187" t="s">
        <v>654</v>
      </c>
      <c r="C852" s="1015">
        <v>1064</v>
      </c>
      <c r="D852" s="686" t="s">
        <v>1450</v>
      </c>
      <c r="E852" s="976" t="s">
        <v>1788</v>
      </c>
      <c r="F852" s="973">
        <v>3850000</v>
      </c>
      <c r="G852" s="974"/>
      <c r="H852" s="974">
        <v>3850000</v>
      </c>
      <c r="I852" s="974"/>
      <c r="J852" s="975"/>
      <c r="K852" s="974"/>
      <c r="L852" s="974">
        <f t="shared" si="56"/>
        <v>3850000</v>
      </c>
      <c r="M852" s="976"/>
      <c r="N852" s="1013">
        <f t="shared" si="52"/>
        <v>0</v>
      </c>
      <c r="O852" s="976"/>
      <c r="P852" s="977"/>
      <c r="Q852" s="974"/>
      <c r="R852" s="1147"/>
      <c r="S852" s="974"/>
      <c r="T852" s="976"/>
      <c r="X852" s="686"/>
      <c r="Y852" s="686"/>
    </row>
    <row r="853" spans="1:25" x14ac:dyDescent="0.25">
      <c r="B853" s="1187" t="s">
        <v>654</v>
      </c>
      <c r="C853" s="1015">
        <v>1064</v>
      </c>
      <c r="D853" s="686" t="s">
        <v>1789</v>
      </c>
      <c r="E853" s="976" t="s">
        <v>1790</v>
      </c>
      <c r="F853" s="973">
        <v>8500000</v>
      </c>
      <c r="G853" s="974"/>
      <c r="H853" s="974">
        <v>8500000</v>
      </c>
      <c r="I853" s="974"/>
      <c r="J853" s="975"/>
      <c r="K853" s="974"/>
      <c r="L853" s="974">
        <f t="shared" si="56"/>
        <v>8500000</v>
      </c>
      <c r="M853" s="976"/>
      <c r="N853" s="1013">
        <f t="shared" si="52"/>
        <v>0</v>
      </c>
      <c r="O853" s="976"/>
      <c r="P853" s="977"/>
      <c r="Q853" s="974"/>
      <c r="R853" s="1147"/>
      <c r="S853" s="974"/>
      <c r="T853" s="976"/>
      <c r="X853" s="686"/>
      <c r="Y853" s="686"/>
    </row>
    <row r="854" spans="1:25" x14ac:dyDescent="0.25">
      <c r="B854" s="1187" t="s">
        <v>654</v>
      </c>
      <c r="C854" s="1015">
        <v>1064</v>
      </c>
      <c r="D854" s="976" t="s">
        <v>566</v>
      </c>
      <c r="E854" s="976"/>
      <c r="F854" s="973">
        <f>W854</f>
        <v>24057000</v>
      </c>
      <c r="G854" s="974"/>
      <c r="H854" s="974">
        <v>1960000</v>
      </c>
      <c r="I854" s="974">
        <v>2100000</v>
      </c>
      <c r="J854" s="975">
        <v>2100000</v>
      </c>
      <c r="K854" s="974">
        <f>3345000+1899000+11225000+1428000</f>
        <v>17897000</v>
      </c>
      <c r="L854" s="974">
        <f t="shared" si="56"/>
        <v>24057000</v>
      </c>
      <c r="M854" s="976"/>
      <c r="N854" s="1013">
        <f t="shared" si="52"/>
        <v>0</v>
      </c>
      <c r="O854" s="976"/>
      <c r="P854" s="977"/>
      <c r="Q854" s="974"/>
      <c r="R854" s="1147"/>
      <c r="S854" s="974"/>
      <c r="T854" s="976"/>
      <c r="V854" s="1000" t="s">
        <v>948</v>
      </c>
      <c r="W854" s="1000">
        <f>SUM(W829:W835)</f>
        <v>24057000</v>
      </c>
      <c r="X854" s="686"/>
      <c r="Y854" s="686"/>
    </row>
    <row r="855" spans="1:25" ht="15.75" x14ac:dyDescent="0.25">
      <c r="A855" s="723"/>
      <c r="B855" s="720" t="s">
        <v>997</v>
      </c>
      <c r="C855" s="720"/>
      <c r="D855" s="699" t="s">
        <v>654</v>
      </c>
      <c r="E855" s="992"/>
      <c r="F855" s="993"/>
      <c r="G855" s="994"/>
      <c r="H855" s="994"/>
      <c r="I855" s="994"/>
      <c r="J855" s="995"/>
      <c r="K855" s="994"/>
      <c r="L855" s="735">
        <f>SUM(L829:L854)</f>
        <v>423180269</v>
      </c>
      <c r="M855" s="992"/>
      <c r="N855" s="1042">
        <f>SUM(N829:N854)</f>
        <v>44075810</v>
      </c>
      <c r="O855" s="992"/>
      <c r="P855" s="998"/>
      <c r="Q855" s="994"/>
      <c r="R855" s="1153"/>
      <c r="S855" s="994"/>
      <c r="T855" s="992"/>
      <c r="X855" s="686"/>
      <c r="Y855" s="686"/>
    </row>
    <row r="856" spans="1:25" x14ac:dyDescent="0.25">
      <c r="A856" s="686">
        <v>40</v>
      </c>
      <c r="B856" s="1187" t="s">
        <v>1791</v>
      </c>
      <c r="C856" s="1015">
        <v>1034</v>
      </c>
      <c r="D856" s="976" t="s">
        <v>1792</v>
      </c>
      <c r="E856" s="1107" t="s">
        <v>1531</v>
      </c>
      <c r="F856" s="973">
        <v>2170000</v>
      </c>
      <c r="G856" s="974"/>
      <c r="H856" s="974">
        <v>2170000</v>
      </c>
      <c r="I856" s="974"/>
      <c r="J856" s="975"/>
      <c r="K856" s="974"/>
      <c r="L856" s="974">
        <f>SUM(H856:K856)</f>
        <v>2170000</v>
      </c>
      <c r="M856" s="976"/>
      <c r="N856" s="1013">
        <f t="shared" si="52"/>
        <v>0</v>
      </c>
      <c r="O856" s="976"/>
      <c r="P856" s="977"/>
      <c r="Q856" s="974"/>
      <c r="R856" s="1147"/>
      <c r="S856" s="974"/>
      <c r="T856" s="976"/>
      <c r="X856" s="686"/>
      <c r="Y856" s="686"/>
    </row>
    <row r="857" spans="1:25" x14ac:dyDescent="0.25">
      <c r="B857" s="1187" t="s">
        <v>1791</v>
      </c>
      <c r="C857" s="1015">
        <v>1034</v>
      </c>
      <c r="D857" s="976" t="s">
        <v>1793</v>
      </c>
      <c r="E857" s="976" t="s">
        <v>1118</v>
      </c>
      <c r="F857" s="973">
        <v>13700000</v>
      </c>
      <c r="G857" s="974"/>
      <c r="H857" s="974">
        <v>13700000</v>
      </c>
      <c r="I857" s="974"/>
      <c r="J857" s="975"/>
      <c r="K857" s="974"/>
      <c r="L857" s="974">
        <f>SUM(H857:K857)</f>
        <v>13700000</v>
      </c>
      <c r="M857" s="976"/>
      <c r="N857" s="1013">
        <f t="shared" si="52"/>
        <v>0</v>
      </c>
      <c r="O857" s="976"/>
      <c r="P857" s="977"/>
      <c r="Q857" s="974"/>
      <c r="R857" s="1147"/>
      <c r="S857" s="974"/>
      <c r="T857" s="976"/>
      <c r="X857" s="686"/>
      <c r="Y857" s="686"/>
    </row>
    <row r="858" spans="1:25" x14ac:dyDescent="0.25">
      <c r="B858" s="1187" t="s">
        <v>1791</v>
      </c>
      <c r="C858" s="1015">
        <v>1034</v>
      </c>
      <c r="D858" s="976" t="s">
        <v>1794</v>
      </c>
      <c r="E858" s="1107" t="s">
        <v>662</v>
      </c>
      <c r="F858" s="973">
        <v>6170400</v>
      </c>
      <c r="G858" s="974"/>
      <c r="H858" s="974">
        <v>6170400</v>
      </c>
      <c r="I858" s="974"/>
      <c r="J858" s="975"/>
      <c r="K858" s="974"/>
      <c r="L858" s="974">
        <f t="shared" ref="L858:L864" si="57">SUM(H858:K858)</f>
        <v>6170400</v>
      </c>
      <c r="M858" s="976"/>
      <c r="N858" s="1013">
        <f t="shared" si="52"/>
        <v>0</v>
      </c>
      <c r="O858" s="976"/>
      <c r="P858" s="977"/>
      <c r="Q858" s="974"/>
      <c r="R858" s="1147"/>
      <c r="S858" s="974"/>
      <c r="T858" s="976"/>
      <c r="X858" s="686"/>
      <c r="Y858" s="686"/>
    </row>
    <row r="859" spans="1:25" x14ac:dyDescent="0.25">
      <c r="B859" s="1187" t="s">
        <v>1791</v>
      </c>
      <c r="C859" s="1015">
        <v>1034</v>
      </c>
      <c r="D859" s="976"/>
      <c r="E859" s="976"/>
      <c r="F859" s="973"/>
      <c r="G859" s="974"/>
      <c r="H859" s="974"/>
      <c r="I859" s="974"/>
      <c r="J859" s="975"/>
      <c r="K859" s="974"/>
      <c r="L859" s="974">
        <f t="shared" si="57"/>
        <v>0</v>
      </c>
      <c r="M859" s="976"/>
      <c r="N859" s="1013">
        <f t="shared" si="52"/>
        <v>0</v>
      </c>
      <c r="O859" s="976"/>
      <c r="P859" s="977"/>
      <c r="Q859" s="974"/>
      <c r="R859" s="1147"/>
      <c r="S859" s="974"/>
      <c r="T859" s="976"/>
      <c r="X859" s="686"/>
      <c r="Y859" s="686"/>
    </row>
    <row r="860" spans="1:25" x14ac:dyDescent="0.25">
      <c r="B860" s="1187" t="s">
        <v>1791</v>
      </c>
      <c r="C860" s="1015">
        <v>1034</v>
      </c>
      <c r="D860" s="976"/>
      <c r="E860" s="976"/>
      <c r="F860" s="973"/>
      <c r="G860" s="974"/>
      <c r="H860" s="974"/>
      <c r="I860" s="974"/>
      <c r="J860" s="975"/>
      <c r="K860" s="974"/>
      <c r="L860" s="974">
        <f t="shared" si="57"/>
        <v>0</v>
      </c>
      <c r="M860" s="976"/>
      <c r="N860" s="1013">
        <f t="shared" si="52"/>
        <v>0</v>
      </c>
      <c r="O860" s="976"/>
      <c r="P860" s="977"/>
      <c r="Q860" s="974"/>
      <c r="R860" s="1147"/>
      <c r="S860" s="974"/>
      <c r="T860" s="976"/>
      <c r="X860" s="686"/>
      <c r="Y860" s="686"/>
    </row>
    <row r="861" spans="1:25" x14ac:dyDescent="0.25">
      <c r="B861" s="1187" t="s">
        <v>1791</v>
      </c>
      <c r="C861" s="1015">
        <v>1034</v>
      </c>
      <c r="D861" s="976"/>
      <c r="E861" s="976"/>
      <c r="F861" s="973"/>
      <c r="G861" s="974"/>
      <c r="H861" s="974"/>
      <c r="I861" s="974"/>
      <c r="J861" s="975"/>
      <c r="K861" s="974"/>
      <c r="L861" s="974">
        <f t="shared" si="57"/>
        <v>0</v>
      </c>
      <c r="M861" s="976"/>
      <c r="N861" s="1013">
        <f t="shared" si="52"/>
        <v>0</v>
      </c>
      <c r="O861" s="976"/>
      <c r="P861" s="977"/>
      <c r="Q861" s="974"/>
      <c r="R861" s="1147"/>
      <c r="S861" s="974"/>
      <c r="T861" s="976"/>
      <c r="X861" s="686"/>
      <c r="Y861" s="686"/>
    </row>
    <row r="862" spans="1:25" x14ac:dyDescent="0.25">
      <c r="B862" s="1187" t="s">
        <v>1791</v>
      </c>
      <c r="C862" s="1015">
        <v>1034</v>
      </c>
      <c r="D862" s="976"/>
      <c r="E862" s="976"/>
      <c r="F862" s="973"/>
      <c r="G862" s="974"/>
      <c r="H862" s="974"/>
      <c r="I862" s="974"/>
      <c r="J862" s="975"/>
      <c r="K862" s="974"/>
      <c r="L862" s="974">
        <f t="shared" si="57"/>
        <v>0</v>
      </c>
      <c r="M862" s="976"/>
      <c r="N862" s="1013">
        <f t="shared" si="52"/>
        <v>0</v>
      </c>
      <c r="O862" s="976"/>
      <c r="P862" s="977"/>
      <c r="Q862" s="974"/>
      <c r="R862" s="1147"/>
      <c r="S862" s="974"/>
      <c r="T862" s="976"/>
      <c r="X862" s="686"/>
      <c r="Y862" s="686"/>
    </row>
    <row r="863" spans="1:25" x14ac:dyDescent="0.25">
      <c r="B863" s="1187" t="s">
        <v>1791</v>
      </c>
      <c r="C863" s="1015">
        <v>1034</v>
      </c>
      <c r="D863" s="976"/>
      <c r="E863" s="976"/>
      <c r="F863" s="973"/>
      <c r="G863" s="974"/>
      <c r="H863" s="974"/>
      <c r="I863" s="974"/>
      <c r="J863" s="975"/>
      <c r="K863" s="974"/>
      <c r="L863" s="974">
        <f t="shared" si="57"/>
        <v>0</v>
      </c>
      <c r="M863" s="976"/>
      <c r="N863" s="1013">
        <f t="shared" si="52"/>
        <v>0</v>
      </c>
      <c r="O863" s="976"/>
      <c r="P863" s="977"/>
      <c r="Q863" s="974"/>
      <c r="R863" s="1147"/>
      <c r="S863" s="974"/>
      <c r="T863" s="976"/>
      <c r="X863" s="686"/>
      <c r="Y863" s="686"/>
    </row>
    <row r="864" spans="1:25" x14ac:dyDescent="0.25">
      <c r="B864" s="1187" t="s">
        <v>1791</v>
      </c>
      <c r="C864" s="1015">
        <v>1034</v>
      </c>
      <c r="D864" s="976"/>
      <c r="E864" s="976"/>
      <c r="F864" s="973"/>
      <c r="G864" s="974"/>
      <c r="H864" s="974"/>
      <c r="I864" s="974"/>
      <c r="J864" s="975"/>
      <c r="K864" s="974"/>
      <c r="L864" s="974">
        <f t="shared" si="57"/>
        <v>0</v>
      </c>
      <c r="M864" s="976"/>
      <c r="N864" s="1013">
        <f t="shared" si="52"/>
        <v>0</v>
      </c>
      <c r="O864" s="976"/>
      <c r="P864" s="977"/>
      <c r="Q864" s="974"/>
      <c r="R864" s="1147"/>
      <c r="S864" s="974"/>
      <c r="T864" s="976"/>
      <c r="V864" s="1000"/>
      <c r="W864" s="1000"/>
      <c r="X864" s="686"/>
      <c r="Y864" s="686"/>
    </row>
    <row r="865" spans="1:25" ht="15.75" x14ac:dyDescent="0.25">
      <c r="A865" s="723"/>
      <c r="B865" s="720" t="s">
        <v>997</v>
      </c>
      <c r="C865" s="720"/>
      <c r="D865" s="699" t="s">
        <v>1791</v>
      </c>
      <c r="E865" s="992"/>
      <c r="F865" s="993"/>
      <c r="G865" s="994"/>
      <c r="H865" s="994"/>
      <c r="I865" s="994"/>
      <c r="J865" s="995"/>
      <c r="K865" s="994"/>
      <c r="L865" s="735">
        <f>SUM(L856:L864)</f>
        <v>22040400</v>
      </c>
      <c r="M865" s="992"/>
      <c r="N865" s="1042">
        <f>SUM(N856:N864)</f>
        <v>0</v>
      </c>
      <c r="O865" s="992"/>
      <c r="P865" s="998"/>
      <c r="Q865" s="994"/>
      <c r="R865" s="1153"/>
      <c r="S865" s="994"/>
      <c r="T865" s="992"/>
      <c r="X865" s="686"/>
      <c r="Y865" s="686"/>
    </row>
    <row r="866" spans="1:25" x14ac:dyDescent="0.25">
      <c r="A866" s="686">
        <v>41</v>
      </c>
      <c r="B866" s="1187" t="s">
        <v>1795</v>
      </c>
      <c r="C866" s="1015">
        <v>1069</v>
      </c>
      <c r="D866" s="976" t="s">
        <v>1796</v>
      </c>
      <c r="E866" s="1107" t="s">
        <v>1306</v>
      </c>
      <c r="F866" s="973">
        <v>2000000</v>
      </c>
      <c r="G866" s="974"/>
      <c r="H866" s="974">
        <v>2000000</v>
      </c>
      <c r="I866" s="974"/>
      <c r="J866" s="975"/>
      <c r="K866" s="974"/>
      <c r="L866" s="974">
        <f>SUM(H866:K866)</f>
        <v>2000000</v>
      </c>
      <c r="M866" s="976"/>
      <c r="N866" s="1013">
        <f t="shared" si="52"/>
        <v>0</v>
      </c>
      <c r="O866" s="976"/>
      <c r="P866" s="977"/>
      <c r="Q866" s="974"/>
      <c r="R866" s="1147"/>
      <c r="S866" s="974"/>
      <c r="T866" s="976"/>
      <c r="V866" s="687" t="s">
        <v>1684</v>
      </c>
      <c r="X866" s="686"/>
      <c r="Y866" s="686"/>
    </row>
    <row r="867" spans="1:25" x14ac:dyDescent="0.25">
      <c r="B867" s="1187" t="s">
        <v>1795</v>
      </c>
      <c r="C867" s="1015">
        <v>1069</v>
      </c>
      <c r="D867" s="976" t="s">
        <v>1797</v>
      </c>
      <c r="E867" s="976" t="s">
        <v>1798</v>
      </c>
      <c r="F867" s="973">
        <v>107800</v>
      </c>
      <c r="G867" s="974"/>
      <c r="H867" s="974">
        <v>107800</v>
      </c>
      <c r="I867" s="974"/>
      <c r="J867" s="975"/>
      <c r="K867" s="974"/>
      <c r="L867" s="974">
        <f>SUM(H867:K867)</f>
        <v>107800</v>
      </c>
      <c r="M867" s="976"/>
      <c r="N867" s="1013">
        <f t="shared" si="52"/>
        <v>0</v>
      </c>
      <c r="O867" s="976"/>
      <c r="P867" s="977"/>
      <c r="Q867" s="974"/>
      <c r="R867" s="1147"/>
      <c r="S867" s="974"/>
      <c r="T867" s="976"/>
      <c r="X867" s="686"/>
      <c r="Y867" s="686"/>
    </row>
    <row r="868" spans="1:25" x14ac:dyDescent="0.25">
      <c r="B868" s="1187" t="s">
        <v>1795</v>
      </c>
      <c r="C868" s="1015">
        <v>1069</v>
      </c>
      <c r="D868" s="976" t="s">
        <v>1560</v>
      </c>
      <c r="E868" s="976" t="s">
        <v>1480</v>
      </c>
      <c r="F868" s="973">
        <v>1100000</v>
      </c>
      <c r="G868" s="974"/>
      <c r="H868" s="974">
        <v>1100000</v>
      </c>
      <c r="I868" s="974"/>
      <c r="J868" s="975"/>
      <c r="K868" s="974"/>
      <c r="L868" s="974">
        <f t="shared" ref="L868:L882" si="58">SUM(H868:K868)</f>
        <v>1100000</v>
      </c>
      <c r="M868" s="976"/>
      <c r="N868" s="1013">
        <f t="shared" si="52"/>
        <v>0</v>
      </c>
      <c r="O868" s="976"/>
      <c r="P868" s="977"/>
      <c r="Q868" s="974"/>
      <c r="R868" s="1147"/>
      <c r="S868" s="974"/>
      <c r="T868" s="976"/>
      <c r="X868" s="686"/>
      <c r="Y868" s="686"/>
    </row>
    <row r="869" spans="1:25" x14ac:dyDescent="0.25">
      <c r="B869" s="1187" t="s">
        <v>1795</v>
      </c>
      <c r="C869" s="1015">
        <v>1069</v>
      </c>
      <c r="D869" s="976" t="s">
        <v>1799</v>
      </c>
      <c r="E869" s="976" t="s">
        <v>1090</v>
      </c>
      <c r="F869" s="973">
        <v>2965000</v>
      </c>
      <c r="G869" s="974"/>
      <c r="H869" s="974">
        <v>2965000</v>
      </c>
      <c r="I869" s="974"/>
      <c r="J869" s="975"/>
      <c r="K869" s="974"/>
      <c r="L869" s="974">
        <f t="shared" si="58"/>
        <v>2965000</v>
      </c>
      <c r="M869" s="976"/>
      <c r="N869" s="1013">
        <f t="shared" si="52"/>
        <v>0</v>
      </c>
      <c r="O869" s="976"/>
      <c r="P869" s="977"/>
      <c r="Q869" s="974"/>
      <c r="R869" s="1147"/>
      <c r="S869" s="974"/>
      <c r="T869" s="976"/>
      <c r="X869" s="686"/>
      <c r="Y869" s="686"/>
    </row>
    <row r="870" spans="1:25" x14ac:dyDescent="0.25">
      <c r="B870" s="1187" t="s">
        <v>1795</v>
      </c>
      <c r="C870" s="1015">
        <v>1069</v>
      </c>
      <c r="D870" s="976" t="s">
        <v>1800</v>
      </c>
      <c r="E870" s="976" t="s">
        <v>1801</v>
      </c>
      <c r="F870" s="973">
        <f>8870400+2100000</f>
        <v>10970400</v>
      </c>
      <c r="G870" s="974"/>
      <c r="H870" s="974">
        <v>3291000</v>
      </c>
      <c r="I870" s="974"/>
      <c r="J870" s="975"/>
      <c r="K870" s="974"/>
      <c r="L870" s="974">
        <f t="shared" si="58"/>
        <v>3291000</v>
      </c>
      <c r="M870" s="976"/>
      <c r="N870" s="1013">
        <f t="shared" si="52"/>
        <v>7679400</v>
      </c>
      <c r="O870" s="976"/>
      <c r="P870" s="977"/>
      <c r="Q870" s="974"/>
      <c r="R870" s="1147"/>
      <c r="S870" s="974" t="s">
        <v>1417</v>
      </c>
      <c r="T870" s="976"/>
      <c r="X870" s="686"/>
      <c r="Y870" s="686"/>
    </row>
    <row r="871" spans="1:25" x14ac:dyDescent="0.25">
      <c r="B871" s="1187" t="s">
        <v>1795</v>
      </c>
      <c r="C871" s="1015">
        <v>1069</v>
      </c>
      <c r="D871" s="976" t="s">
        <v>1802</v>
      </c>
      <c r="E871" s="976" t="s">
        <v>887</v>
      </c>
      <c r="F871" s="973">
        <v>79639000</v>
      </c>
      <c r="G871" s="974"/>
      <c r="H871" s="974">
        <v>23891000</v>
      </c>
      <c r="I871" s="974"/>
      <c r="J871" s="975"/>
      <c r="K871" s="974"/>
      <c r="L871" s="974">
        <f t="shared" si="58"/>
        <v>23891000</v>
      </c>
      <c r="M871" s="976"/>
      <c r="N871" s="1013">
        <f t="shared" si="52"/>
        <v>55748000</v>
      </c>
      <c r="O871" s="976"/>
      <c r="P871" s="977"/>
      <c r="Q871" s="974"/>
      <c r="R871" s="1147"/>
      <c r="S871" s="974"/>
      <c r="T871" s="976"/>
      <c r="X871" s="686"/>
      <c r="Y871" s="686"/>
    </row>
    <row r="872" spans="1:25" x14ac:dyDescent="0.25">
      <c r="B872" s="1187" t="s">
        <v>1795</v>
      </c>
      <c r="C872" s="1015">
        <v>1069</v>
      </c>
      <c r="D872" s="976" t="s">
        <v>1803</v>
      </c>
      <c r="E872" s="976" t="s">
        <v>1425</v>
      </c>
      <c r="F872" s="973">
        <v>70500000</v>
      </c>
      <c r="G872" s="974"/>
      <c r="H872" s="974">
        <v>35250000</v>
      </c>
      <c r="I872" s="974"/>
      <c r="J872" s="975"/>
      <c r="K872" s="974"/>
      <c r="L872" s="974">
        <f t="shared" si="58"/>
        <v>35250000</v>
      </c>
      <c r="M872" s="976"/>
      <c r="N872" s="1013">
        <f t="shared" si="52"/>
        <v>35250000</v>
      </c>
      <c r="O872" s="976"/>
      <c r="P872" s="977"/>
      <c r="Q872" s="974"/>
      <c r="R872" s="1147"/>
      <c r="S872" s="974"/>
      <c r="T872" s="976" t="s">
        <v>1323</v>
      </c>
      <c r="X872" s="686"/>
      <c r="Y872" s="686"/>
    </row>
    <row r="873" spans="1:25" x14ac:dyDescent="0.25">
      <c r="B873" s="1187" t="s">
        <v>1795</v>
      </c>
      <c r="C873" s="1015">
        <v>1069</v>
      </c>
      <c r="D873" s="976" t="s">
        <v>1804</v>
      </c>
      <c r="E873" s="976" t="s">
        <v>1160</v>
      </c>
      <c r="F873" s="973">
        <v>3000000</v>
      </c>
      <c r="G873" s="974"/>
      <c r="H873" s="974">
        <v>3000000</v>
      </c>
      <c r="I873" s="974"/>
      <c r="J873" s="975"/>
      <c r="K873" s="974"/>
      <c r="L873" s="974">
        <f t="shared" si="58"/>
        <v>3000000</v>
      </c>
      <c r="M873" s="976"/>
      <c r="N873" s="1013">
        <f t="shared" si="52"/>
        <v>0</v>
      </c>
      <c r="O873" s="976"/>
      <c r="P873" s="977"/>
      <c r="Q873" s="974"/>
      <c r="R873" s="1147"/>
      <c r="S873" s="974"/>
      <c r="T873" s="976"/>
      <c r="X873" s="686"/>
      <c r="Y873" s="686"/>
    </row>
    <row r="874" spans="1:25" x14ac:dyDescent="0.25">
      <c r="B874" s="1187" t="s">
        <v>1795</v>
      </c>
      <c r="C874" s="1015">
        <v>1069</v>
      </c>
      <c r="D874" s="976" t="s">
        <v>1732</v>
      </c>
      <c r="E874" s="976" t="s">
        <v>1349</v>
      </c>
      <c r="F874" s="973">
        <v>25324100</v>
      </c>
      <c r="G874" s="974"/>
      <c r="H874" s="974">
        <v>25324100</v>
      </c>
      <c r="I874" s="974"/>
      <c r="J874" s="975"/>
      <c r="K874" s="974"/>
      <c r="L874" s="974">
        <f t="shared" si="58"/>
        <v>25324100</v>
      </c>
      <c r="M874" s="976"/>
      <c r="N874" s="1013">
        <f t="shared" si="52"/>
        <v>0</v>
      </c>
      <c r="O874" s="976"/>
      <c r="P874" s="977"/>
      <c r="Q874" s="974"/>
      <c r="R874" s="1147"/>
      <c r="S874" s="974"/>
      <c r="T874" s="976"/>
      <c r="X874" s="686"/>
      <c r="Y874" s="686"/>
    </row>
    <row r="875" spans="1:25" x14ac:dyDescent="0.25">
      <c r="B875" s="1187" t="s">
        <v>1795</v>
      </c>
      <c r="C875" s="1015">
        <v>1069</v>
      </c>
      <c r="D875" s="976" t="s">
        <v>1805</v>
      </c>
      <c r="E875" s="976" t="s">
        <v>1806</v>
      </c>
      <c r="F875" s="973">
        <v>400000</v>
      </c>
      <c r="G875" s="974"/>
      <c r="H875" s="974">
        <v>400000</v>
      </c>
      <c r="I875" s="974"/>
      <c r="J875" s="975"/>
      <c r="K875" s="974"/>
      <c r="L875" s="974">
        <f t="shared" si="58"/>
        <v>400000</v>
      </c>
      <c r="M875" s="976"/>
      <c r="N875" s="1013">
        <f t="shared" si="52"/>
        <v>0</v>
      </c>
      <c r="O875" s="976"/>
      <c r="P875" s="977"/>
      <c r="Q875" s="974"/>
      <c r="R875" s="1147"/>
      <c r="S875" s="974"/>
      <c r="T875" s="976"/>
      <c r="X875" s="686"/>
      <c r="Y875" s="686"/>
    </row>
    <row r="876" spans="1:25" x14ac:dyDescent="0.25">
      <c r="B876" s="1187" t="s">
        <v>1795</v>
      </c>
      <c r="C876" s="1015">
        <v>1069</v>
      </c>
      <c r="D876" s="976" t="s">
        <v>1807</v>
      </c>
      <c r="E876" s="976" t="s">
        <v>662</v>
      </c>
      <c r="F876" s="973">
        <v>39250000</v>
      </c>
      <c r="G876" s="974"/>
      <c r="H876" s="974">
        <v>11775000</v>
      </c>
      <c r="I876" s="974"/>
      <c r="J876" s="975"/>
      <c r="K876" s="974"/>
      <c r="L876" s="974">
        <f t="shared" si="58"/>
        <v>11775000</v>
      </c>
      <c r="M876" s="976"/>
      <c r="N876" s="1013">
        <f t="shared" si="52"/>
        <v>27475000</v>
      </c>
      <c r="O876" s="976"/>
      <c r="P876" s="977"/>
      <c r="Q876" s="974"/>
      <c r="R876" s="1147"/>
      <c r="S876" s="974"/>
      <c r="T876" s="976"/>
      <c r="X876" s="686"/>
      <c r="Y876" s="686"/>
    </row>
    <row r="877" spans="1:25" x14ac:dyDescent="0.25">
      <c r="B877" s="1187" t="s">
        <v>1795</v>
      </c>
      <c r="C877" s="1015">
        <v>1069</v>
      </c>
      <c r="D877" s="976" t="s">
        <v>1427</v>
      </c>
      <c r="E877" s="976" t="s">
        <v>1575</v>
      </c>
      <c r="F877" s="973">
        <v>7142500</v>
      </c>
      <c r="G877" s="974"/>
      <c r="H877" s="974">
        <v>7142500</v>
      </c>
      <c r="I877" s="974"/>
      <c r="J877" s="975"/>
      <c r="K877" s="974"/>
      <c r="L877" s="974">
        <f t="shared" si="58"/>
        <v>7142500</v>
      </c>
      <c r="M877" s="976"/>
      <c r="N877" s="1013">
        <f t="shared" si="52"/>
        <v>0</v>
      </c>
      <c r="O877" s="976"/>
      <c r="P877" s="977"/>
      <c r="Q877" s="974"/>
      <c r="R877" s="1147"/>
      <c r="S877" s="974"/>
      <c r="T877" s="976"/>
      <c r="X877" s="686"/>
      <c r="Y877" s="686"/>
    </row>
    <row r="878" spans="1:25" x14ac:dyDescent="0.25">
      <c r="B878" s="1187" t="s">
        <v>1795</v>
      </c>
      <c r="C878" s="1015">
        <v>1069</v>
      </c>
      <c r="D878" s="976" t="s">
        <v>1808</v>
      </c>
      <c r="E878" s="976" t="s">
        <v>1759</v>
      </c>
      <c r="F878" s="973">
        <v>3850000</v>
      </c>
      <c r="G878" s="974"/>
      <c r="H878" s="974">
        <v>3850000</v>
      </c>
      <c r="I878" s="974"/>
      <c r="J878" s="975"/>
      <c r="K878" s="974"/>
      <c r="L878" s="974">
        <f t="shared" si="58"/>
        <v>3850000</v>
      </c>
      <c r="M878" s="976"/>
      <c r="N878" s="1013">
        <f t="shared" si="52"/>
        <v>0</v>
      </c>
      <c r="O878" s="976"/>
      <c r="P878" s="977"/>
      <c r="Q878" s="974"/>
      <c r="R878" s="1147"/>
      <c r="S878" s="974"/>
      <c r="T878" s="976"/>
      <c r="X878" s="686"/>
      <c r="Y878" s="686"/>
    </row>
    <row r="879" spans="1:25" x14ac:dyDescent="0.25">
      <c r="B879" s="1187" t="s">
        <v>1795</v>
      </c>
      <c r="C879" s="1015">
        <v>1069</v>
      </c>
      <c r="D879" s="976" t="s">
        <v>1269</v>
      </c>
      <c r="E879" s="976" t="s">
        <v>521</v>
      </c>
      <c r="F879" s="973">
        <v>10800000</v>
      </c>
      <c r="G879" s="974"/>
      <c r="H879" s="974">
        <v>5000000</v>
      </c>
      <c r="I879" s="974"/>
      <c r="J879" s="975"/>
      <c r="K879" s="974"/>
      <c r="L879" s="974">
        <f t="shared" si="58"/>
        <v>5000000</v>
      </c>
      <c r="M879" s="976"/>
      <c r="N879" s="1013">
        <f t="shared" si="52"/>
        <v>5800000</v>
      </c>
      <c r="O879" s="976"/>
      <c r="P879" s="977"/>
      <c r="Q879" s="974"/>
      <c r="R879" s="1147"/>
      <c r="S879" s="974"/>
      <c r="T879" s="976"/>
      <c r="X879" s="686"/>
      <c r="Y879" s="686"/>
    </row>
    <row r="880" spans="1:25" x14ac:dyDescent="0.25">
      <c r="B880" s="1187" t="s">
        <v>1795</v>
      </c>
      <c r="C880" s="1015">
        <v>1069</v>
      </c>
      <c r="D880" s="976" t="s">
        <v>1809</v>
      </c>
      <c r="E880" s="976" t="s">
        <v>1349</v>
      </c>
      <c r="F880" s="973">
        <v>25582000</v>
      </c>
      <c r="G880" s="974"/>
      <c r="H880" s="974">
        <v>25582000</v>
      </c>
      <c r="I880" s="974"/>
      <c r="J880" s="975"/>
      <c r="K880" s="974"/>
      <c r="L880" s="974">
        <f t="shared" si="58"/>
        <v>25582000</v>
      </c>
      <c r="M880" s="976"/>
      <c r="N880" s="1013">
        <f t="shared" si="52"/>
        <v>0</v>
      </c>
      <c r="O880" s="976"/>
      <c r="P880" s="977"/>
      <c r="Q880" s="974"/>
      <c r="R880" s="1147"/>
      <c r="S880" s="974"/>
      <c r="T880" s="976"/>
      <c r="X880" s="686"/>
      <c r="Y880" s="686"/>
    </row>
    <row r="881" spans="1:25" x14ac:dyDescent="0.25">
      <c r="B881" s="1187" t="s">
        <v>1795</v>
      </c>
      <c r="C881" s="1015">
        <v>1069</v>
      </c>
      <c r="D881" s="976" t="s">
        <v>1810</v>
      </c>
      <c r="E881" s="976" t="s">
        <v>1806</v>
      </c>
      <c r="F881" s="973">
        <v>3630000</v>
      </c>
      <c r="G881" s="974"/>
      <c r="H881" s="974">
        <v>3630000</v>
      </c>
      <c r="I881" s="974"/>
      <c r="J881" s="975"/>
      <c r="K881" s="974"/>
      <c r="L881" s="974">
        <f t="shared" si="58"/>
        <v>3630000</v>
      </c>
      <c r="M881" s="976"/>
      <c r="N881" s="1013">
        <f t="shared" si="52"/>
        <v>0</v>
      </c>
      <c r="O881" s="976"/>
      <c r="P881" s="977"/>
      <c r="Q881" s="974">
        <v>3630000</v>
      </c>
      <c r="R881" s="1147" t="s">
        <v>1811</v>
      </c>
      <c r="S881" s="974"/>
      <c r="T881" s="976" t="s">
        <v>1672</v>
      </c>
      <c r="X881" s="686"/>
      <c r="Y881" s="686"/>
    </row>
    <row r="882" spans="1:25" x14ac:dyDescent="0.25">
      <c r="B882" s="1187" t="s">
        <v>1795</v>
      </c>
      <c r="C882" s="1015">
        <v>1069</v>
      </c>
      <c r="D882" s="976" t="s">
        <v>947</v>
      </c>
      <c r="E882" s="976"/>
      <c r="F882" s="973"/>
      <c r="G882" s="974"/>
      <c r="H882" s="974"/>
      <c r="I882" s="974"/>
      <c r="J882" s="975"/>
      <c r="K882" s="974"/>
      <c r="L882" s="974">
        <f t="shared" si="58"/>
        <v>0</v>
      </c>
      <c r="M882" s="976"/>
      <c r="N882" s="1013">
        <f t="shared" ref="N882" si="59">IF($G882="",($F882-$L882),($G882-$L882))</f>
        <v>0</v>
      </c>
      <c r="O882" s="976"/>
      <c r="P882" s="977"/>
      <c r="Q882" s="974"/>
      <c r="R882" s="1147"/>
      <c r="S882" s="974"/>
      <c r="T882" s="976"/>
      <c r="V882" s="1000" t="s">
        <v>948</v>
      </c>
      <c r="W882" s="1000">
        <f>SUM(W866:W873)</f>
        <v>0</v>
      </c>
      <c r="X882" s="686"/>
      <c r="Y882" s="686"/>
    </row>
    <row r="883" spans="1:25" ht="15.75" x14ac:dyDescent="0.25">
      <c r="A883" s="723"/>
      <c r="B883" s="720" t="s">
        <v>997</v>
      </c>
      <c r="C883" s="720"/>
      <c r="D883" s="699" t="s">
        <v>1812</v>
      </c>
      <c r="E883" s="992"/>
      <c r="F883" s="993"/>
      <c r="G883" s="994"/>
      <c r="H883" s="994"/>
      <c r="I883" s="994"/>
      <c r="J883" s="995"/>
      <c r="K883" s="994"/>
      <c r="L883" s="735">
        <f>SUM(L866:L882)</f>
        <v>154308400</v>
      </c>
      <c r="M883" s="992"/>
      <c r="N883" s="1042">
        <f>SUM(N866:N882)</f>
        <v>131952400</v>
      </c>
      <c r="O883" s="992"/>
      <c r="P883" s="998"/>
      <c r="Q883" s="994"/>
      <c r="R883" s="1153"/>
      <c r="S883" s="994"/>
      <c r="T883" s="992"/>
      <c r="X883" s="686"/>
      <c r="Y883" s="686"/>
    </row>
    <row r="884" spans="1:25" x14ac:dyDescent="0.25">
      <c r="A884" s="686">
        <v>42</v>
      </c>
      <c r="B884" s="1187" t="s">
        <v>671</v>
      </c>
      <c r="C884" s="1015">
        <v>1062</v>
      </c>
      <c r="D884" s="976" t="s">
        <v>1813</v>
      </c>
      <c r="E884" s="1107" t="s">
        <v>1814</v>
      </c>
      <c r="F884" s="973">
        <v>240000</v>
      </c>
      <c r="G884" s="974"/>
      <c r="H884" s="974">
        <v>240000</v>
      </c>
      <c r="I884" s="974"/>
      <c r="J884" s="975"/>
      <c r="K884" s="974"/>
      <c r="L884" s="974">
        <f>SUM(H884:K884)</f>
        <v>240000</v>
      </c>
      <c r="M884" s="976"/>
      <c r="N884" s="1013">
        <f t="shared" ref="N884:N982" si="60">IF($G884="",($F884-$L884),($G884-$L884))</f>
        <v>0</v>
      </c>
      <c r="O884" s="976"/>
      <c r="P884" s="977"/>
      <c r="Q884" s="974"/>
      <c r="R884" s="1147"/>
      <c r="S884" s="974"/>
      <c r="T884" s="976"/>
      <c r="V884" s="687" t="s">
        <v>1470</v>
      </c>
      <c r="W884" s="687">
        <v>1008000</v>
      </c>
      <c r="X884" s="686"/>
      <c r="Y884" s="686"/>
    </row>
    <row r="885" spans="1:25" x14ac:dyDescent="0.25">
      <c r="B885" s="1187" t="s">
        <v>671</v>
      </c>
      <c r="C885" s="1015">
        <v>1062</v>
      </c>
      <c r="D885" s="976" t="s">
        <v>1815</v>
      </c>
      <c r="E885" s="972" t="s">
        <v>1657</v>
      </c>
      <c r="F885" s="973">
        <v>550000</v>
      </c>
      <c r="G885" s="1029"/>
      <c r="H885" s="974">
        <v>550000</v>
      </c>
      <c r="I885" s="974"/>
      <c r="J885" s="975"/>
      <c r="K885" s="974"/>
      <c r="L885" s="974">
        <f>SUM(H885:K885)</f>
        <v>550000</v>
      </c>
      <c r="M885" s="976"/>
      <c r="N885" s="1013">
        <f t="shared" si="60"/>
        <v>0</v>
      </c>
      <c r="O885" s="976"/>
      <c r="P885" s="977"/>
      <c r="Q885" s="974"/>
      <c r="R885" s="1147"/>
      <c r="S885" s="974"/>
      <c r="T885" s="976"/>
      <c r="V885" s="687" t="s">
        <v>1720</v>
      </c>
      <c r="W885" s="687">
        <v>1998000</v>
      </c>
      <c r="X885" s="686"/>
      <c r="Y885" s="686"/>
    </row>
    <row r="886" spans="1:25" x14ac:dyDescent="0.25">
      <c r="B886" s="1187" t="s">
        <v>671</v>
      </c>
      <c r="C886" s="1015">
        <v>1062</v>
      </c>
      <c r="D886" s="976" t="s">
        <v>1816</v>
      </c>
      <c r="E886" s="976" t="s">
        <v>1817</v>
      </c>
      <c r="F886" s="973">
        <v>771000</v>
      </c>
      <c r="G886" s="974"/>
      <c r="H886" s="974">
        <v>771000</v>
      </c>
      <c r="I886" s="974"/>
      <c r="J886" s="975"/>
      <c r="K886" s="974"/>
      <c r="L886" s="974">
        <f>SUM(H886:K886)</f>
        <v>771000</v>
      </c>
      <c r="M886" s="976"/>
      <c r="N886" s="1013">
        <f t="shared" si="60"/>
        <v>0</v>
      </c>
      <c r="O886" s="976"/>
      <c r="P886" s="977"/>
      <c r="Q886" s="974"/>
      <c r="R886" s="1147"/>
      <c r="S886" s="974"/>
      <c r="T886" s="976"/>
      <c r="X886" s="686"/>
      <c r="Y886" s="686"/>
    </row>
    <row r="887" spans="1:25" x14ac:dyDescent="0.25">
      <c r="B887" s="1187" t="s">
        <v>671</v>
      </c>
      <c r="C887" s="1015">
        <v>1062</v>
      </c>
      <c r="D887" s="976" t="s">
        <v>1685</v>
      </c>
      <c r="E887" s="1107" t="s">
        <v>1818</v>
      </c>
      <c r="F887" s="973">
        <v>79250000</v>
      </c>
      <c r="G887" s="974"/>
      <c r="H887" s="974">
        <v>79250000</v>
      </c>
      <c r="I887" s="974"/>
      <c r="J887" s="975"/>
      <c r="K887" s="974"/>
      <c r="L887" s="974">
        <f t="shared" ref="L887:L922" si="61">SUM(H887:K887)</f>
        <v>79250000</v>
      </c>
      <c r="M887" s="976"/>
      <c r="N887" s="1013">
        <f t="shared" si="60"/>
        <v>0</v>
      </c>
      <c r="O887" s="976"/>
      <c r="P887" s="977"/>
      <c r="Q887" s="974"/>
      <c r="R887" s="1147"/>
      <c r="S887" s="974"/>
      <c r="T887" s="976"/>
      <c r="X887" s="686"/>
      <c r="Y887" s="686"/>
    </row>
    <row r="888" spans="1:25" x14ac:dyDescent="0.25">
      <c r="B888" s="1187" t="s">
        <v>671</v>
      </c>
      <c r="C888" s="1015">
        <v>1062</v>
      </c>
      <c r="D888" s="976" t="s">
        <v>1819</v>
      </c>
      <c r="E888" s="976" t="s">
        <v>1818</v>
      </c>
      <c r="F888" s="973">
        <v>7925000</v>
      </c>
      <c r="G888" s="974"/>
      <c r="H888" s="974">
        <v>7925000</v>
      </c>
      <c r="I888" s="974"/>
      <c r="J888" s="975"/>
      <c r="K888" s="974"/>
      <c r="L888" s="974">
        <f t="shared" si="61"/>
        <v>7925000</v>
      </c>
      <c r="M888" s="976"/>
      <c r="N888" s="1013">
        <f t="shared" si="60"/>
        <v>0</v>
      </c>
      <c r="O888" s="976"/>
      <c r="P888" s="977"/>
      <c r="Q888" s="974"/>
      <c r="R888" s="1147"/>
      <c r="S888" s="974"/>
      <c r="T888" s="976"/>
      <c r="X888" s="686"/>
      <c r="Y888" s="686"/>
    </row>
    <row r="889" spans="1:25" x14ac:dyDescent="0.25">
      <c r="B889" s="1187" t="s">
        <v>671</v>
      </c>
      <c r="C889" s="1015">
        <v>1062</v>
      </c>
      <c r="D889" s="976" t="s">
        <v>1621</v>
      </c>
      <c r="E889" s="976" t="s">
        <v>1820</v>
      </c>
      <c r="F889" s="973">
        <v>205804390</v>
      </c>
      <c r="G889" s="974"/>
      <c r="H889" s="974">
        <v>56128470</v>
      </c>
      <c r="I889" s="974"/>
      <c r="J889" s="975"/>
      <c r="K889" s="974"/>
      <c r="L889" s="974">
        <f t="shared" si="61"/>
        <v>56128470</v>
      </c>
      <c r="M889" s="976"/>
      <c r="N889" s="1013">
        <f t="shared" si="60"/>
        <v>149675920</v>
      </c>
      <c r="O889" s="976"/>
      <c r="P889" s="977"/>
      <c r="Q889" s="974"/>
      <c r="R889" s="1147"/>
      <c r="S889" s="974" t="s">
        <v>1417</v>
      </c>
      <c r="T889" s="976" t="s">
        <v>1323</v>
      </c>
      <c r="X889" s="686"/>
      <c r="Y889" s="686"/>
    </row>
    <row r="890" spans="1:25" x14ac:dyDescent="0.25">
      <c r="B890" s="1187" t="s">
        <v>671</v>
      </c>
      <c r="C890" s="1015">
        <v>1062</v>
      </c>
      <c r="D890" s="976" t="s">
        <v>1821</v>
      </c>
      <c r="E890" s="976" t="s">
        <v>1480</v>
      </c>
      <c r="F890" s="973">
        <v>13750000</v>
      </c>
      <c r="G890" s="974"/>
      <c r="H890" s="974">
        <v>13750000</v>
      </c>
      <c r="I890" s="974"/>
      <c r="J890" s="975"/>
      <c r="K890" s="974"/>
      <c r="L890" s="974">
        <f t="shared" si="61"/>
        <v>13750000</v>
      </c>
      <c r="M890" s="976"/>
      <c r="N890" s="1013">
        <f t="shared" si="60"/>
        <v>0</v>
      </c>
      <c r="O890" s="976"/>
      <c r="P890" s="977"/>
      <c r="Q890" s="974">
        <v>13750000</v>
      </c>
      <c r="R890" s="1147" t="s">
        <v>1822</v>
      </c>
      <c r="S890" s="974"/>
      <c r="T890" s="976" t="s">
        <v>1753</v>
      </c>
      <c r="X890" s="686"/>
      <c r="Y890" s="686"/>
    </row>
    <row r="891" spans="1:25" x14ac:dyDescent="0.25">
      <c r="B891" s="1187" t="s">
        <v>671</v>
      </c>
      <c r="C891" s="1015">
        <v>1062</v>
      </c>
      <c r="D891" s="976" t="s">
        <v>1823</v>
      </c>
      <c r="E891" s="976" t="s">
        <v>1480</v>
      </c>
      <c r="F891" s="973">
        <v>3432000</v>
      </c>
      <c r="G891" s="974"/>
      <c r="H891" s="974">
        <v>3432000</v>
      </c>
      <c r="I891" s="974"/>
      <c r="J891" s="975"/>
      <c r="K891" s="974"/>
      <c r="L891" s="974">
        <f t="shared" si="61"/>
        <v>3432000</v>
      </c>
      <c r="M891" s="976"/>
      <c r="N891" s="1013">
        <f t="shared" si="60"/>
        <v>0</v>
      </c>
      <c r="O891" s="976"/>
      <c r="P891" s="977"/>
      <c r="Q891" s="974">
        <v>3432000</v>
      </c>
      <c r="R891" s="1147" t="s">
        <v>1824</v>
      </c>
      <c r="S891" s="974"/>
      <c r="T891" s="976" t="s">
        <v>1753</v>
      </c>
      <c r="X891" s="686"/>
      <c r="Y891" s="686"/>
    </row>
    <row r="892" spans="1:25" x14ac:dyDescent="0.25">
      <c r="B892" s="1187" t="s">
        <v>671</v>
      </c>
      <c r="C892" s="1015">
        <v>1062</v>
      </c>
      <c r="D892" s="976" t="s">
        <v>1825</v>
      </c>
      <c r="E892" s="976" t="s">
        <v>1826</v>
      </c>
      <c r="F892" s="973">
        <v>77948640</v>
      </c>
      <c r="G892" s="974"/>
      <c r="H892" s="974">
        <v>31179456</v>
      </c>
      <c r="I892" s="974">
        <v>31179456</v>
      </c>
      <c r="J892" s="975"/>
      <c r="K892" s="974"/>
      <c r="L892" s="974">
        <f t="shared" si="61"/>
        <v>62358912</v>
      </c>
      <c r="M892" s="976"/>
      <c r="N892" s="1013">
        <f t="shared" si="60"/>
        <v>15589728</v>
      </c>
      <c r="O892" s="976"/>
      <c r="P892" s="977"/>
      <c r="Q892" s="974"/>
      <c r="R892" s="1147"/>
      <c r="S892" s="974" t="s">
        <v>1417</v>
      </c>
      <c r="T892" s="976" t="s">
        <v>1323</v>
      </c>
      <c r="X892" s="686"/>
      <c r="Y892" s="686"/>
    </row>
    <row r="893" spans="1:25" x14ac:dyDescent="0.25">
      <c r="B893" s="1187" t="s">
        <v>671</v>
      </c>
      <c r="C893" s="1015">
        <v>1062</v>
      </c>
      <c r="D893" s="976" t="s">
        <v>1827</v>
      </c>
      <c r="E893" s="976" t="s">
        <v>1160</v>
      </c>
      <c r="F893" s="973">
        <v>10000000</v>
      </c>
      <c r="G893" s="974">
        <v>20000000</v>
      </c>
      <c r="H893" s="974">
        <v>5000000</v>
      </c>
      <c r="I893" s="974">
        <v>15000000</v>
      </c>
      <c r="J893" s="975"/>
      <c r="K893" s="974"/>
      <c r="L893" s="974">
        <f t="shared" si="61"/>
        <v>20000000</v>
      </c>
      <c r="M893" s="976"/>
      <c r="N893" s="1013">
        <f t="shared" si="60"/>
        <v>0</v>
      </c>
      <c r="O893" s="976"/>
      <c r="P893" s="977"/>
      <c r="Q893" s="974"/>
      <c r="R893" s="1147"/>
      <c r="S893" s="974"/>
      <c r="T893" s="976"/>
      <c r="X893" s="686"/>
      <c r="Y893" s="686"/>
    </row>
    <row r="894" spans="1:25" x14ac:dyDescent="0.25">
      <c r="B894" s="1187" t="s">
        <v>671</v>
      </c>
      <c r="C894" s="1015">
        <v>1062</v>
      </c>
      <c r="D894" s="976" t="s">
        <v>1828</v>
      </c>
      <c r="E894" s="976" t="s">
        <v>1829</v>
      </c>
      <c r="F894" s="973">
        <v>1710000</v>
      </c>
      <c r="G894" s="974"/>
      <c r="H894" s="974">
        <v>1710000</v>
      </c>
      <c r="I894" s="974"/>
      <c r="J894" s="975"/>
      <c r="K894" s="974"/>
      <c r="L894" s="974">
        <f t="shared" si="61"/>
        <v>1710000</v>
      </c>
      <c r="M894" s="976"/>
      <c r="N894" s="1013">
        <f t="shared" si="60"/>
        <v>0</v>
      </c>
      <c r="O894" s="976"/>
      <c r="P894" s="977"/>
      <c r="Q894" s="974"/>
      <c r="R894" s="1147"/>
      <c r="S894" s="974"/>
      <c r="T894" s="976"/>
      <c r="X894" s="686"/>
      <c r="Y894" s="686"/>
    </row>
    <row r="895" spans="1:25" x14ac:dyDescent="0.25">
      <c r="B895" s="1187" t="s">
        <v>671</v>
      </c>
      <c r="C895" s="1015">
        <v>1062</v>
      </c>
      <c r="D895" s="976" t="s">
        <v>1830</v>
      </c>
      <c r="E895" s="976" t="s">
        <v>1831</v>
      </c>
      <c r="F895" s="973">
        <v>180000</v>
      </c>
      <c r="G895" s="974"/>
      <c r="H895" s="974">
        <v>180000</v>
      </c>
      <c r="I895" s="974"/>
      <c r="J895" s="975"/>
      <c r="K895" s="974"/>
      <c r="L895" s="974">
        <f t="shared" si="61"/>
        <v>180000</v>
      </c>
      <c r="M895" s="976"/>
      <c r="N895" s="1013">
        <f t="shared" si="60"/>
        <v>0</v>
      </c>
      <c r="O895" s="976"/>
      <c r="P895" s="977"/>
      <c r="Q895" s="974"/>
      <c r="R895" s="1147"/>
      <c r="S895" s="974"/>
      <c r="T895" s="976"/>
      <c r="X895" s="686"/>
      <c r="Y895" s="686"/>
    </row>
    <row r="896" spans="1:25" x14ac:dyDescent="0.25">
      <c r="B896" s="1187" t="s">
        <v>671</v>
      </c>
      <c r="C896" s="1015">
        <v>1062</v>
      </c>
      <c r="D896" s="976" t="s">
        <v>1601</v>
      </c>
      <c r="E896" s="976" t="s">
        <v>672</v>
      </c>
      <c r="F896" s="973">
        <v>2000000</v>
      </c>
      <c r="G896" s="974"/>
      <c r="H896" s="974">
        <v>2000000</v>
      </c>
      <c r="I896" s="974"/>
      <c r="J896" s="975"/>
      <c r="K896" s="974"/>
      <c r="L896" s="974">
        <f t="shared" si="61"/>
        <v>2000000</v>
      </c>
      <c r="M896" s="976"/>
      <c r="N896" s="1013">
        <f t="shared" si="60"/>
        <v>0</v>
      </c>
      <c r="O896" s="976"/>
      <c r="P896" s="977"/>
      <c r="Q896" s="974"/>
      <c r="R896" s="1147"/>
      <c r="S896" s="974"/>
      <c r="T896" s="976"/>
      <c r="X896" s="686"/>
      <c r="Y896" s="686"/>
    </row>
    <row r="897" spans="2:25" x14ac:dyDescent="0.25">
      <c r="B897" s="1187" t="s">
        <v>671</v>
      </c>
      <c r="C897" s="1015">
        <v>1062</v>
      </c>
      <c r="D897" s="976" t="s">
        <v>1832</v>
      </c>
      <c r="E897" s="976" t="s">
        <v>1507</v>
      </c>
      <c r="F897" s="973">
        <v>565000</v>
      </c>
      <c r="G897" s="974"/>
      <c r="H897" s="974">
        <v>565000</v>
      </c>
      <c r="I897" s="974"/>
      <c r="J897" s="975"/>
      <c r="K897" s="974"/>
      <c r="L897" s="974">
        <f t="shared" si="61"/>
        <v>565000</v>
      </c>
      <c r="M897" s="976"/>
      <c r="N897" s="1013">
        <f t="shared" si="60"/>
        <v>0</v>
      </c>
      <c r="O897" s="976"/>
      <c r="P897" s="977"/>
      <c r="Q897" s="974"/>
      <c r="R897" s="1147"/>
      <c r="S897" s="974"/>
      <c r="T897" s="976"/>
      <c r="X897" s="686"/>
      <c r="Y897" s="686"/>
    </row>
    <row r="898" spans="2:25" x14ac:dyDescent="0.25">
      <c r="B898" s="1187" t="s">
        <v>671</v>
      </c>
      <c r="C898" s="1015">
        <v>1062</v>
      </c>
      <c r="D898" s="976" t="s">
        <v>1345</v>
      </c>
      <c r="E898" s="976" t="s">
        <v>1423</v>
      </c>
      <c r="F898" s="973">
        <v>87669000</v>
      </c>
      <c r="G898" s="974"/>
      <c r="H898" s="974">
        <v>26300000</v>
      </c>
      <c r="I898" s="974"/>
      <c r="J898" s="975"/>
      <c r="K898" s="974"/>
      <c r="L898" s="974">
        <f t="shared" si="61"/>
        <v>26300000</v>
      </c>
      <c r="M898" s="976"/>
      <c r="N898" s="1013">
        <f t="shared" si="60"/>
        <v>61369000</v>
      </c>
      <c r="O898" s="976"/>
      <c r="P898" s="977"/>
      <c r="Q898" s="974"/>
      <c r="R898" s="1147"/>
      <c r="S898" s="974"/>
      <c r="T898" s="976"/>
      <c r="X898" s="686"/>
      <c r="Y898" s="686"/>
    </row>
    <row r="899" spans="2:25" x14ac:dyDescent="0.25">
      <c r="B899" s="1187" t="s">
        <v>671</v>
      </c>
      <c r="C899" s="1015">
        <v>1062</v>
      </c>
      <c r="D899" s="976" t="s">
        <v>1833</v>
      </c>
      <c r="E899" s="976" t="s">
        <v>887</v>
      </c>
      <c r="F899" s="973">
        <v>118500000</v>
      </c>
      <c r="G899" s="974"/>
      <c r="H899" s="974">
        <v>35550000</v>
      </c>
      <c r="I899" s="974">
        <v>47400000</v>
      </c>
      <c r="J899" s="975"/>
      <c r="K899" s="974"/>
      <c r="L899" s="974">
        <f t="shared" si="61"/>
        <v>82950000</v>
      </c>
      <c r="M899" s="976"/>
      <c r="N899" s="1013">
        <f t="shared" si="60"/>
        <v>35550000</v>
      </c>
      <c r="O899" s="976"/>
      <c r="P899" s="977"/>
      <c r="Q899" s="974"/>
      <c r="R899" s="1147"/>
      <c r="S899" s="974"/>
      <c r="T899" s="976"/>
      <c r="X899" s="686"/>
      <c r="Y899" s="686"/>
    </row>
    <row r="900" spans="2:25" x14ac:dyDescent="0.25">
      <c r="B900" s="1187" t="s">
        <v>671</v>
      </c>
      <c r="C900" s="1015">
        <v>1062</v>
      </c>
      <c r="D900" s="976" t="s">
        <v>1834</v>
      </c>
      <c r="E900" s="976" t="s">
        <v>1484</v>
      </c>
      <c r="F900" s="973">
        <v>29480330</v>
      </c>
      <c r="G900" s="974"/>
      <c r="H900" s="974">
        <v>14740165</v>
      </c>
      <c r="I900" s="974"/>
      <c r="J900" s="975"/>
      <c r="K900" s="974"/>
      <c r="L900" s="974">
        <f t="shared" si="61"/>
        <v>14740165</v>
      </c>
      <c r="M900" s="976"/>
      <c r="N900" s="1013">
        <f t="shared" si="60"/>
        <v>14740165</v>
      </c>
      <c r="O900" s="976"/>
      <c r="P900" s="977"/>
      <c r="Q900" s="974"/>
      <c r="R900" s="1147"/>
      <c r="S900" s="974"/>
      <c r="T900" s="976"/>
      <c r="X900" s="686"/>
      <c r="Y900" s="686"/>
    </row>
    <row r="901" spans="2:25" x14ac:dyDescent="0.25">
      <c r="B901" s="1187" t="s">
        <v>671</v>
      </c>
      <c r="C901" s="1015">
        <v>1062</v>
      </c>
      <c r="D901" s="976" t="s">
        <v>1835</v>
      </c>
      <c r="E901" s="976" t="s">
        <v>1836</v>
      </c>
      <c r="F901" s="973">
        <v>61971840</v>
      </c>
      <c r="G901" s="974"/>
      <c r="H901" s="974">
        <v>61971840</v>
      </c>
      <c r="I901" s="974"/>
      <c r="J901" s="975"/>
      <c r="K901" s="974"/>
      <c r="L901" s="974">
        <f t="shared" si="61"/>
        <v>61971840</v>
      </c>
      <c r="M901" s="976"/>
      <c r="N901" s="1013">
        <f t="shared" si="60"/>
        <v>0</v>
      </c>
      <c r="O901" s="976"/>
      <c r="P901" s="977"/>
      <c r="Q901" s="974"/>
      <c r="R901" s="1147"/>
      <c r="S901" s="974"/>
      <c r="T901" s="976" t="s">
        <v>1837</v>
      </c>
      <c r="X901" s="686"/>
      <c r="Y901" s="686"/>
    </row>
    <row r="902" spans="2:25" x14ac:dyDescent="0.25">
      <c r="B902" s="1187" t="s">
        <v>671</v>
      </c>
      <c r="C902" s="1015">
        <v>1062</v>
      </c>
      <c r="D902" s="976" t="s">
        <v>1838</v>
      </c>
      <c r="E902" s="976" t="s">
        <v>1306</v>
      </c>
      <c r="F902" s="973">
        <v>933000</v>
      </c>
      <c r="G902" s="974"/>
      <c r="H902" s="974">
        <v>933000</v>
      </c>
      <c r="I902" s="974"/>
      <c r="J902" s="975"/>
      <c r="K902" s="974"/>
      <c r="L902" s="974">
        <f t="shared" si="61"/>
        <v>933000</v>
      </c>
      <c r="M902" s="976"/>
      <c r="N902" s="1013">
        <f t="shared" si="60"/>
        <v>0</v>
      </c>
      <c r="O902" s="976"/>
      <c r="P902" s="977"/>
      <c r="Q902" s="974"/>
      <c r="R902" s="1147"/>
      <c r="S902" s="974"/>
      <c r="T902" s="976"/>
      <c r="X902" s="686"/>
      <c r="Y902" s="686"/>
    </row>
    <row r="903" spans="2:25" x14ac:dyDescent="0.25">
      <c r="B903" s="1187" t="s">
        <v>671</v>
      </c>
      <c r="C903" s="1015">
        <v>1062</v>
      </c>
      <c r="D903" s="976" t="s">
        <v>657</v>
      </c>
      <c r="E903" s="976" t="s">
        <v>1839</v>
      </c>
      <c r="F903" s="973">
        <v>31010892</v>
      </c>
      <c r="G903" s="974"/>
      <c r="H903" s="974">
        <v>31010892</v>
      </c>
      <c r="I903" s="974"/>
      <c r="J903" s="975"/>
      <c r="K903" s="974"/>
      <c r="L903" s="974">
        <f t="shared" si="61"/>
        <v>31010892</v>
      </c>
      <c r="M903" s="976"/>
      <c r="N903" s="1013">
        <f t="shared" si="60"/>
        <v>0</v>
      </c>
      <c r="O903" s="976"/>
      <c r="P903" s="977"/>
      <c r="Q903" s="974"/>
      <c r="R903" s="1147"/>
      <c r="S903" s="974"/>
      <c r="T903" s="976"/>
      <c r="X903" s="686"/>
      <c r="Y903" s="686"/>
    </row>
    <row r="904" spans="2:25" x14ac:dyDescent="0.25">
      <c r="B904" s="1187" t="s">
        <v>671</v>
      </c>
      <c r="C904" s="1015">
        <v>1062</v>
      </c>
      <c r="D904" s="976" t="s">
        <v>1840</v>
      </c>
      <c r="E904" s="976" t="s">
        <v>1841</v>
      </c>
      <c r="F904" s="973">
        <v>17820000</v>
      </c>
      <c r="G904" s="974"/>
      <c r="H904" s="974">
        <v>17820000</v>
      </c>
      <c r="I904" s="974"/>
      <c r="J904" s="975"/>
      <c r="K904" s="974"/>
      <c r="L904" s="974">
        <f t="shared" si="61"/>
        <v>17820000</v>
      </c>
      <c r="M904" s="976"/>
      <c r="N904" s="1013">
        <f t="shared" si="60"/>
        <v>0</v>
      </c>
      <c r="O904" s="976"/>
      <c r="P904" s="977"/>
      <c r="Q904" s="974"/>
      <c r="R904" s="1147"/>
      <c r="S904" s="974"/>
      <c r="T904" s="976"/>
      <c r="X904" s="686"/>
      <c r="Y904" s="686"/>
    </row>
    <row r="905" spans="2:25" x14ac:dyDescent="0.25">
      <c r="B905" s="1187" t="s">
        <v>671</v>
      </c>
      <c r="C905" s="1015">
        <v>1062</v>
      </c>
      <c r="D905" s="976" t="s">
        <v>1705</v>
      </c>
      <c r="E905" s="976" t="s">
        <v>1400</v>
      </c>
      <c r="F905" s="973">
        <v>72980000</v>
      </c>
      <c r="G905" s="974"/>
      <c r="H905" s="974">
        <v>30000000</v>
      </c>
      <c r="I905" s="974"/>
      <c r="J905" s="975"/>
      <c r="K905" s="974"/>
      <c r="L905" s="974">
        <f t="shared" si="61"/>
        <v>30000000</v>
      </c>
      <c r="M905" s="976"/>
      <c r="N905" s="1013">
        <f t="shared" si="60"/>
        <v>42980000</v>
      </c>
      <c r="O905" s="976"/>
      <c r="P905" s="977"/>
      <c r="Q905" s="974"/>
      <c r="R905" s="1147"/>
      <c r="S905" s="974"/>
      <c r="T905" s="976"/>
      <c r="X905" s="686"/>
      <c r="Y905" s="686"/>
    </row>
    <row r="906" spans="2:25" x14ac:dyDescent="0.25">
      <c r="B906" s="1187" t="s">
        <v>671</v>
      </c>
      <c r="C906" s="1015">
        <v>1062</v>
      </c>
      <c r="D906" s="976" t="s">
        <v>1842</v>
      </c>
      <c r="E906" s="976" t="s">
        <v>1843</v>
      </c>
      <c r="F906" s="973">
        <v>330000</v>
      </c>
      <c r="G906" s="974"/>
      <c r="H906" s="974">
        <v>330000</v>
      </c>
      <c r="I906" s="974"/>
      <c r="J906" s="975"/>
      <c r="K906" s="974"/>
      <c r="L906" s="974">
        <f t="shared" si="61"/>
        <v>330000</v>
      </c>
      <c r="M906" s="976"/>
      <c r="N906" s="1013">
        <f t="shared" si="60"/>
        <v>0</v>
      </c>
      <c r="O906" s="976"/>
      <c r="P906" s="977"/>
      <c r="Q906" s="974"/>
      <c r="R906" s="1147"/>
      <c r="S906" s="974"/>
      <c r="T906" s="976"/>
      <c r="X906" s="686"/>
      <c r="Y906" s="686"/>
    </row>
    <row r="907" spans="2:25" x14ac:dyDescent="0.25">
      <c r="B907" s="1187" t="s">
        <v>671</v>
      </c>
      <c r="C907" s="1015">
        <v>1062</v>
      </c>
      <c r="D907" s="976" t="s">
        <v>1745</v>
      </c>
      <c r="E907" s="976" t="s">
        <v>1844</v>
      </c>
      <c r="F907" s="973">
        <v>4389000</v>
      </c>
      <c r="G907" s="974"/>
      <c r="H907" s="974">
        <v>2194500</v>
      </c>
      <c r="I907" s="974"/>
      <c r="J907" s="975"/>
      <c r="K907" s="974"/>
      <c r="L907" s="974">
        <f t="shared" si="61"/>
        <v>2194500</v>
      </c>
      <c r="M907" s="976"/>
      <c r="N907" s="1013">
        <f t="shared" si="60"/>
        <v>2194500</v>
      </c>
      <c r="O907" s="976"/>
      <c r="P907" s="977"/>
      <c r="Q907" s="974"/>
      <c r="R907" s="1147"/>
      <c r="S907" s="974"/>
      <c r="T907" s="976" t="s">
        <v>1323</v>
      </c>
      <c r="X907" s="686"/>
      <c r="Y907" s="686"/>
    </row>
    <row r="908" spans="2:25" x14ac:dyDescent="0.25">
      <c r="B908" s="1187" t="s">
        <v>671</v>
      </c>
      <c r="C908" s="1015">
        <v>1062</v>
      </c>
      <c r="D908" s="976" t="s">
        <v>1845</v>
      </c>
      <c r="E908" s="976" t="s">
        <v>1118</v>
      </c>
      <c r="F908" s="973">
        <v>241078000</v>
      </c>
      <c r="G908" s="974"/>
      <c r="H908" s="974">
        <v>72323400</v>
      </c>
      <c r="I908" s="974"/>
      <c r="J908" s="975"/>
      <c r="K908" s="974"/>
      <c r="L908" s="974">
        <f t="shared" si="61"/>
        <v>72323400</v>
      </c>
      <c r="M908" s="976"/>
      <c r="N908" s="1013">
        <f t="shared" si="60"/>
        <v>168754600</v>
      </c>
      <c r="O908" s="976"/>
      <c r="P908" s="977"/>
      <c r="Q908" s="974"/>
      <c r="R908" s="1147"/>
      <c r="S908" s="974"/>
      <c r="T908" s="976"/>
      <c r="X908" s="686"/>
      <c r="Y908" s="686"/>
    </row>
    <row r="909" spans="2:25" x14ac:dyDescent="0.25">
      <c r="B909" s="1187" t="s">
        <v>671</v>
      </c>
      <c r="C909" s="1015">
        <v>1062</v>
      </c>
      <c r="D909" s="976" t="s">
        <v>1846</v>
      </c>
      <c r="E909" s="976" t="s">
        <v>1090</v>
      </c>
      <c r="F909" s="973">
        <v>648000</v>
      </c>
      <c r="G909" s="974"/>
      <c r="H909" s="974">
        <v>648000</v>
      </c>
      <c r="I909" s="974"/>
      <c r="J909" s="975"/>
      <c r="K909" s="974"/>
      <c r="L909" s="974">
        <f t="shared" si="61"/>
        <v>648000</v>
      </c>
      <c r="M909" s="976"/>
      <c r="N909" s="1013">
        <f t="shared" si="60"/>
        <v>0</v>
      </c>
      <c r="O909" s="976"/>
      <c r="P909" s="977"/>
      <c r="Q909" s="974"/>
      <c r="R909" s="1147"/>
      <c r="S909" s="974"/>
      <c r="T909" s="976"/>
      <c r="X909" s="686"/>
      <c r="Y909" s="686"/>
    </row>
    <row r="910" spans="2:25" x14ac:dyDescent="0.25">
      <c r="B910" s="1187" t="s">
        <v>671</v>
      </c>
      <c r="C910" s="1015">
        <v>1062</v>
      </c>
      <c r="D910" s="976" t="s">
        <v>1610</v>
      </c>
      <c r="E910" s="976" t="s">
        <v>1611</v>
      </c>
      <c r="F910" s="973">
        <v>87444500</v>
      </c>
      <c r="G910" s="974"/>
      <c r="H910" s="974">
        <v>26233350</v>
      </c>
      <c r="I910" s="974">
        <v>34977800</v>
      </c>
      <c r="J910" s="975"/>
      <c r="K910" s="974"/>
      <c r="L910" s="974">
        <f t="shared" si="61"/>
        <v>61211150</v>
      </c>
      <c r="M910" s="976"/>
      <c r="N910" s="1013">
        <f t="shared" si="60"/>
        <v>26233350</v>
      </c>
      <c r="O910" s="976"/>
      <c r="P910" s="977"/>
      <c r="Q910" s="974"/>
      <c r="R910" s="1147"/>
      <c r="S910" s="974"/>
      <c r="T910" s="976" t="s">
        <v>1323</v>
      </c>
      <c r="X910" s="686"/>
      <c r="Y910" s="686"/>
    </row>
    <row r="911" spans="2:25" x14ac:dyDescent="0.25">
      <c r="B911" s="1187" t="s">
        <v>671</v>
      </c>
      <c r="C911" s="1015">
        <v>1062</v>
      </c>
      <c r="D911" s="976" t="s">
        <v>1847</v>
      </c>
      <c r="E911" s="976" t="s">
        <v>1477</v>
      </c>
      <c r="F911" s="973">
        <v>8503000</v>
      </c>
      <c r="G911" s="974"/>
      <c r="H911" s="974">
        <v>4251500</v>
      </c>
      <c r="I911" s="974"/>
      <c r="J911" s="975"/>
      <c r="K911" s="974"/>
      <c r="L911" s="974">
        <f t="shared" si="61"/>
        <v>4251500</v>
      </c>
      <c r="M911" s="976"/>
      <c r="N911" s="1013">
        <f t="shared" si="60"/>
        <v>4251500</v>
      </c>
      <c r="O911" s="976"/>
      <c r="P911" s="977"/>
      <c r="Q911" s="974"/>
      <c r="R911" s="1147"/>
      <c r="S911" s="974" t="s">
        <v>1417</v>
      </c>
      <c r="T911" s="976" t="s">
        <v>1323</v>
      </c>
      <c r="X911" s="686"/>
      <c r="Y911" s="686"/>
    </row>
    <row r="912" spans="2:25" x14ac:dyDescent="0.25">
      <c r="B912" s="1187" t="s">
        <v>671</v>
      </c>
      <c r="C912" s="1015">
        <v>1062</v>
      </c>
      <c r="D912" s="976" t="s">
        <v>1848</v>
      </c>
      <c r="E912" s="976" t="s">
        <v>1354</v>
      </c>
      <c r="F912" s="973">
        <v>1870000</v>
      </c>
      <c r="G912" s="974"/>
      <c r="H912" s="974">
        <v>1870000</v>
      </c>
      <c r="I912" s="974"/>
      <c r="J912" s="975"/>
      <c r="K912" s="974"/>
      <c r="L912" s="974">
        <f t="shared" si="61"/>
        <v>1870000</v>
      </c>
      <c r="M912" s="976"/>
      <c r="N912" s="1013">
        <f t="shared" si="60"/>
        <v>0</v>
      </c>
      <c r="O912" s="976"/>
      <c r="P912" s="977"/>
      <c r="Q912" s="974"/>
      <c r="R912" s="1147"/>
      <c r="S912" s="974" t="s">
        <v>1849</v>
      </c>
      <c r="T912" s="976" t="s">
        <v>1323</v>
      </c>
      <c r="X912" s="686"/>
      <c r="Y912" s="686"/>
    </row>
    <row r="913" spans="1:25" x14ac:dyDescent="0.25">
      <c r="B913" s="1187" t="s">
        <v>671</v>
      </c>
      <c r="C913" s="1015">
        <v>1062</v>
      </c>
      <c r="D913" s="976" t="s">
        <v>1695</v>
      </c>
      <c r="E913" s="976" t="s">
        <v>1696</v>
      </c>
      <c r="F913" s="973">
        <v>14739000</v>
      </c>
      <c r="G913" s="974"/>
      <c r="H913" s="974">
        <v>14739000</v>
      </c>
      <c r="I913" s="974"/>
      <c r="J913" s="975"/>
      <c r="K913" s="974"/>
      <c r="L913" s="974">
        <f t="shared" si="61"/>
        <v>14739000</v>
      </c>
      <c r="M913" s="976"/>
      <c r="N913" s="1013">
        <f t="shared" si="60"/>
        <v>0</v>
      </c>
      <c r="O913" s="976"/>
      <c r="P913" s="977"/>
      <c r="Q913" s="974"/>
      <c r="R913" s="1147"/>
      <c r="S913" s="974"/>
      <c r="T913" s="976"/>
      <c r="X913" s="686"/>
      <c r="Y913" s="686"/>
    </row>
    <row r="914" spans="1:25" x14ac:dyDescent="0.25">
      <c r="B914" s="1187" t="s">
        <v>671</v>
      </c>
      <c r="C914" s="1015">
        <v>1062</v>
      </c>
      <c r="D914" s="976" t="s">
        <v>1850</v>
      </c>
      <c r="E914" s="976" t="s">
        <v>1851</v>
      </c>
      <c r="F914" s="973">
        <v>73920000</v>
      </c>
      <c r="G914" s="974"/>
      <c r="H914" s="974">
        <v>66528000</v>
      </c>
      <c r="I914" s="974"/>
      <c r="J914" s="975"/>
      <c r="K914" s="974"/>
      <c r="L914" s="974">
        <f t="shared" si="61"/>
        <v>66528000</v>
      </c>
      <c r="M914" s="976"/>
      <c r="N914" s="1013">
        <f t="shared" si="60"/>
        <v>7392000</v>
      </c>
      <c r="O914" s="976"/>
      <c r="P914" s="977"/>
      <c r="Q914" s="974"/>
      <c r="R914" s="1147"/>
      <c r="S914" s="974"/>
      <c r="T914" s="976" t="s">
        <v>1323</v>
      </c>
      <c r="X914" s="686"/>
      <c r="Y914" s="686"/>
    </row>
    <row r="915" spans="1:25" x14ac:dyDescent="0.25">
      <c r="B915" s="1187" t="s">
        <v>671</v>
      </c>
      <c r="C915" s="1015">
        <v>1062</v>
      </c>
      <c r="D915" s="976" t="s">
        <v>1852</v>
      </c>
      <c r="E915" s="976" t="s">
        <v>1110</v>
      </c>
      <c r="F915" s="973">
        <v>4455000</v>
      </c>
      <c r="G915" s="974"/>
      <c r="H915" s="974">
        <v>4455000</v>
      </c>
      <c r="I915" s="974"/>
      <c r="J915" s="975"/>
      <c r="K915" s="974"/>
      <c r="L915" s="974">
        <f t="shared" si="61"/>
        <v>4455000</v>
      </c>
      <c r="M915" s="976"/>
      <c r="N915" s="1013">
        <f t="shared" si="60"/>
        <v>0</v>
      </c>
      <c r="O915" s="976"/>
      <c r="P915" s="977"/>
      <c r="Q915" s="974"/>
      <c r="R915" s="1147"/>
      <c r="S915" s="974"/>
      <c r="T915" s="976" t="s">
        <v>1323</v>
      </c>
      <c r="X915" s="686"/>
      <c r="Y915" s="686"/>
    </row>
    <row r="916" spans="1:25" x14ac:dyDescent="0.25">
      <c r="B916" s="1187" t="s">
        <v>671</v>
      </c>
      <c r="C916" s="1015">
        <v>1062</v>
      </c>
      <c r="D916" s="976" t="s">
        <v>1853</v>
      </c>
      <c r="E916" s="976" t="s">
        <v>1854</v>
      </c>
      <c r="F916" s="973">
        <v>1300000</v>
      </c>
      <c r="G916" s="974"/>
      <c r="H916" s="974">
        <v>1300000</v>
      </c>
      <c r="I916" s="974"/>
      <c r="J916" s="975"/>
      <c r="K916" s="974"/>
      <c r="L916" s="974">
        <f t="shared" si="61"/>
        <v>1300000</v>
      </c>
      <c r="M916" s="976"/>
      <c r="N916" s="1013">
        <f t="shared" si="60"/>
        <v>0</v>
      </c>
      <c r="O916" s="976"/>
      <c r="P916" s="977"/>
      <c r="Q916" s="974"/>
      <c r="R916" s="1147"/>
      <c r="S916" s="974"/>
      <c r="T916" s="976"/>
      <c r="X916" s="686"/>
      <c r="Y916" s="686"/>
    </row>
    <row r="917" spans="1:25" x14ac:dyDescent="0.25">
      <c r="B917" s="1187" t="s">
        <v>671</v>
      </c>
      <c r="C917" s="1015">
        <v>1062</v>
      </c>
      <c r="D917" s="976" t="s">
        <v>1855</v>
      </c>
      <c r="E917" s="976" t="s">
        <v>1742</v>
      </c>
      <c r="F917" s="973">
        <v>3255000</v>
      </c>
      <c r="G917" s="974"/>
      <c r="H917" s="974">
        <v>3255000</v>
      </c>
      <c r="I917" s="974"/>
      <c r="J917" s="975"/>
      <c r="K917" s="974"/>
      <c r="L917" s="974">
        <f t="shared" si="61"/>
        <v>3255000</v>
      </c>
      <c r="M917" s="976"/>
      <c r="N917" s="1013">
        <f t="shared" si="60"/>
        <v>0</v>
      </c>
      <c r="O917" s="976"/>
      <c r="P917" s="977"/>
      <c r="Q917" s="974"/>
      <c r="R917" s="1147"/>
      <c r="S917" s="974"/>
      <c r="T917" s="976"/>
      <c r="X917" s="686"/>
      <c r="Y917" s="686"/>
    </row>
    <row r="918" spans="1:25" x14ac:dyDescent="0.25">
      <c r="B918" s="1187" t="s">
        <v>671</v>
      </c>
      <c r="C918" s="1015">
        <v>1062</v>
      </c>
      <c r="D918" s="976" t="s">
        <v>1856</v>
      </c>
      <c r="E918" s="976" t="s">
        <v>1857</v>
      </c>
      <c r="F918" s="973">
        <v>7829600</v>
      </c>
      <c r="G918" s="974"/>
      <c r="H918" s="974">
        <v>7829600</v>
      </c>
      <c r="I918" s="974"/>
      <c r="J918" s="975"/>
      <c r="K918" s="974"/>
      <c r="L918" s="974">
        <f t="shared" si="61"/>
        <v>7829600</v>
      </c>
      <c r="M918" s="976"/>
      <c r="N918" s="1013">
        <f t="shared" si="60"/>
        <v>0</v>
      </c>
      <c r="O918" s="976"/>
      <c r="P918" s="977"/>
      <c r="Q918" s="974"/>
      <c r="R918" s="1147"/>
      <c r="S918" s="974"/>
      <c r="T918" s="976"/>
      <c r="X918" s="686"/>
      <c r="Y918" s="686"/>
    </row>
    <row r="919" spans="1:25" x14ac:dyDescent="0.25">
      <c r="B919" s="1187" t="s">
        <v>671</v>
      </c>
      <c r="C919" s="1015">
        <v>1062</v>
      </c>
      <c r="D919" s="976" t="s">
        <v>1858</v>
      </c>
      <c r="E919" s="976" t="s">
        <v>1266</v>
      </c>
      <c r="F919" s="973">
        <v>52140000</v>
      </c>
      <c r="G919" s="974"/>
      <c r="H919" s="974">
        <v>52140000</v>
      </c>
      <c r="I919" s="974"/>
      <c r="J919" s="975"/>
      <c r="K919" s="974"/>
      <c r="L919" s="974">
        <f t="shared" si="61"/>
        <v>52140000</v>
      </c>
      <c r="M919" s="976"/>
      <c r="N919" s="1013">
        <f t="shared" si="60"/>
        <v>0</v>
      </c>
      <c r="O919" s="976"/>
      <c r="P919" s="977"/>
      <c r="Q919" s="974"/>
      <c r="R919" s="1147"/>
      <c r="S919" s="974"/>
      <c r="T919" s="976"/>
      <c r="X919" s="686"/>
      <c r="Y919" s="686"/>
    </row>
    <row r="920" spans="1:25" x14ac:dyDescent="0.25">
      <c r="B920" s="1187" t="s">
        <v>671</v>
      </c>
      <c r="C920" s="1015">
        <v>1062</v>
      </c>
      <c r="D920" s="976" t="s">
        <v>1447</v>
      </c>
      <c r="E920" s="976" t="s">
        <v>1316</v>
      </c>
      <c r="F920" s="973">
        <v>30000000</v>
      </c>
      <c r="G920" s="974"/>
      <c r="H920" s="974">
        <v>30000000</v>
      </c>
      <c r="I920" s="974"/>
      <c r="J920" s="975"/>
      <c r="K920" s="974"/>
      <c r="L920" s="974">
        <f t="shared" si="61"/>
        <v>30000000</v>
      </c>
      <c r="M920" s="976"/>
      <c r="N920" s="1013">
        <f t="shared" si="60"/>
        <v>0</v>
      </c>
      <c r="O920" s="976"/>
      <c r="P920" s="977"/>
      <c r="Q920" s="974"/>
      <c r="R920" s="1147"/>
      <c r="S920" s="974"/>
      <c r="T920" s="976"/>
      <c r="X920" s="686"/>
      <c r="Y920" s="686"/>
    </row>
    <row r="921" spans="1:25" x14ac:dyDescent="0.25">
      <c r="B921" s="1187" t="s">
        <v>671</v>
      </c>
      <c r="C921" s="1015">
        <v>1062</v>
      </c>
      <c r="D921" s="976" t="s">
        <v>1859</v>
      </c>
      <c r="E921" s="976" t="s">
        <v>1679</v>
      </c>
      <c r="F921" s="973">
        <v>370000</v>
      </c>
      <c r="G921" s="974"/>
      <c r="H921" s="974">
        <v>370000</v>
      </c>
      <c r="I921" s="974"/>
      <c r="J921" s="975"/>
      <c r="K921" s="974"/>
      <c r="L921" s="974">
        <f t="shared" si="61"/>
        <v>370000</v>
      </c>
      <c r="M921" s="976"/>
      <c r="N921" s="1013">
        <f t="shared" si="60"/>
        <v>0</v>
      </c>
      <c r="O921" s="976"/>
      <c r="P921" s="977"/>
      <c r="Q921" s="974"/>
      <c r="R921" s="1147"/>
      <c r="S921" s="974"/>
      <c r="T921" s="976"/>
      <c r="X921" s="686"/>
      <c r="Y921" s="686"/>
    </row>
    <row r="922" spans="1:25" x14ac:dyDescent="0.25">
      <c r="B922" s="1187" t="s">
        <v>671</v>
      </c>
      <c r="C922" s="1015">
        <v>1062</v>
      </c>
      <c r="D922" s="976" t="s">
        <v>947</v>
      </c>
      <c r="E922" s="976"/>
      <c r="F922" s="973">
        <f>W922</f>
        <v>3006000</v>
      </c>
      <c r="G922" s="974"/>
      <c r="H922" s="974">
        <v>1008000</v>
      </c>
      <c r="I922" s="974">
        <v>1998000</v>
      </c>
      <c r="J922" s="975"/>
      <c r="K922" s="974"/>
      <c r="L922" s="974">
        <f t="shared" si="61"/>
        <v>3006000</v>
      </c>
      <c r="M922" s="976"/>
      <c r="N922" s="1013">
        <f t="shared" si="60"/>
        <v>0</v>
      </c>
      <c r="O922" s="976"/>
      <c r="P922" s="977"/>
      <c r="Q922" s="974"/>
      <c r="R922" s="1147"/>
      <c r="S922" s="974"/>
      <c r="T922" s="976"/>
      <c r="V922" s="1000" t="s">
        <v>948</v>
      </c>
      <c r="W922" s="1000">
        <f>SUM(W884:W898)</f>
        <v>3006000</v>
      </c>
      <c r="X922" s="686"/>
      <c r="Y922" s="686"/>
    </row>
    <row r="923" spans="1:25" ht="15.75" x14ac:dyDescent="0.25">
      <c r="A923" s="723"/>
      <c r="B923" s="720" t="s">
        <v>997</v>
      </c>
      <c r="C923" s="720"/>
      <c r="D923" s="699" t="s">
        <v>671</v>
      </c>
      <c r="E923" s="992"/>
      <c r="F923" s="993"/>
      <c r="G923" s="994"/>
      <c r="H923" s="994"/>
      <c r="I923" s="994"/>
      <c r="J923" s="995"/>
      <c r="K923" s="994"/>
      <c r="L923" s="735">
        <f>SUM(L884:L922)</f>
        <v>841037429</v>
      </c>
      <c r="M923" s="992"/>
      <c r="N923" s="1042">
        <f>SUM(N884:N922)</f>
        <v>528730763</v>
      </c>
      <c r="O923" s="992"/>
      <c r="P923" s="998"/>
      <c r="Q923" s="994"/>
      <c r="R923" s="1153"/>
      <c r="S923" s="994"/>
      <c r="T923" s="992"/>
      <c r="X923" s="686"/>
      <c r="Y923" s="686"/>
    </row>
    <row r="924" spans="1:25" x14ac:dyDescent="0.25">
      <c r="A924" s="686">
        <v>43</v>
      </c>
      <c r="B924" s="1187" t="s">
        <v>1860</v>
      </c>
      <c r="C924" s="1015">
        <v>1066</v>
      </c>
      <c r="D924" s="976" t="s">
        <v>657</v>
      </c>
      <c r="E924" s="1107" t="s">
        <v>1861</v>
      </c>
      <c r="F924" s="973">
        <v>19925313</v>
      </c>
      <c r="G924" s="974"/>
      <c r="H924" s="974">
        <v>9962656</v>
      </c>
      <c r="I924" s="974"/>
      <c r="J924" s="975"/>
      <c r="K924" s="974"/>
      <c r="L924" s="974">
        <f>SUM(H924:K924)</f>
        <v>9962656</v>
      </c>
      <c r="M924" s="976"/>
      <c r="N924" s="1013">
        <f t="shared" ref="N924:N932" si="62">IF($G924="",($F924-$L924),($G924-$L924))</f>
        <v>9962657</v>
      </c>
      <c r="O924" s="976"/>
      <c r="P924" s="977"/>
      <c r="Q924" s="974"/>
      <c r="R924" s="1147"/>
      <c r="S924" s="974"/>
      <c r="T924" s="976" t="s">
        <v>1323</v>
      </c>
      <c r="V924" s="687" t="s">
        <v>1684</v>
      </c>
      <c r="X924" s="686"/>
      <c r="Y924" s="686"/>
    </row>
    <row r="925" spans="1:25" x14ac:dyDescent="0.25">
      <c r="B925" s="1187" t="s">
        <v>1860</v>
      </c>
      <c r="C925" s="1015">
        <v>1066</v>
      </c>
      <c r="D925" s="976" t="s">
        <v>1682</v>
      </c>
      <c r="E925" s="976" t="s">
        <v>1683</v>
      </c>
      <c r="F925" s="973">
        <v>66000000</v>
      </c>
      <c r="G925" s="974"/>
      <c r="H925" s="974">
        <v>30000000</v>
      </c>
      <c r="I925" s="974"/>
      <c r="J925" s="975"/>
      <c r="K925" s="974"/>
      <c r="L925" s="974">
        <f>SUM(H925:K925)</f>
        <v>30000000</v>
      </c>
      <c r="M925" s="976"/>
      <c r="N925" s="1013">
        <f t="shared" si="62"/>
        <v>36000000</v>
      </c>
      <c r="O925" s="976"/>
      <c r="P925" s="977"/>
      <c r="Q925" s="974"/>
      <c r="R925" s="1147"/>
      <c r="S925" s="974"/>
      <c r="T925" s="976" t="s">
        <v>1323</v>
      </c>
      <c r="X925" s="686"/>
      <c r="Y925" s="686"/>
    </row>
    <row r="926" spans="1:25" x14ac:dyDescent="0.25">
      <c r="B926" s="1187" t="s">
        <v>1860</v>
      </c>
      <c r="C926" s="1015">
        <v>1066</v>
      </c>
      <c r="D926" s="976" t="s">
        <v>1862</v>
      </c>
      <c r="E926" s="976" t="s">
        <v>1432</v>
      </c>
      <c r="F926" s="973">
        <v>100570800</v>
      </c>
      <c r="G926" s="974"/>
      <c r="H926" s="974">
        <v>40228320</v>
      </c>
      <c r="I926" s="974"/>
      <c r="J926" s="975"/>
      <c r="K926" s="974"/>
      <c r="L926" s="974">
        <f t="shared" ref="L926:L932" si="63">SUM(H926:K926)</f>
        <v>40228320</v>
      </c>
      <c r="M926" s="976"/>
      <c r="N926" s="1013">
        <f t="shared" si="62"/>
        <v>60342480</v>
      </c>
      <c r="O926" s="976"/>
      <c r="P926" s="977"/>
      <c r="Q926" s="974"/>
      <c r="R926" s="1147"/>
      <c r="S926" s="974"/>
      <c r="T926" s="976" t="s">
        <v>1323</v>
      </c>
      <c r="X926" s="686"/>
      <c r="Y926" s="686"/>
    </row>
    <row r="927" spans="1:25" x14ac:dyDescent="0.25">
      <c r="B927" s="1187" t="s">
        <v>1860</v>
      </c>
      <c r="C927" s="1015">
        <v>1066</v>
      </c>
      <c r="D927" s="976" t="s">
        <v>1821</v>
      </c>
      <c r="E927" s="976" t="s">
        <v>1863</v>
      </c>
      <c r="F927" s="973">
        <v>8613000</v>
      </c>
      <c r="G927" s="974"/>
      <c r="H927" s="974">
        <v>8613000</v>
      </c>
      <c r="I927" s="974"/>
      <c r="J927" s="975"/>
      <c r="K927" s="974"/>
      <c r="L927" s="974">
        <f t="shared" si="63"/>
        <v>8613000</v>
      </c>
      <c r="M927" s="976"/>
      <c r="N927" s="1013">
        <f t="shared" si="62"/>
        <v>0</v>
      </c>
      <c r="O927" s="976"/>
      <c r="P927" s="977"/>
      <c r="Q927" s="974"/>
      <c r="R927" s="1147"/>
      <c r="S927" s="974"/>
      <c r="T927" s="976" t="s">
        <v>1323</v>
      </c>
      <c r="X927" s="686"/>
      <c r="Y927" s="686"/>
    </row>
    <row r="928" spans="1:25" x14ac:dyDescent="0.25">
      <c r="B928" s="1187" t="s">
        <v>1860</v>
      </c>
      <c r="C928" s="1015">
        <v>1066</v>
      </c>
      <c r="D928" s="976" t="s">
        <v>1685</v>
      </c>
      <c r="E928" s="976" t="s">
        <v>1686</v>
      </c>
      <c r="F928" s="973">
        <v>36000000</v>
      </c>
      <c r="G928" s="974"/>
      <c r="H928" s="974">
        <v>36000000</v>
      </c>
      <c r="I928" s="974"/>
      <c r="J928" s="975"/>
      <c r="K928" s="974"/>
      <c r="L928" s="974">
        <f t="shared" si="63"/>
        <v>36000000</v>
      </c>
      <c r="M928" s="976"/>
      <c r="N928" s="1013">
        <f t="shared" si="62"/>
        <v>0</v>
      </c>
      <c r="O928" s="976"/>
      <c r="P928" s="977"/>
      <c r="Q928" s="974"/>
      <c r="R928" s="1147"/>
      <c r="S928" s="974"/>
      <c r="T928" s="976"/>
      <c r="X928" s="686"/>
      <c r="Y928" s="686"/>
    </row>
    <row r="929" spans="1:25" x14ac:dyDescent="0.25">
      <c r="B929" s="1187" t="s">
        <v>1860</v>
      </c>
      <c r="C929" s="1015">
        <v>1066</v>
      </c>
      <c r="D929" s="976"/>
      <c r="E929" s="976"/>
      <c r="F929" s="973"/>
      <c r="G929" s="974"/>
      <c r="H929" s="974"/>
      <c r="I929" s="974"/>
      <c r="J929" s="975"/>
      <c r="K929" s="974"/>
      <c r="L929" s="974">
        <f t="shared" si="63"/>
        <v>0</v>
      </c>
      <c r="M929" s="976"/>
      <c r="N929" s="1013">
        <f t="shared" si="62"/>
        <v>0</v>
      </c>
      <c r="O929" s="976"/>
      <c r="P929" s="977"/>
      <c r="Q929" s="974"/>
      <c r="R929" s="1147"/>
      <c r="S929" s="974"/>
      <c r="T929" s="976"/>
      <c r="X929" s="686"/>
      <c r="Y929" s="686"/>
    </row>
    <row r="930" spans="1:25" x14ac:dyDescent="0.25">
      <c r="B930" s="1187" t="s">
        <v>1860</v>
      </c>
      <c r="C930" s="1015">
        <v>1066</v>
      </c>
      <c r="D930" s="976"/>
      <c r="E930" s="976"/>
      <c r="F930" s="973"/>
      <c r="G930" s="974"/>
      <c r="H930" s="974"/>
      <c r="I930" s="974"/>
      <c r="J930" s="975"/>
      <c r="K930" s="974"/>
      <c r="L930" s="974">
        <f t="shared" si="63"/>
        <v>0</v>
      </c>
      <c r="M930" s="976"/>
      <c r="N930" s="1013">
        <f t="shared" si="62"/>
        <v>0</v>
      </c>
      <c r="O930" s="976"/>
      <c r="P930" s="977"/>
      <c r="Q930" s="974"/>
      <c r="R930" s="1147"/>
      <c r="S930" s="974"/>
      <c r="T930" s="976"/>
      <c r="X930" s="686"/>
      <c r="Y930" s="686"/>
    </row>
    <row r="931" spans="1:25" x14ac:dyDescent="0.25">
      <c r="B931" s="1187" t="s">
        <v>1860</v>
      </c>
      <c r="C931" s="1015">
        <v>1066</v>
      </c>
      <c r="D931" s="976"/>
      <c r="E931" s="976"/>
      <c r="F931" s="973"/>
      <c r="G931" s="974"/>
      <c r="H931" s="974"/>
      <c r="I931" s="974"/>
      <c r="J931" s="975"/>
      <c r="K931" s="974"/>
      <c r="L931" s="974">
        <f t="shared" si="63"/>
        <v>0</v>
      </c>
      <c r="M931" s="976"/>
      <c r="N931" s="1013">
        <f t="shared" si="62"/>
        <v>0</v>
      </c>
      <c r="O931" s="976"/>
      <c r="P931" s="977"/>
      <c r="Q931" s="974"/>
      <c r="R931" s="1147"/>
      <c r="S931" s="974"/>
      <c r="T931" s="976"/>
      <c r="X931" s="686"/>
      <c r="Y931" s="686"/>
    </row>
    <row r="932" spans="1:25" x14ac:dyDescent="0.25">
      <c r="B932" s="1187" t="s">
        <v>1860</v>
      </c>
      <c r="C932" s="1015">
        <v>1066</v>
      </c>
      <c r="D932" s="976" t="s">
        <v>947</v>
      </c>
      <c r="E932" s="976"/>
      <c r="F932" s="973"/>
      <c r="G932" s="974"/>
      <c r="H932" s="974"/>
      <c r="I932" s="974"/>
      <c r="J932" s="975"/>
      <c r="K932" s="974"/>
      <c r="L932" s="974">
        <f t="shared" si="63"/>
        <v>0</v>
      </c>
      <c r="M932" s="976"/>
      <c r="N932" s="1013">
        <f t="shared" si="62"/>
        <v>0</v>
      </c>
      <c r="O932" s="976"/>
      <c r="P932" s="977"/>
      <c r="Q932" s="974"/>
      <c r="R932" s="1147"/>
      <c r="S932" s="974"/>
      <c r="T932" s="976"/>
      <c r="V932" s="1000" t="s">
        <v>948</v>
      </c>
      <c r="W932" s="1000">
        <f>SUM(W924:W931)</f>
        <v>0</v>
      </c>
      <c r="X932" s="686"/>
      <c r="Y932" s="686"/>
    </row>
    <row r="933" spans="1:25" ht="15.75" x14ac:dyDescent="0.25">
      <c r="A933" s="723"/>
      <c r="B933" s="720" t="s">
        <v>997</v>
      </c>
      <c r="C933" s="720"/>
      <c r="D933" s="699" t="s">
        <v>1860</v>
      </c>
      <c r="E933" s="992"/>
      <c r="F933" s="993"/>
      <c r="G933" s="994"/>
      <c r="H933" s="994"/>
      <c r="I933" s="994"/>
      <c r="J933" s="995"/>
      <c r="K933" s="994"/>
      <c r="L933" s="735">
        <f>SUM(L924:L932)</f>
        <v>124803976</v>
      </c>
      <c r="M933" s="992"/>
      <c r="N933" s="1042">
        <f>SUM(N924:N932)</f>
        <v>106305137</v>
      </c>
      <c r="O933" s="992"/>
      <c r="P933" s="998"/>
      <c r="Q933" s="994"/>
      <c r="R933" s="1153"/>
      <c r="S933" s="994"/>
      <c r="T933" s="992"/>
      <c r="X933" s="686"/>
      <c r="Y933" s="686"/>
    </row>
    <row r="934" spans="1:25" x14ac:dyDescent="0.25">
      <c r="A934" s="686">
        <v>44</v>
      </c>
      <c r="B934" s="1187" t="s">
        <v>669</v>
      </c>
      <c r="C934" s="1015">
        <v>1067</v>
      </c>
      <c r="D934" s="976" t="s">
        <v>1864</v>
      </c>
      <c r="E934" s="1107" t="s">
        <v>1865</v>
      </c>
      <c r="F934" s="973">
        <v>164313600</v>
      </c>
      <c r="G934" s="974"/>
      <c r="H934" s="974">
        <v>65725440</v>
      </c>
      <c r="I934" s="974">
        <v>29875200</v>
      </c>
      <c r="J934" s="975"/>
      <c r="K934" s="974"/>
      <c r="L934" s="974">
        <f>SUM(H934:K934)</f>
        <v>95600640</v>
      </c>
      <c r="M934" s="976"/>
      <c r="N934" s="1013">
        <f t="shared" si="60"/>
        <v>68712960</v>
      </c>
      <c r="O934" s="976"/>
      <c r="P934" s="977"/>
      <c r="Q934" s="974"/>
      <c r="R934" s="1147"/>
      <c r="S934" s="974" t="s">
        <v>1866</v>
      </c>
      <c r="T934" s="976" t="s">
        <v>1323</v>
      </c>
      <c r="V934" s="687" t="s">
        <v>1692</v>
      </c>
      <c r="W934" s="687">
        <v>300000</v>
      </c>
      <c r="X934" s="686"/>
      <c r="Y934" s="686"/>
    </row>
    <row r="935" spans="1:25" x14ac:dyDescent="0.25">
      <c r="B935" s="1187" t="s">
        <v>669</v>
      </c>
      <c r="C935" s="1015">
        <v>1067</v>
      </c>
      <c r="D935" s="976" t="s">
        <v>1867</v>
      </c>
      <c r="E935" s="976" t="s">
        <v>1306</v>
      </c>
      <c r="F935" s="973">
        <v>75000</v>
      </c>
      <c r="G935" s="974"/>
      <c r="H935" s="974">
        <v>75000</v>
      </c>
      <c r="I935" s="974"/>
      <c r="J935" s="975"/>
      <c r="K935" s="974"/>
      <c r="L935" s="974">
        <f>SUM(H935:K935)</f>
        <v>75000</v>
      </c>
      <c r="M935" s="976"/>
      <c r="N935" s="1013">
        <f t="shared" si="60"/>
        <v>0</v>
      </c>
      <c r="O935" s="976"/>
      <c r="P935" s="977"/>
      <c r="Q935" s="974"/>
      <c r="R935" s="1147"/>
      <c r="S935" s="974"/>
      <c r="T935" s="976"/>
      <c r="V935" s="687" t="s">
        <v>1470</v>
      </c>
      <c r="W935" s="687">
        <v>280000</v>
      </c>
      <c r="X935" s="686"/>
      <c r="Y935" s="686"/>
    </row>
    <row r="936" spans="1:25" x14ac:dyDescent="0.25">
      <c r="B936" s="1187" t="s">
        <v>669</v>
      </c>
      <c r="C936" s="1015">
        <v>1067</v>
      </c>
      <c r="D936" s="976" t="s">
        <v>1601</v>
      </c>
      <c r="E936" s="1107" t="s">
        <v>670</v>
      </c>
      <c r="F936" s="973">
        <v>2000000</v>
      </c>
      <c r="G936" s="974"/>
      <c r="H936" s="974">
        <v>2000000</v>
      </c>
      <c r="I936" s="974"/>
      <c r="J936" s="975"/>
      <c r="K936" s="974"/>
      <c r="L936" s="974">
        <f t="shared" ref="L936:L963" si="64">SUM(H936:K936)</f>
        <v>2000000</v>
      </c>
      <c r="M936" s="976"/>
      <c r="N936" s="1013">
        <f t="shared" si="60"/>
        <v>0</v>
      </c>
      <c r="O936" s="976"/>
      <c r="P936" s="977"/>
      <c r="Q936" s="974"/>
      <c r="R936" s="1147"/>
      <c r="S936" s="974"/>
      <c r="T936" s="976"/>
      <c r="V936" s="687" t="s">
        <v>1710</v>
      </c>
      <c r="W936" s="687">
        <v>1680000</v>
      </c>
      <c r="X936" s="686"/>
      <c r="Y936" s="686"/>
    </row>
    <row r="937" spans="1:25" x14ac:dyDescent="0.25">
      <c r="B937" s="1187" t="s">
        <v>669</v>
      </c>
      <c r="C937" s="1015">
        <v>1067</v>
      </c>
      <c r="D937" s="976" t="s">
        <v>1868</v>
      </c>
      <c r="E937" s="976" t="s">
        <v>1869</v>
      </c>
      <c r="F937" s="973">
        <v>75427220</v>
      </c>
      <c r="G937" s="974"/>
      <c r="H937" s="974">
        <v>34285100</v>
      </c>
      <c r="I937" s="974"/>
      <c r="J937" s="975"/>
      <c r="K937" s="974"/>
      <c r="L937" s="974">
        <f t="shared" si="64"/>
        <v>34285100</v>
      </c>
      <c r="M937" s="976"/>
      <c r="N937" s="1013">
        <f t="shared" si="60"/>
        <v>41142120</v>
      </c>
      <c r="O937" s="976"/>
      <c r="P937" s="977"/>
      <c r="Q937" s="974"/>
      <c r="R937" s="1147"/>
      <c r="S937" s="974" t="s">
        <v>1417</v>
      </c>
      <c r="T937" s="976" t="s">
        <v>1323</v>
      </c>
      <c r="V937" s="687" t="s">
        <v>1720</v>
      </c>
      <c r="W937" s="687">
        <v>1400000</v>
      </c>
      <c r="X937" s="686"/>
      <c r="Y937" s="686"/>
    </row>
    <row r="938" spans="1:25" x14ac:dyDescent="0.25">
      <c r="B938" s="1187" t="s">
        <v>669</v>
      </c>
      <c r="C938" s="1015">
        <v>1067</v>
      </c>
      <c r="D938" s="976" t="s">
        <v>1722</v>
      </c>
      <c r="E938" s="976" t="s">
        <v>1870</v>
      </c>
      <c r="F938" s="973">
        <v>122579413</v>
      </c>
      <c r="G938" s="974"/>
      <c r="H938" s="974">
        <v>49031766</v>
      </c>
      <c r="I938" s="974">
        <v>49031766</v>
      </c>
      <c r="J938" s="975"/>
      <c r="K938" s="974"/>
      <c r="L938" s="974">
        <f t="shared" si="64"/>
        <v>98063532</v>
      </c>
      <c r="M938" s="976"/>
      <c r="N938" s="1013">
        <f t="shared" si="60"/>
        <v>24515881</v>
      </c>
      <c r="O938" s="976"/>
      <c r="P938" s="977"/>
      <c r="Q938" s="974"/>
      <c r="R938" s="1147"/>
      <c r="S938" s="974" t="s">
        <v>1417</v>
      </c>
      <c r="T938" s="976" t="s">
        <v>1323</v>
      </c>
      <c r="X938" s="686"/>
      <c r="Y938" s="686"/>
    </row>
    <row r="939" spans="1:25" x14ac:dyDescent="0.25">
      <c r="B939" s="1187" t="s">
        <v>669</v>
      </c>
      <c r="C939" s="1015">
        <v>1067</v>
      </c>
      <c r="D939" s="976" t="s">
        <v>1871</v>
      </c>
      <c r="E939" s="976" t="s">
        <v>1319</v>
      </c>
      <c r="F939" s="973">
        <v>6300000</v>
      </c>
      <c r="G939" s="974"/>
      <c r="H939" s="974">
        <v>6300000</v>
      </c>
      <c r="I939" s="974"/>
      <c r="J939" s="975"/>
      <c r="K939" s="974"/>
      <c r="L939" s="974">
        <f t="shared" si="64"/>
        <v>6300000</v>
      </c>
      <c r="M939" s="976"/>
      <c r="N939" s="1013">
        <f t="shared" si="60"/>
        <v>0</v>
      </c>
      <c r="O939" s="976"/>
      <c r="P939" s="977"/>
      <c r="Q939" s="974"/>
      <c r="R939" s="1147"/>
      <c r="S939" s="974"/>
      <c r="T939" s="976"/>
      <c r="X939" s="686"/>
      <c r="Y939" s="686"/>
    </row>
    <row r="940" spans="1:25" x14ac:dyDescent="0.25">
      <c r="B940" s="1187" t="s">
        <v>669</v>
      </c>
      <c r="C940" s="1015">
        <v>1067</v>
      </c>
      <c r="D940" s="976" t="s">
        <v>1872</v>
      </c>
      <c r="E940" s="976" t="s">
        <v>1873</v>
      </c>
      <c r="F940" s="973">
        <v>87980750</v>
      </c>
      <c r="G940" s="974"/>
      <c r="H940" s="974">
        <v>33499400</v>
      </c>
      <c r="I940" s="974">
        <v>50249100</v>
      </c>
      <c r="J940" s="975"/>
      <c r="K940" s="974"/>
      <c r="L940" s="974">
        <f t="shared" si="64"/>
        <v>83748500</v>
      </c>
      <c r="M940" s="976"/>
      <c r="N940" s="1013">
        <f t="shared" si="60"/>
        <v>4232250</v>
      </c>
      <c r="O940" s="976"/>
      <c r="P940" s="977"/>
      <c r="Q940" s="974"/>
      <c r="R940" s="1147"/>
      <c r="S940" s="974" t="s">
        <v>1417</v>
      </c>
      <c r="T940" s="976" t="s">
        <v>1323</v>
      </c>
      <c r="X940" s="686"/>
      <c r="Y940" s="686"/>
    </row>
    <row r="941" spans="1:25" x14ac:dyDescent="0.25">
      <c r="B941" s="1187" t="s">
        <v>669</v>
      </c>
      <c r="C941" s="1015">
        <v>1067</v>
      </c>
      <c r="D941" s="976" t="s">
        <v>1874</v>
      </c>
      <c r="E941" s="976" t="s">
        <v>1875</v>
      </c>
      <c r="F941" s="973">
        <v>124003000</v>
      </c>
      <c r="G941" s="974"/>
      <c r="H941" s="974">
        <v>62000000</v>
      </c>
      <c r="I941" s="974"/>
      <c r="J941" s="975"/>
      <c r="K941" s="974"/>
      <c r="L941" s="974">
        <f t="shared" si="64"/>
        <v>62000000</v>
      </c>
      <c r="M941" s="976"/>
      <c r="N941" s="1013">
        <f t="shared" si="60"/>
        <v>62003000</v>
      </c>
      <c r="O941" s="976"/>
      <c r="P941" s="977"/>
      <c r="Q941" s="974"/>
      <c r="R941" s="1147"/>
      <c r="S941" s="974"/>
      <c r="T941" s="976" t="s">
        <v>1323</v>
      </c>
      <c r="X941" s="686"/>
      <c r="Y941" s="686"/>
    </row>
    <row r="942" spans="1:25" x14ac:dyDescent="0.25">
      <c r="B942" s="1187" t="s">
        <v>669</v>
      </c>
      <c r="C942" s="1015">
        <v>1067</v>
      </c>
      <c r="D942" s="976" t="s">
        <v>1876</v>
      </c>
      <c r="E942" s="976" t="s">
        <v>1458</v>
      </c>
      <c r="F942" s="973">
        <v>107082800</v>
      </c>
      <c r="G942" s="974"/>
      <c r="H942" s="974">
        <v>53541400</v>
      </c>
      <c r="I942" s="974"/>
      <c r="J942" s="975"/>
      <c r="K942" s="974"/>
      <c r="L942" s="974">
        <f t="shared" si="64"/>
        <v>53541400</v>
      </c>
      <c r="M942" s="976"/>
      <c r="N942" s="1013">
        <f t="shared" si="60"/>
        <v>53541400</v>
      </c>
      <c r="O942" s="976"/>
      <c r="P942" s="977"/>
      <c r="Q942" s="974"/>
      <c r="R942" s="1147"/>
      <c r="S942" s="974"/>
      <c r="T942" s="976"/>
      <c r="X942" s="686"/>
      <c r="Y942" s="686"/>
    </row>
    <row r="943" spans="1:25" x14ac:dyDescent="0.25">
      <c r="B943" s="1187" t="s">
        <v>669</v>
      </c>
      <c r="C943" s="1015">
        <v>1067</v>
      </c>
      <c r="D943" s="976" t="s">
        <v>1877</v>
      </c>
      <c r="E943" s="976" t="s">
        <v>1090</v>
      </c>
      <c r="F943" s="973">
        <v>1550000</v>
      </c>
      <c r="G943" s="974"/>
      <c r="H943" s="974">
        <v>1550000</v>
      </c>
      <c r="I943" s="974"/>
      <c r="J943" s="975"/>
      <c r="K943" s="974"/>
      <c r="L943" s="974">
        <f t="shared" si="64"/>
        <v>1550000</v>
      </c>
      <c r="M943" s="976"/>
      <c r="N943" s="1013">
        <f t="shared" si="60"/>
        <v>0</v>
      </c>
      <c r="O943" s="976"/>
      <c r="P943" s="977"/>
      <c r="Q943" s="974"/>
      <c r="R943" s="1147"/>
      <c r="S943" s="974"/>
      <c r="T943" s="976"/>
      <c r="X943" s="686"/>
      <c r="Y943" s="686"/>
    </row>
    <row r="944" spans="1:25" x14ac:dyDescent="0.25">
      <c r="B944" s="1187" t="s">
        <v>669</v>
      </c>
      <c r="C944" s="1015">
        <v>1067</v>
      </c>
      <c r="D944" s="976" t="s">
        <v>1878</v>
      </c>
      <c r="E944" s="976" t="s">
        <v>1400</v>
      </c>
      <c r="F944" s="973">
        <v>79199000</v>
      </c>
      <c r="G944" s="974"/>
      <c r="H944" s="974">
        <v>40000000</v>
      </c>
      <c r="I944" s="974"/>
      <c r="J944" s="975"/>
      <c r="K944" s="974"/>
      <c r="L944" s="974">
        <f t="shared" si="64"/>
        <v>40000000</v>
      </c>
      <c r="M944" s="976"/>
      <c r="N944" s="1013">
        <f t="shared" si="60"/>
        <v>39199000</v>
      </c>
      <c r="O944" s="976"/>
      <c r="P944" s="977"/>
      <c r="Q944" s="974"/>
      <c r="R944" s="1147"/>
      <c r="S944" s="974"/>
      <c r="T944" s="976"/>
      <c r="X944" s="686"/>
      <c r="Y944" s="686"/>
    </row>
    <row r="945" spans="2:25" x14ac:dyDescent="0.25">
      <c r="B945" s="1187" t="s">
        <v>669</v>
      </c>
      <c r="C945" s="1015">
        <v>1067</v>
      </c>
      <c r="D945" s="976" t="s">
        <v>1879</v>
      </c>
      <c r="E945" s="976" t="s">
        <v>1857</v>
      </c>
      <c r="F945" s="973">
        <v>6600000</v>
      </c>
      <c r="G945" s="974"/>
      <c r="H945" s="974">
        <v>6600000</v>
      </c>
      <c r="I945" s="974"/>
      <c r="J945" s="975"/>
      <c r="K945" s="974"/>
      <c r="L945" s="974">
        <f t="shared" si="64"/>
        <v>6600000</v>
      </c>
      <c r="M945" s="976"/>
      <c r="N945" s="1013">
        <f t="shared" si="60"/>
        <v>0</v>
      </c>
      <c r="O945" s="976"/>
      <c r="P945" s="977"/>
      <c r="Q945" s="974"/>
      <c r="R945" s="1147"/>
      <c r="S945" s="974"/>
      <c r="T945" s="976" t="s">
        <v>1323</v>
      </c>
      <c r="X945" s="686"/>
      <c r="Y945" s="686"/>
    </row>
    <row r="946" spans="2:25" x14ac:dyDescent="0.25">
      <c r="B946" s="1187" t="s">
        <v>669</v>
      </c>
      <c r="C946" s="1015">
        <v>1067</v>
      </c>
      <c r="D946" s="976" t="s">
        <v>1880</v>
      </c>
      <c r="E946" s="976" t="s">
        <v>1881</v>
      </c>
      <c r="F946" s="973">
        <v>140000</v>
      </c>
      <c r="G946" s="974"/>
      <c r="H946" s="974">
        <v>140000</v>
      </c>
      <c r="I946" s="974"/>
      <c r="J946" s="975"/>
      <c r="K946" s="974"/>
      <c r="L946" s="974">
        <f t="shared" si="64"/>
        <v>140000</v>
      </c>
      <c r="M946" s="976"/>
      <c r="N946" s="1013">
        <f t="shared" si="60"/>
        <v>0</v>
      </c>
      <c r="O946" s="976"/>
      <c r="P946" s="977"/>
      <c r="Q946" s="974"/>
      <c r="R946" s="1147"/>
      <c r="S946" s="974"/>
      <c r="T946" s="976"/>
      <c r="X946" s="686"/>
      <c r="Y946" s="686"/>
    </row>
    <row r="947" spans="2:25" x14ac:dyDescent="0.25">
      <c r="B947" s="1187" t="s">
        <v>669</v>
      </c>
      <c r="C947" s="1015">
        <v>1067</v>
      </c>
      <c r="D947" s="976" t="s">
        <v>1882</v>
      </c>
      <c r="E947" s="976" t="s">
        <v>1883</v>
      </c>
      <c r="F947" s="973">
        <v>100000</v>
      </c>
      <c r="G947" s="974"/>
      <c r="H947" s="974">
        <v>100000</v>
      </c>
      <c r="I947" s="974"/>
      <c r="J947" s="975"/>
      <c r="K947" s="974"/>
      <c r="L947" s="974">
        <f t="shared" si="64"/>
        <v>100000</v>
      </c>
      <c r="M947" s="976"/>
      <c r="N947" s="1013">
        <f t="shared" si="60"/>
        <v>0</v>
      </c>
      <c r="O947" s="976"/>
      <c r="P947" s="977"/>
      <c r="Q947" s="974"/>
      <c r="R947" s="1147"/>
      <c r="S947" s="974"/>
      <c r="T947" s="976"/>
      <c r="X947" s="686"/>
      <c r="Y947" s="686"/>
    </row>
    <row r="948" spans="2:25" x14ac:dyDescent="0.25">
      <c r="B948" s="1187" t="s">
        <v>669</v>
      </c>
      <c r="C948" s="1015">
        <v>1067</v>
      </c>
      <c r="D948" s="976" t="s">
        <v>1884</v>
      </c>
      <c r="E948" s="976" t="s">
        <v>1885</v>
      </c>
      <c r="F948" s="973">
        <v>6348000</v>
      </c>
      <c r="G948" s="974"/>
      <c r="H948" s="974">
        <v>6348000</v>
      </c>
      <c r="I948" s="974"/>
      <c r="J948" s="975"/>
      <c r="K948" s="974"/>
      <c r="L948" s="974">
        <f t="shared" si="64"/>
        <v>6348000</v>
      </c>
      <c r="M948" s="976"/>
      <c r="N948" s="1013">
        <f t="shared" si="60"/>
        <v>0</v>
      </c>
      <c r="O948" s="976"/>
      <c r="P948" s="977"/>
      <c r="Q948" s="974"/>
      <c r="R948" s="1147"/>
      <c r="S948" s="974"/>
      <c r="T948" s="976" t="s">
        <v>1323</v>
      </c>
      <c r="X948" s="686"/>
      <c r="Y948" s="686"/>
    </row>
    <row r="949" spans="2:25" x14ac:dyDescent="0.25">
      <c r="B949" s="1187" t="s">
        <v>669</v>
      </c>
      <c r="C949" s="1015">
        <v>1067</v>
      </c>
      <c r="D949" s="976" t="s">
        <v>1886</v>
      </c>
      <c r="E949" s="976" t="s">
        <v>1887</v>
      </c>
      <c r="F949" s="973">
        <v>9680000</v>
      </c>
      <c r="G949" s="974"/>
      <c r="H949" s="974">
        <v>4840000</v>
      </c>
      <c r="I949" s="974"/>
      <c r="J949" s="975"/>
      <c r="K949" s="974"/>
      <c r="L949" s="974">
        <f t="shared" si="64"/>
        <v>4840000</v>
      </c>
      <c r="M949" s="976"/>
      <c r="N949" s="1013">
        <f t="shared" si="60"/>
        <v>4840000</v>
      </c>
      <c r="O949" s="976"/>
      <c r="P949" s="977"/>
      <c r="Q949" s="974"/>
      <c r="R949" s="1147"/>
      <c r="S949" s="974"/>
      <c r="T949" s="976" t="s">
        <v>1323</v>
      </c>
      <c r="X949" s="686"/>
      <c r="Y949" s="686"/>
    </row>
    <row r="950" spans="2:25" x14ac:dyDescent="0.25">
      <c r="B950" s="1187" t="s">
        <v>669</v>
      </c>
      <c r="C950" s="1015">
        <v>1067</v>
      </c>
      <c r="D950" s="976" t="s">
        <v>1447</v>
      </c>
      <c r="E950" s="976" t="s">
        <v>1316</v>
      </c>
      <c r="F950" s="973">
        <v>64000000</v>
      </c>
      <c r="G950" s="974"/>
      <c r="H950" s="974">
        <v>24000000</v>
      </c>
      <c r="I950" s="974"/>
      <c r="J950" s="975"/>
      <c r="K950" s="974"/>
      <c r="L950" s="974">
        <f t="shared" si="64"/>
        <v>24000000</v>
      </c>
      <c r="M950" s="976"/>
      <c r="N950" s="1013">
        <f t="shared" si="60"/>
        <v>40000000</v>
      </c>
      <c r="O950" s="976"/>
      <c r="P950" s="977"/>
      <c r="Q950" s="974"/>
      <c r="R950" s="1147"/>
      <c r="S950" s="974"/>
      <c r="T950" s="976"/>
      <c r="X950" s="686"/>
      <c r="Y950" s="686"/>
    </row>
    <row r="951" spans="2:25" x14ac:dyDescent="0.25">
      <c r="B951" s="1187" t="s">
        <v>669</v>
      </c>
      <c r="C951" s="1015">
        <v>1067</v>
      </c>
      <c r="D951" s="976" t="s">
        <v>1888</v>
      </c>
      <c r="E951" s="976" t="s">
        <v>887</v>
      </c>
      <c r="F951" s="973">
        <v>49740000</v>
      </c>
      <c r="G951" s="974"/>
      <c r="H951" s="974">
        <v>14922000</v>
      </c>
      <c r="I951" s="974"/>
      <c r="J951" s="975"/>
      <c r="K951" s="974"/>
      <c r="L951" s="974">
        <f t="shared" si="64"/>
        <v>14922000</v>
      </c>
      <c r="M951" s="976"/>
      <c r="N951" s="1013">
        <f t="shared" si="60"/>
        <v>34818000</v>
      </c>
      <c r="O951" s="976"/>
      <c r="P951" s="977"/>
      <c r="Q951" s="974"/>
      <c r="R951" s="1147"/>
      <c r="S951" s="974"/>
      <c r="T951" s="976"/>
      <c r="X951" s="686"/>
      <c r="Y951" s="686"/>
    </row>
    <row r="952" spans="2:25" x14ac:dyDescent="0.25">
      <c r="B952" s="1187" t="s">
        <v>669</v>
      </c>
      <c r="C952" s="1015">
        <v>1067</v>
      </c>
      <c r="D952" s="976" t="s">
        <v>1889</v>
      </c>
      <c r="E952" s="976" t="s">
        <v>1890</v>
      </c>
      <c r="F952" s="973">
        <v>1391000</v>
      </c>
      <c r="G952" s="974"/>
      <c r="H952" s="974">
        <v>1391000</v>
      </c>
      <c r="I952" s="974"/>
      <c r="J952" s="975"/>
      <c r="K952" s="974"/>
      <c r="L952" s="974">
        <f t="shared" si="64"/>
        <v>1391000</v>
      </c>
      <c r="M952" s="976"/>
      <c r="N952" s="1013">
        <f t="shared" si="60"/>
        <v>0</v>
      </c>
      <c r="O952" s="976"/>
      <c r="P952" s="977"/>
      <c r="Q952" s="974"/>
      <c r="R952" s="1147"/>
      <c r="S952" s="974"/>
      <c r="T952" s="976"/>
      <c r="X952" s="686"/>
      <c r="Y952" s="686"/>
    </row>
    <row r="953" spans="2:25" x14ac:dyDescent="0.25">
      <c r="B953" s="1187" t="s">
        <v>669</v>
      </c>
      <c r="C953" s="1015">
        <v>1067</v>
      </c>
      <c r="D953" s="976" t="s">
        <v>1891</v>
      </c>
      <c r="E953" s="976" t="s">
        <v>1883</v>
      </c>
      <c r="F953" s="973">
        <v>39000</v>
      </c>
      <c r="G953" s="974"/>
      <c r="H953" s="974">
        <v>39000</v>
      </c>
      <c r="I953" s="974"/>
      <c r="J953" s="975"/>
      <c r="K953" s="974"/>
      <c r="L953" s="974">
        <f t="shared" si="64"/>
        <v>39000</v>
      </c>
      <c r="M953" s="976"/>
      <c r="N953" s="1013">
        <f t="shared" si="60"/>
        <v>0</v>
      </c>
      <c r="O953" s="976"/>
      <c r="P953" s="977"/>
      <c r="Q953" s="974"/>
      <c r="R953" s="1147"/>
      <c r="S953" s="974"/>
      <c r="T953" s="976"/>
      <c r="X953" s="686"/>
      <c r="Y953" s="686"/>
    </row>
    <row r="954" spans="2:25" x14ac:dyDescent="0.25">
      <c r="B954" s="1187" t="s">
        <v>669</v>
      </c>
      <c r="C954" s="1015">
        <v>1067</v>
      </c>
      <c r="D954" s="976" t="s">
        <v>1892</v>
      </c>
      <c r="E954" s="976" t="s">
        <v>1674</v>
      </c>
      <c r="F954" s="973">
        <v>35000000</v>
      </c>
      <c r="G954" s="974"/>
      <c r="H954" s="974">
        <v>10500000</v>
      </c>
      <c r="I954" s="974">
        <v>24500000</v>
      </c>
      <c r="J954" s="975"/>
      <c r="K954" s="974"/>
      <c r="L954" s="974">
        <f t="shared" si="64"/>
        <v>35000000</v>
      </c>
      <c r="M954" s="976"/>
      <c r="N954" s="1013">
        <f t="shared" si="60"/>
        <v>0</v>
      </c>
      <c r="O954" s="976"/>
      <c r="P954" s="977"/>
      <c r="Q954" s="974">
        <v>35000000</v>
      </c>
      <c r="R954" s="1147" t="s">
        <v>1893</v>
      </c>
      <c r="S954" s="974" t="s">
        <v>1417</v>
      </c>
      <c r="T954" s="976" t="s">
        <v>1894</v>
      </c>
      <c r="X954" s="686"/>
      <c r="Y954" s="686"/>
    </row>
    <row r="955" spans="2:25" x14ac:dyDescent="0.25">
      <c r="B955" s="1187" t="s">
        <v>669</v>
      </c>
      <c r="C955" s="1015">
        <v>1067</v>
      </c>
      <c r="D955" s="976" t="s">
        <v>1821</v>
      </c>
      <c r="E955" s="976" t="s">
        <v>1480</v>
      </c>
      <c r="F955" s="973">
        <v>8472070</v>
      </c>
      <c r="G955" s="974"/>
      <c r="H955" s="974">
        <v>8472070</v>
      </c>
      <c r="I955" s="974"/>
      <c r="J955" s="975"/>
      <c r="K955" s="974"/>
      <c r="L955" s="974">
        <f t="shared" si="64"/>
        <v>8472070</v>
      </c>
      <c r="M955" s="976"/>
      <c r="N955" s="1013">
        <f t="shared" si="60"/>
        <v>0</v>
      </c>
      <c r="O955" s="976"/>
      <c r="P955" s="977"/>
      <c r="Q955" s="974">
        <v>8472070</v>
      </c>
      <c r="R955" s="1147" t="s">
        <v>1895</v>
      </c>
      <c r="S955" s="974"/>
      <c r="T955" s="976" t="s">
        <v>1896</v>
      </c>
      <c r="X955" s="686"/>
      <c r="Y955" s="686"/>
    </row>
    <row r="956" spans="2:25" x14ac:dyDescent="0.25">
      <c r="B956" s="1187" t="s">
        <v>669</v>
      </c>
      <c r="C956" s="1015">
        <v>1067</v>
      </c>
      <c r="D956" s="976" t="s">
        <v>1897</v>
      </c>
      <c r="E956" s="976" t="s">
        <v>1480</v>
      </c>
      <c r="F956" s="973">
        <v>4765776</v>
      </c>
      <c r="G956" s="974"/>
      <c r="H956" s="974">
        <v>4765776</v>
      </c>
      <c r="I956" s="974"/>
      <c r="J956" s="975"/>
      <c r="K956" s="974"/>
      <c r="L956" s="974">
        <f t="shared" si="64"/>
        <v>4765776</v>
      </c>
      <c r="M956" s="976"/>
      <c r="N956" s="1013">
        <f t="shared" si="60"/>
        <v>0</v>
      </c>
      <c r="O956" s="976"/>
      <c r="P956" s="977"/>
      <c r="Q956" s="974">
        <v>4765776</v>
      </c>
      <c r="R956" s="1147" t="s">
        <v>1898</v>
      </c>
      <c r="S956" s="974"/>
      <c r="T956" s="976" t="s">
        <v>1896</v>
      </c>
      <c r="X956" s="686"/>
      <c r="Y956" s="686"/>
    </row>
    <row r="957" spans="2:25" x14ac:dyDescent="0.25">
      <c r="B957" s="1187" t="s">
        <v>669</v>
      </c>
      <c r="C957" s="1015">
        <v>1067</v>
      </c>
      <c r="D957" s="976" t="s">
        <v>1268</v>
      </c>
      <c r="E957" s="976" t="s">
        <v>1899</v>
      </c>
      <c r="F957" s="973">
        <v>121787600</v>
      </c>
      <c r="G957" s="974"/>
      <c r="H957" s="974">
        <v>36536280</v>
      </c>
      <c r="I957" s="974"/>
      <c r="J957" s="975"/>
      <c r="K957" s="974"/>
      <c r="L957" s="974">
        <f t="shared" si="64"/>
        <v>36536280</v>
      </c>
      <c r="M957" s="976"/>
      <c r="N957" s="1013">
        <f t="shared" si="60"/>
        <v>85251320</v>
      </c>
      <c r="O957" s="976"/>
      <c r="P957" s="977"/>
      <c r="Q957" s="974"/>
      <c r="R957" s="1147"/>
      <c r="S957" s="974"/>
      <c r="T957" s="976" t="s">
        <v>1323</v>
      </c>
      <c r="X957" s="686"/>
      <c r="Y957" s="686"/>
    </row>
    <row r="958" spans="2:25" x14ac:dyDescent="0.25">
      <c r="B958" s="1187" t="s">
        <v>669</v>
      </c>
      <c r="C958" s="1015">
        <v>1067</v>
      </c>
      <c r="D958" s="976" t="s">
        <v>1900</v>
      </c>
      <c r="E958" s="976" t="s">
        <v>1901</v>
      </c>
      <c r="F958" s="973">
        <v>16286600</v>
      </c>
      <c r="G958" s="974"/>
      <c r="H958" s="974">
        <v>8143300</v>
      </c>
      <c r="I958" s="974">
        <v>8143300</v>
      </c>
      <c r="J958" s="975"/>
      <c r="K958" s="974"/>
      <c r="L958" s="974">
        <f t="shared" si="64"/>
        <v>16286600</v>
      </c>
      <c r="M958" s="976"/>
      <c r="N958" s="1013">
        <f t="shared" si="60"/>
        <v>0</v>
      </c>
      <c r="O958" s="976"/>
      <c r="P958" s="977"/>
      <c r="Q958" s="974"/>
      <c r="R958" s="1147"/>
      <c r="S958" s="974"/>
      <c r="T958" s="976" t="s">
        <v>1323</v>
      </c>
      <c r="X958" s="686"/>
      <c r="Y958" s="686"/>
    </row>
    <row r="959" spans="2:25" x14ac:dyDescent="0.25">
      <c r="B959" s="1187" t="s">
        <v>669</v>
      </c>
      <c r="C959" s="1015">
        <v>1067</v>
      </c>
      <c r="D959" s="976" t="s">
        <v>1780</v>
      </c>
      <c r="E959" s="976" t="s">
        <v>1742</v>
      </c>
      <c r="F959" s="973">
        <v>3255000</v>
      </c>
      <c r="G959" s="974"/>
      <c r="H959" s="974">
        <v>3255000</v>
      </c>
      <c r="I959" s="974"/>
      <c r="J959" s="975"/>
      <c r="K959" s="974"/>
      <c r="L959" s="974">
        <f t="shared" si="64"/>
        <v>3255000</v>
      </c>
      <c r="M959" s="976"/>
      <c r="N959" s="1013">
        <f t="shared" si="60"/>
        <v>0</v>
      </c>
      <c r="O959" s="976"/>
      <c r="P959" s="977"/>
      <c r="Q959" s="974"/>
      <c r="R959" s="1147"/>
      <c r="S959" s="974"/>
      <c r="T959" s="976"/>
      <c r="X959" s="686"/>
      <c r="Y959" s="686"/>
    </row>
    <row r="960" spans="2:25" x14ac:dyDescent="0.25">
      <c r="B960" s="1187" t="s">
        <v>669</v>
      </c>
      <c r="C960" s="1015">
        <v>1067</v>
      </c>
      <c r="D960" s="976" t="s">
        <v>1853</v>
      </c>
      <c r="E960" s="976" t="s">
        <v>1854</v>
      </c>
      <c r="F960" s="973">
        <v>1300000</v>
      </c>
      <c r="G960" s="974"/>
      <c r="H960" s="974">
        <v>1300000</v>
      </c>
      <c r="I960" s="974"/>
      <c r="J960" s="975"/>
      <c r="K960" s="974"/>
      <c r="L960" s="974">
        <f t="shared" si="64"/>
        <v>1300000</v>
      </c>
      <c r="M960" s="976"/>
      <c r="N960" s="1013">
        <f t="shared" si="60"/>
        <v>0</v>
      </c>
      <c r="O960" s="976"/>
      <c r="P960" s="977"/>
      <c r="Q960" s="974"/>
      <c r="R960" s="1147"/>
      <c r="S960" s="974"/>
      <c r="T960" s="976"/>
      <c r="X960" s="686"/>
      <c r="Y960" s="686"/>
    </row>
    <row r="961" spans="1:25" x14ac:dyDescent="0.25">
      <c r="B961" s="1187" t="s">
        <v>669</v>
      </c>
      <c r="C961" s="1015">
        <v>1067</v>
      </c>
      <c r="D961" s="976" t="s">
        <v>1676</v>
      </c>
      <c r="E961" s="976" t="s">
        <v>1677</v>
      </c>
      <c r="F961" s="973">
        <v>15702500</v>
      </c>
      <c r="G961" s="974"/>
      <c r="H961" s="974">
        <v>15702500</v>
      </c>
      <c r="I961" s="974"/>
      <c r="J961" s="975"/>
      <c r="K961" s="974"/>
      <c r="L961" s="974">
        <f t="shared" si="64"/>
        <v>15702500</v>
      </c>
      <c r="M961" s="976"/>
      <c r="N961" s="1013">
        <f t="shared" si="60"/>
        <v>0</v>
      </c>
      <c r="O961" s="976"/>
      <c r="P961" s="977"/>
      <c r="Q961" s="974"/>
      <c r="R961" s="1147"/>
      <c r="S961" s="974"/>
      <c r="T961" s="976"/>
      <c r="X961" s="686"/>
      <c r="Y961" s="686"/>
    </row>
    <row r="962" spans="1:25" x14ac:dyDescent="0.25">
      <c r="B962" s="1187" t="s">
        <v>669</v>
      </c>
      <c r="C962" s="1015">
        <v>1067</v>
      </c>
      <c r="D962" s="976" t="s">
        <v>1902</v>
      </c>
      <c r="E962" s="976" t="s">
        <v>1903</v>
      </c>
      <c r="F962" s="973">
        <v>37323000</v>
      </c>
      <c r="G962" s="974"/>
      <c r="H962" s="974">
        <v>37323000</v>
      </c>
      <c r="I962" s="974"/>
      <c r="J962" s="975"/>
      <c r="K962" s="974"/>
      <c r="L962" s="974">
        <f t="shared" si="64"/>
        <v>37323000</v>
      </c>
      <c r="M962" s="976"/>
      <c r="N962" s="1013">
        <f t="shared" si="60"/>
        <v>0</v>
      </c>
      <c r="O962" s="976"/>
      <c r="P962" s="977"/>
      <c r="Q962" s="974"/>
      <c r="R962" s="1147"/>
      <c r="S962" s="974"/>
      <c r="T962" s="976"/>
      <c r="X962" s="686"/>
      <c r="Y962" s="686"/>
    </row>
    <row r="963" spans="1:25" x14ac:dyDescent="0.25">
      <c r="B963" s="1187" t="s">
        <v>669</v>
      </c>
      <c r="C963" s="1015">
        <v>1067</v>
      </c>
      <c r="D963" s="976" t="s">
        <v>1902</v>
      </c>
      <c r="E963" s="976" t="s">
        <v>1437</v>
      </c>
      <c r="F963" s="973">
        <v>792000</v>
      </c>
      <c r="G963" s="974"/>
      <c r="H963" s="974">
        <v>792000</v>
      </c>
      <c r="I963" s="974"/>
      <c r="J963" s="975"/>
      <c r="K963" s="974"/>
      <c r="L963" s="974">
        <f t="shared" si="64"/>
        <v>792000</v>
      </c>
      <c r="M963" s="976"/>
      <c r="N963" s="1013">
        <f t="shared" si="60"/>
        <v>0</v>
      </c>
      <c r="O963" s="976"/>
      <c r="P963" s="977"/>
      <c r="Q963" s="974"/>
      <c r="R963" s="1147"/>
      <c r="S963" s="974"/>
      <c r="T963" s="976"/>
      <c r="X963" s="686"/>
      <c r="Y963" s="686"/>
    </row>
    <row r="964" spans="1:25" x14ac:dyDescent="0.25">
      <c r="B964" s="1187" t="s">
        <v>669</v>
      </c>
      <c r="C964" s="1015">
        <v>1067</v>
      </c>
      <c r="D964" s="976" t="s">
        <v>947</v>
      </c>
      <c r="E964" s="976"/>
      <c r="F964" s="973">
        <f>W964</f>
        <v>3660000</v>
      </c>
      <c r="G964" s="974"/>
      <c r="H964" s="974">
        <v>300000</v>
      </c>
      <c r="I964" s="974">
        <v>280000</v>
      </c>
      <c r="J964" s="975">
        <v>1680000</v>
      </c>
      <c r="K964" s="974">
        <v>1400000</v>
      </c>
      <c r="L964" s="974">
        <f t="shared" ref="L964" si="65">SUM(H964:K964)</f>
        <v>3660000</v>
      </c>
      <c r="M964" s="976"/>
      <c r="N964" s="1013">
        <f t="shared" si="60"/>
        <v>0</v>
      </c>
      <c r="O964" s="976"/>
      <c r="P964" s="977"/>
      <c r="Q964" s="974"/>
      <c r="R964" s="1147"/>
      <c r="S964" s="974"/>
      <c r="T964" s="976"/>
      <c r="V964" s="1000" t="s">
        <v>948</v>
      </c>
      <c r="W964" s="1000">
        <f>SUM(W934:W947)</f>
        <v>3660000</v>
      </c>
      <c r="X964" s="686"/>
      <c r="Y964" s="686"/>
    </row>
    <row r="965" spans="1:25" ht="15.75" x14ac:dyDescent="0.25">
      <c r="A965" s="723"/>
      <c r="B965" s="720" t="s">
        <v>997</v>
      </c>
      <c r="C965" s="720"/>
      <c r="D965" s="699" t="s">
        <v>669</v>
      </c>
      <c r="E965" s="992"/>
      <c r="F965" s="993"/>
      <c r="G965" s="994"/>
      <c r="H965" s="994"/>
      <c r="I965" s="994"/>
      <c r="J965" s="995"/>
      <c r="K965" s="994"/>
      <c r="L965" s="735">
        <f>SUM(L934:L964)</f>
        <v>698637398</v>
      </c>
      <c r="M965" s="992"/>
      <c r="N965" s="1042">
        <f>SUM(N934:N964)</f>
        <v>458255931</v>
      </c>
      <c r="O965" s="992"/>
      <c r="P965" s="998"/>
      <c r="Q965" s="994"/>
      <c r="R965" s="1153"/>
      <c r="S965" s="994"/>
      <c r="T965" s="992"/>
      <c r="X965" s="686"/>
      <c r="Y965" s="686"/>
    </row>
    <row r="966" spans="1:25" x14ac:dyDescent="0.25">
      <c r="A966" s="686">
        <v>45</v>
      </c>
      <c r="B966" s="1187" t="s">
        <v>1904</v>
      </c>
      <c r="C966" s="1015">
        <v>1063</v>
      </c>
      <c r="D966" s="976" t="s">
        <v>1905</v>
      </c>
      <c r="E966" s="1107" t="s">
        <v>1906</v>
      </c>
      <c r="F966" s="973">
        <v>107800000</v>
      </c>
      <c r="G966" s="974"/>
      <c r="H966" s="974">
        <v>39200000</v>
      </c>
      <c r="I966" s="974">
        <v>68600000</v>
      </c>
      <c r="J966" s="975"/>
      <c r="K966" s="974"/>
      <c r="L966" s="974">
        <f>SUM(H966:K966)</f>
        <v>107800000</v>
      </c>
      <c r="M966" s="976"/>
      <c r="N966" s="1013">
        <f t="shared" si="60"/>
        <v>0</v>
      </c>
      <c r="O966" s="976"/>
      <c r="P966" s="977"/>
      <c r="Q966" s="974"/>
      <c r="R966" s="1147"/>
      <c r="S966" s="974"/>
      <c r="T966" s="976" t="s">
        <v>1323</v>
      </c>
      <c r="V966" s="687" t="s">
        <v>1684</v>
      </c>
      <c r="X966" s="686"/>
      <c r="Y966" s="686"/>
    </row>
    <row r="967" spans="1:25" x14ac:dyDescent="0.25">
      <c r="B967" s="1187" t="s">
        <v>1904</v>
      </c>
      <c r="C967" s="1015">
        <v>1063</v>
      </c>
      <c r="D967" s="976"/>
      <c r="E967" s="976"/>
      <c r="F967" s="973"/>
      <c r="G967" s="974"/>
      <c r="H967" s="974"/>
      <c r="I967" s="974"/>
      <c r="J967" s="975"/>
      <c r="K967" s="974"/>
      <c r="L967" s="974">
        <f>SUM(H967:K967)</f>
        <v>0</v>
      </c>
      <c r="M967" s="976"/>
      <c r="N967" s="1013">
        <f t="shared" si="60"/>
        <v>0</v>
      </c>
      <c r="O967" s="976"/>
      <c r="P967" s="977"/>
      <c r="Q967" s="974"/>
      <c r="R967" s="1147"/>
      <c r="S967" s="974"/>
      <c r="T967" s="976"/>
      <c r="X967" s="686"/>
      <c r="Y967" s="686"/>
    </row>
    <row r="968" spans="1:25" x14ac:dyDescent="0.25">
      <c r="B968" s="1187" t="s">
        <v>1904</v>
      </c>
      <c r="C968" s="1015">
        <v>1063</v>
      </c>
      <c r="D968" s="976"/>
      <c r="E968" s="1107"/>
      <c r="F968" s="973"/>
      <c r="G968" s="974"/>
      <c r="H968" s="974"/>
      <c r="I968" s="974"/>
      <c r="J968" s="975"/>
      <c r="K968" s="974"/>
      <c r="L968" s="974">
        <f t="shared" ref="L968:L976" si="66">SUM(H968:K968)</f>
        <v>0</v>
      </c>
      <c r="M968" s="976"/>
      <c r="N968" s="1013">
        <f t="shared" si="60"/>
        <v>0</v>
      </c>
      <c r="O968" s="976"/>
      <c r="P968" s="977"/>
      <c r="Q968" s="974"/>
      <c r="R968" s="1147"/>
      <c r="S968" s="974"/>
      <c r="T968" s="976"/>
      <c r="X968" s="686"/>
      <c r="Y968" s="686"/>
    </row>
    <row r="969" spans="1:25" x14ac:dyDescent="0.25">
      <c r="B969" s="1187" t="s">
        <v>1904</v>
      </c>
      <c r="C969" s="1015">
        <v>1063</v>
      </c>
      <c r="D969" s="976"/>
      <c r="E969" s="976"/>
      <c r="F969" s="973"/>
      <c r="G969" s="974"/>
      <c r="H969" s="974"/>
      <c r="I969" s="974"/>
      <c r="J969" s="975"/>
      <c r="K969" s="974"/>
      <c r="L969" s="974">
        <f t="shared" si="66"/>
        <v>0</v>
      </c>
      <c r="M969" s="976"/>
      <c r="N969" s="1013">
        <f t="shared" si="60"/>
        <v>0</v>
      </c>
      <c r="O969" s="976"/>
      <c r="P969" s="977"/>
      <c r="Q969" s="974"/>
      <c r="R969" s="1147"/>
      <c r="S969" s="974"/>
      <c r="T969" s="976"/>
      <c r="X969" s="686"/>
      <c r="Y969" s="686"/>
    </row>
    <row r="970" spans="1:25" x14ac:dyDescent="0.25">
      <c r="B970" s="1187" t="s">
        <v>1904</v>
      </c>
      <c r="C970" s="1015">
        <v>1063</v>
      </c>
      <c r="D970" s="976"/>
      <c r="E970" s="976"/>
      <c r="F970" s="973"/>
      <c r="G970" s="974"/>
      <c r="H970" s="974"/>
      <c r="I970" s="974"/>
      <c r="J970" s="975"/>
      <c r="K970" s="974"/>
      <c r="L970" s="974">
        <f t="shared" si="66"/>
        <v>0</v>
      </c>
      <c r="M970" s="976"/>
      <c r="N970" s="1013">
        <f t="shared" si="60"/>
        <v>0</v>
      </c>
      <c r="O970" s="976"/>
      <c r="P970" s="977"/>
      <c r="Q970" s="974"/>
      <c r="R970" s="1147"/>
      <c r="S970" s="974"/>
      <c r="T970" s="976"/>
      <c r="X970" s="686"/>
      <c r="Y970" s="686"/>
    </row>
    <row r="971" spans="1:25" x14ac:dyDescent="0.25">
      <c r="B971" s="1187" t="s">
        <v>1904</v>
      </c>
      <c r="C971" s="1015">
        <v>1063</v>
      </c>
      <c r="D971" s="976"/>
      <c r="E971" s="976"/>
      <c r="F971" s="973"/>
      <c r="G971" s="974"/>
      <c r="H971" s="974"/>
      <c r="I971" s="974"/>
      <c r="J971" s="975"/>
      <c r="K971" s="974"/>
      <c r="L971" s="974">
        <f t="shared" si="66"/>
        <v>0</v>
      </c>
      <c r="M971" s="976"/>
      <c r="N971" s="1013">
        <f t="shared" si="60"/>
        <v>0</v>
      </c>
      <c r="O971" s="976"/>
      <c r="P971" s="977"/>
      <c r="Q971" s="974"/>
      <c r="R971" s="1147"/>
      <c r="S971" s="974"/>
      <c r="T971" s="976"/>
      <c r="X971" s="686"/>
      <c r="Y971" s="686"/>
    </row>
    <row r="972" spans="1:25" x14ac:dyDescent="0.25">
      <c r="B972" s="1187" t="s">
        <v>1904</v>
      </c>
      <c r="C972" s="1015">
        <v>1063</v>
      </c>
      <c r="D972" s="976"/>
      <c r="E972" s="976"/>
      <c r="F972" s="973"/>
      <c r="G972" s="974"/>
      <c r="H972" s="974"/>
      <c r="I972" s="974"/>
      <c r="J972" s="975"/>
      <c r="K972" s="974"/>
      <c r="L972" s="974">
        <f t="shared" si="66"/>
        <v>0</v>
      </c>
      <c r="M972" s="976"/>
      <c r="N972" s="1013">
        <f t="shared" si="60"/>
        <v>0</v>
      </c>
      <c r="O972" s="976"/>
      <c r="P972" s="977"/>
      <c r="Q972" s="974"/>
      <c r="R972" s="1147"/>
      <c r="S972" s="974"/>
      <c r="T972" s="976"/>
      <c r="X972" s="686"/>
      <c r="Y972" s="686"/>
    </row>
    <row r="973" spans="1:25" x14ac:dyDescent="0.25">
      <c r="B973" s="1187" t="s">
        <v>1904</v>
      </c>
      <c r="C973" s="1015">
        <v>1063</v>
      </c>
      <c r="D973" s="976"/>
      <c r="E973" s="976"/>
      <c r="F973" s="973"/>
      <c r="G973" s="974"/>
      <c r="H973" s="974"/>
      <c r="I973" s="974"/>
      <c r="J973" s="975"/>
      <c r="K973" s="974"/>
      <c r="L973" s="974">
        <f t="shared" si="66"/>
        <v>0</v>
      </c>
      <c r="M973" s="976"/>
      <c r="N973" s="1013">
        <f t="shared" si="60"/>
        <v>0</v>
      </c>
      <c r="O973" s="976"/>
      <c r="P973" s="977"/>
      <c r="Q973" s="974"/>
      <c r="R973" s="1147"/>
      <c r="S973" s="974"/>
      <c r="T973" s="976"/>
      <c r="X973" s="686"/>
      <c r="Y973" s="686"/>
    </row>
    <row r="974" spans="1:25" x14ac:dyDescent="0.25">
      <c r="B974" s="1187" t="s">
        <v>1904</v>
      </c>
      <c r="C974" s="1015">
        <v>1063</v>
      </c>
      <c r="D974" s="976"/>
      <c r="E974" s="976"/>
      <c r="F974" s="973"/>
      <c r="G974" s="974"/>
      <c r="H974" s="974"/>
      <c r="I974" s="974"/>
      <c r="J974" s="975"/>
      <c r="K974" s="974"/>
      <c r="L974" s="974">
        <f t="shared" si="66"/>
        <v>0</v>
      </c>
      <c r="M974" s="976"/>
      <c r="N974" s="1013">
        <f t="shared" si="60"/>
        <v>0</v>
      </c>
      <c r="O974" s="976"/>
      <c r="P974" s="977"/>
      <c r="Q974" s="974"/>
      <c r="R974" s="1147"/>
      <c r="S974" s="974"/>
      <c r="T974" s="976"/>
      <c r="X974" s="686"/>
      <c r="Y974" s="686"/>
    </row>
    <row r="975" spans="1:25" x14ac:dyDescent="0.25">
      <c r="B975" s="1187" t="s">
        <v>1904</v>
      </c>
      <c r="C975" s="1015">
        <v>1063</v>
      </c>
      <c r="D975" s="976"/>
      <c r="E975" s="976"/>
      <c r="F975" s="973"/>
      <c r="G975" s="974"/>
      <c r="H975" s="974"/>
      <c r="I975" s="974"/>
      <c r="J975" s="975"/>
      <c r="K975" s="974"/>
      <c r="L975" s="974">
        <f t="shared" si="66"/>
        <v>0</v>
      </c>
      <c r="M975" s="976"/>
      <c r="N975" s="1013">
        <f t="shared" si="60"/>
        <v>0</v>
      </c>
      <c r="O975" s="976"/>
      <c r="P975" s="977"/>
      <c r="Q975" s="974"/>
      <c r="R975" s="1147"/>
      <c r="S975" s="974"/>
      <c r="T975" s="976"/>
      <c r="X975" s="686"/>
      <c r="Y975" s="686"/>
    </row>
    <row r="976" spans="1:25" x14ac:dyDescent="0.25">
      <c r="B976" s="1187" t="s">
        <v>1904</v>
      </c>
      <c r="C976" s="1015">
        <v>1063</v>
      </c>
      <c r="D976" s="976"/>
      <c r="E976" s="976"/>
      <c r="F976" s="973"/>
      <c r="G976" s="974"/>
      <c r="H976" s="974"/>
      <c r="I976" s="974"/>
      <c r="J976" s="975"/>
      <c r="K976" s="974"/>
      <c r="L976" s="974">
        <f t="shared" si="66"/>
        <v>0</v>
      </c>
      <c r="M976" s="976"/>
      <c r="N976" s="1013">
        <f t="shared" si="60"/>
        <v>0</v>
      </c>
      <c r="O976" s="976"/>
      <c r="P976" s="977"/>
      <c r="Q976" s="974"/>
      <c r="R976" s="1147"/>
      <c r="S976" s="974"/>
      <c r="T976" s="976"/>
      <c r="X976" s="686"/>
      <c r="Y976" s="686"/>
    </row>
    <row r="977" spans="1:25" x14ac:dyDescent="0.25">
      <c r="B977" s="1187" t="s">
        <v>1904</v>
      </c>
      <c r="C977" s="1015">
        <v>1063</v>
      </c>
      <c r="D977" s="976"/>
      <c r="E977" s="976"/>
      <c r="F977" s="973"/>
      <c r="G977" s="974"/>
      <c r="H977" s="974"/>
      <c r="I977" s="974"/>
      <c r="J977" s="975"/>
      <c r="K977" s="974"/>
      <c r="L977" s="974"/>
      <c r="M977" s="976"/>
      <c r="N977" s="1013">
        <f t="shared" si="60"/>
        <v>0</v>
      </c>
      <c r="O977" s="976"/>
      <c r="P977" s="977"/>
      <c r="Q977" s="974"/>
      <c r="R977" s="1147"/>
      <c r="S977" s="974"/>
      <c r="T977" s="976"/>
      <c r="X977" s="686"/>
      <c r="Y977" s="686"/>
    </row>
    <row r="978" spans="1:25" x14ac:dyDescent="0.25">
      <c r="B978" s="1187" t="s">
        <v>1904</v>
      </c>
      <c r="C978" s="1015">
        <v>1063</v>
      </c>
      <c r="D978" s="976"/>
      <c r="E978" s="976"/>
      <c r="F978" s="973"/>
      <c r="G978" s="974"/>
      <c r="H978" s="974"/>
      <c r="I978" s="974"/>
      <c r="J978" s="975"/>
      <c r="K978" s="974"/>
      <c r="L978" s="974"/>
      <c r="M978" s="976"/>
      <c r="N978" s="1013">
        <f t="shared" si="60"/>
        <v>0</v>
      </c>
      <c r="O978" s="976"/>
      <c r="P978" s="977"/>
      <c r="Q978" s="974"/>
      <c r="R978" s="1147"/>
      <c r="S978" s="974"/>
      <c r="T978" s="976"/>
      <c r="X978" s="686"/>
      <c r="Y978" s="686"/>
    </row>
    <row r="979" spans="1:25" x14ac:dyDescent="0.25">
      <c r="B979" s="1187" t="s">
        <v>1904</v>
      </c>
      <c r="C979" s="1015">
        <v>1063</v>
      </c>
      <c r="D979" s="976"/>
      <c r="E979" s="976"/>
      <c r="F979" s="973"/>
      <c r="G979" s="974"/>
      <c r="H979" s="974"/>
      <c r="I979" s="974"/>
      <c r="J979" s="975"/>
      <c r="K979" s="974"/>
      <c r="L979" s="974"/>
      <c r="M979" s="976"/>
      <c r="N979" s="1013">
        <f t="shared" si="60"/>
        <v>0</v>
      </c>
      <c r="O979" s="976"/>
      <c r="P979" s="977"/>
      <c r="Q979" s="974"/>
      <c r="R979" s="1147"/>
      <c r="S979" s="974"/>
      <c r="T979" s="976"/>
      <c r="X979" s="686"/>
      <c r="Y979" s="686"/>
    </row>
    <row r="980" spans="1:25" x14ac:dyDescent="0.25">
      <c r="B980" s="1187" t="s">
        <v>1904</v>
      </c>
      <c r="C980" s="1015">
        <v>1063</v>
      </c>
      <c r="D980" s="976" t="s">
        <v>947</v>
      </c>
      <c r="E980" s="976"/>
      <c r="F980" s="973"/>
      <c r="G980" s="974"/>
      <c r="H980" s="974"/>
      <c r="I980" s="974"/>
      <c r="J980" s="975"/>
      <c r="K980" s="974"/>
      <c r="L980" s="974">
        <f t="shared" ref="L980" si="67">SUM(H980:K980)</f>
        <v>0</v>
      </c>
      <c r="M980" s="976"/>
      <c r="N980" s="1013">
        <f t="shared" si="60"/>
        <v>0</v>
      </c>
      <c r="O980" s="976"/>
      <c r="P980" s="977"/>
      <c r="Q980" s="974"/>
      <c r="R980" s="1147"/>
      <c r="S980" s="974"/>
      <c r="T980" s="976"/>
      <c r="V980" s="1000" t="s">
        <v>948</v>
      </c>
      <c r="W980" s="1000">
        <f>SUM(W966:W979)</f>
        <v>0</v>
      </c>
      <c r="X980" s="686"/>
      <c r="Y980" s="686"/>
    </row>
    <row r="981" spans="1:25" ht="15.75" x14ac:dyDescent="0.25">
      <c r="A981" s="723"/>
      <c r="B981" s="720" t="s">
        <v>997</v>
      </c>
      <c r="C981" s="720"/>
      <c r="D981" s="699" t="s">
        <v>1904</v>
      </c>
      <c r="E981" s="992"/>
      <c r="F981" s="993"/>
      <c r="G981" s="994"/>
      <c r="H981" s="994"/>
      <c r="I981" s="994"/>
      <c r="J981" s="995"/>
      <c r="K981" s="994"/>
      <c r="L981" s="735">
        <f>SUM(L966:L980)</f>
        <v>107800000</v>
      </c>
      <c r="M981" s="992"/>
      <c r="N981" s="1042">
        <f>SUM(N966:N980)</f>
        <v>0</v>
      </c>
      <c r="O981" s="992"/>
      <c r="P981" s="998"/>
      <c r="Q981" s="994"/>
      <c r="R981" s="1153"/>
      <c r="S981" s="994"/>
      <c r="T981" s="992"/>
      <c r="X981" s="686"/>
      <c r="Y981" s="686"/>
    </row>
    <row r="982" spans="1:25" x14ac:dyDescent="0.25">
      <c r="A982" s="686">
        <v>46</v>
      </c>
      <c r="B982" s="1187" t="s">
        <v>1907</v>
      </c>
      <c r="C982" s="1015">
        <v>1073</v>
      </c>
      <c r="D982" s="976" t="s">
        <v>1821</v>
      </c>
      <c r="E982" s="976" t="s">
        <v>1480</v>
      </c>
      <c r="F982" s="973">
        <v>1452000</v>
      </c>
      <c r="G982" s="974"/>
      <c r="H982" s="974">
        <v>1452000</v>
      </c>
      <c r="I982" s="974"/>
      <c r="J982" s="975"/>
      <c r="K982" s="974"/>
      <c r="L982" s="974">
        <f>SUM(H982:K982)</f>
        <v>1452000</v>
      </c>
      <c r="M982" s="976"/>
      <c r="N982" s="1013">
        <f t="shared" si="60"/>
        <v>0</v>
      </c>
      <c r="O982" s="976"/>
      <c r="P982" s="977"/>
      <c r="Q982" s="974">
        <v>1452000</v>
      </c>
      <c r="R982" s="1147" t="s">
        <v>1908</v>
      </c>
      <c r="S982" s="974"/>
      <c r="T982" s="976" t="s">
        <v>1909</v>
      </c>
      <c r="V982" s="687" t="s">
        <v>1684</v>
      </c>
      <c r="X982" s="686"/>
      <c r="Y982" s="686"/>
    </row>
    <row r="983" spans="1:25" x14ac:dyDescent="0.25">
      <c r="B983" s="1187" t="s">
        <v>1907</v>
      </c>
      <c r="C983" s="1015">
        <v>1073</v>
      </c>
      <c r="D983" s="976" t="s">
        <v>1827</v>
      </c>
      <c r="E983" s="976" t="s">
        <v>1160</v>
      </c>
      <c r="F983" s="973">
        <v>5000000</v>
      </c>
      <c r="G983" s="974"/>
      <c r="H983" s="974">
        <v>5000000</v>
      </c>
      <c r="I983" s="974"/>
      <c r="J983" s="975"/>
      <c r="K983" s="974"/>
      <c r="L983" s="974">
        <f>SUM(H983:K983)</f>
        <v>5000000</v>
      </c>
      <c r="M983" s="976"/>
      <c r="N983" s="1013">
        <f t="shared" ref="N983:N996" si="68">IF($G983="",($F983-$L983),($G983-$L983))</f>
        <v>0</v>
      </c>
      <c r="O983" s="976"/>
      <c r="P983" s="977"/>
      <c r="Q983" s="974"/>
      <c r="R983" s="1147"/>
      <c r="S983" s="974"/>
      <c r="T983" s="976"/>
      <c r="X983" s="686"/>
      <c r="Y983" s="686"/>
    </row>
    <row r="984" spans="1:25" x14ac:dyDescent="0.25">
      <c r="B984" s="1187" t="s">
        <v>1907</v>
      </c>
      <c r="C984" s="1015">
        <v>1073</v>
      </c>
      <c r="D984" s="976" t="s">
        <v>1910</v>
      </c>
      <c r="E984" s="1107" t="s">
        <v>1911</v>
      </c>
      <c r="F984" s="973">
        <v>59000</v>
      </c>
      <c r="G984" s="974"/>
      <c r="H984" s="974">
        <v>59000</v>
      </c>
      <c r="I984" s="974"/>
      <c r="J984" s="975"/>
      <c r="K984" s="974"/>
      <c r="L984" s="974">
        <f t="shared" ref="L984:L992" si="69">SUM(H984:K984)</f>
        <v>59000</v>
      </c>
      <c r="M984" s="976"/>
      <c r="N984" s="1013">
        <f t="shared" si="68"/>
        <v>0</v>
      </c>
      <c r="O984" s="976"/>
      <c r="P984" s="977"/>
      <c r="Q984" s="974"/>
      <c r="R984" s="1147"/>
      <c r="S984" s="974"/>
      <c r="T984" s="976"/>
      <c r="X984" s="686"/>
      <c r="Y984" s="686"/>
    </row>
    <row r="985" spans="1:25" x14ac:dyDescent="0.25">
      <c r="B985" s="1187" t="s">
        <v>1907</v>
      </c>
      <c r="C985" s="1015">
        <v>1073</v>
      </c>
      <c r="D985" s="1171" t="s">
        <v>1912</v>
      </c>
      <c r="E985" s="976" t="s">
        <v>1865</v>
      </c>
      <c r="F985" s="973">
        <v>133740200</v>
      </c>
      <c r="G985" s="974"/>
      <c r="H985" s="974">
        <v>48632800</v>
      </c>
      <c r="I985" s="974"/>
      <c r="J985" s="975"/>
      <c r="K985" s="974"/>
      <c r="L985" s="974">
        <f t="shared" si="69"/>
        <v>48632800</v>
      </c>
      <c r="M985" s="976"/>
      <c r="N985" s="1013">
        <f t="shared" si="68"/>
        <v>85107400</v>
      </c>
      <c r="O985" s="976"/>
      <c r="P985" s="977"/>
      <c r="Q985" s="974"/>
      <c r="R985" s="1147"/>
      <c r="S985" s="974"/>
      <c r="T985" s="976"/>
      <c r="X985" s="686"/>
      <c r="Y985" s="686"/>
    </row>
    <row r="986" spans="1:25" x14ac:dyDescent="0.25">
      <c r="B986" s="1187" t="s">
        <v>1907</v>
      </c>
      <c r="C986" s="1015">
        <v>1073</v>
      </c>
      <c r="D986" s="976"/>
      <c r="E986" s="976"/>
      <c r="F986" s="973"/>
      <c r="G986" s="974"/>
      <c r="H986" s="974"/>
      <c r="I986" s="974"/>
      <c r="J986" s="975"/>
      <c r="K986" s="974"/>
      <c r="L986" s="974">
        <f t="shared" si="69"/>
        <v>0</v>
      </c>
      <c r="M986" s="976"/>
      <c r="N986" s="1013">
        <f t="shared" si="68"/>
        <v>0</v>
      </c>
      <c r="O986" s="976"/>
      <c r="P986" s="977"/>
      <c r="Q986" s="974"/>
      <c r="R986" s="1147"/>
      <c r="S986" s="974"/>
      <c r="T986" s="976"/>
      <c r="X986" s="686"/>
      <c r="Y986" s="686"/>
    </row>
    <row r="987" spans="1:25" x14ac:dyDescent="0.25">
      <c r="B987" s="1187" t="s">
        <v>1907</v>
      </c>
      <c r="C987" s="1015">
        <v>1073</v>
      </c>
      <c r="D987" s="976"/>
      <c r="E987" s="976"/>
      <c r="F987" s="973"/>
      <c r="G987" s="974"/>
      <c r="H987" s="974"/>
      <c r="I987" s="974"/>
      <c r="J987" s="975"/>
      <c r="K987" s="974"/>
      <c r="L987" s="974">
        <f t="shared" si="69"/>
        <v>0</v>
      </c>
      <c r="M987" s="976"/>
      <c r="N987" s="1013">
        <f t="shared" si="68"/>
        <v>0</v>
      </c>
      <c r="O987" s="976"/>
      <c r="P987" s="977"/>
      <c r="Q987" s="974"/>
      <c r="R987" s="1147"/>
      <c r="S987" s="974"/>
      <c r="T987" s="976"/>
      <c r="X987" s="686"/>
      <c r="Y987" s="686"/>
    </row>
    <row r="988" spans="1:25" x14ac:dyDescent="0.25">
      <c r="B988" s="1187" t="s">
        <v>1907</v>
      </c>
      <c r="C988" s="1015">
        <v>1073</v>
      </c>
      <c r="D988" s="976"/>
      <c r="E988" s="976"/>
      <c r="F988" s="973"/>
      <c r="G988" s="974"/>
      <c r="H988" s="974"/>
      <c r="I988" s="974"/>
      <c r="J988" s="975"/>
      <c r="K988" s="974"/>
      <c r="L988" s="974">
        <f t="shared" si="69"/>
        <v>0</v>
      </c>
      <c r="M988" s="976"/>
      <c r="N988" s="1013">
        <f t="shared" si="68"/>
        <v>0</v>
      </c>
      <c r="O988" s="976"/>
      <c r="P988" s="977"/>
      <c r="Q988" s="974"/>
      <c r="R988" s="1147"/>
      <c r="S988" s="974"/>
      <c r="T988" s="976"/>
      <c r="X988" s="686"/>
      <c r="Y988" s="686"/>
    </row>
    <row r="989" spans="1:25" x14ac:dyDescent="0.25">
      <c r="B989" s="1187" t="s">
        <v>1907</v>
      </c>
      <c r="C989" s="1015">
        <v>1073</v>
      </c>
      <c r="D989" s="976"/>
      <c r="E989" s="976"/>
      <c r="F989" s="973"/>
      <c r="G989" s="974"/>
      <c r="H989" s="974"/>
      <c r="I989" s="974"/>
      <c r="J989" s="975"/>
      <c r="K989" s="974"/>
      <c r="L989" s="974">
        <f t="shared" si="69"/>
        <v>0</v>
      </c>
      <c r="M989" s="976"/>
      <c r="N989" s="1013">
        <f t="shared" si="68"/>
        <v>0</v>
      </c>
      <c r="O989" s="976"/>
      <c r="P989" s="977"/>
      <c r="Q989" s="974"/>
      <c r="R989" s="1147"/>
      <c r="S989" s="974"/>
      <c r="T989" s="976"/>
      <c r="X989" s="686"/>
      <c r="Y989" s="686"/>
    </row>
    <row r="990" spans="1:25" x14ac:dyDescent="0.25">
      <c r="B990" s="1187" t="s">
        <v>1907</v>
      </c>
      <c r="C990" s="1015">
        <v>1073</v>
      </c>
      <c r="D990" s="976"/>
      <c r="E990" s="976"/>
      <c r="F990" s="973"/>
      <c r="G990" s="974"/>
      <c r="H990" s="974"/>
      <c r="I990" s="974"/>
      <c r="J990" s="975"/>
      <c r="K990" s="974"/>
      <c r="L990" s="974">
        <f t="shared" si="69"/>
        <v>0</v>
      </c>
      <c r="M990" s="976"/>
      <c r="N990" s="1013">
        <f t="shared" si="68"/>
        <v>0</v>
      </c>
      <c r="O990" s="976"/>
      <c r="P990" s="977"/>
      <c r="Q990" s="974"/>
      <c r="R990" s="1147"/>
      <c r="S990" s="974"/>
      <c r="T990" s="976"/>
      <c r="X990" s="686"/>
      <c r="Y990" s="686"/>
    </row>
    <row r="991" spans="1:25" x14ac:dyDescent="0.25">
      <c r="B991" s="1187" t="s">
        <v>1907</v>
      </c>
      <c r="C991" s="1015">
        <v>1073</v>
      </c>
      <c r="D991" s="976"/>
      <c r="E991" s="976"/>
      <c r="F991" s="973"/>
      <c r="G991" s="974"/>
      <c r="H991" s="974"/>
      <c r="I991" s="974"/>
      <c r="J991" s="975"/>
      <c r="K991" s="974"/>
      <c r="L991" s="974">
        <f t="shared" si="69"/>
        <v>0</v>
      </c>
      <c r="M991" s="976"/>
      <c r="N991" s="1013">
        <f t="shared" si="68"/>
        <v>0</v>
      </c>
      <c r="O991" s="976"/>
      <c r="P991" s="977"/>
      <c r="Q991" s="974"/>
      <c r="R991" s="1147"/>
      <c r="S991" s="974"/>
      <c r="T991" s="976"/>
      <c r="X991" s="686"/>
      <c r="Y991" s="686"/>
    </row>
    <row r="992" spans="1:25" x14ac:dyDescent="0.25">
      <c r="B992" s="1187" t="s">
        <v>1907</v>
      </c>
      <c r="C992" s="1015">
        <v>1073</v>
      </c>
      <c r="D992" s="976"/>
      <c r="E992" s="976"/>
      <c r="F992" s="973"/>
      <c r="G992" s="974"/>
      <c r="H992" s="974"/>
      <c r="I992" s="974"/>
      <c r="J992" s="975"/>
      <c r="K992" s="974"/>
      <c r="L992" s="974">
        <f t="shared" si="69"/>
        <v>0</v>
      </c>
      <c r="M992" s="976"/>
      <c r="N992" s="1013">
        <f t="shared" si="68"/>
        <v>0</v>
      </c>
      <c r="O992" s="976"/>
      <c r="P992" s="977"/>
      <c r="Q992" s="974"/>
      <c r="R992" s="1147"/>
      <c r="S992" s="974"/>
      <c r="T992" s="976"/>
      <c r="X992" s="686"/>
      <c r="Y992" s="686"/>
    </row>
    <row r="993" spans="1:25" x14ac:dyDescent="0.25">
      <c r="B993" s="1187" t="s">
        <v>1907</v>
      </c>
      <c r="C993" s="1015">
        <v>1073</v>
      </c>
      <c r="D993" s="976"/>
      <c r="E993" s="976"/>
      <c r="F993" s="973"/>
      <c r="G993" s="974"/>
      <c r="H993" s="974"/>
      <c r="I993" s="974"/>
      <c r="J993" s="975"/>
      <c r="K993" s="974"/>
      <c r="L993" s="974"/>
      <c r="M993" s="976"/>
      <c r="N993" s="1013">
        <f t="shared" si="68"/>
        <v>0</v>
      </c>
      <c r="O993" s="976"/>
      <c r="P993" s="977"/>
      <c r="Q993" s="974"/>
      <c r="R993" s="1147"/>
      <c r="S993" s="974"/>
      <c r="T993" s="976"/>
      <c r="X993" s="686"/>
      <c r="Y993" s="686"/>
    </row>
    <row r="994" spans="1:25" x14ac:dyDescent="0.25">
      <c r="B994" s="1187" t="s">
        <v>1907</v>
      </c>
      <c r="C994" s="1015">
        <v>1073</v>
      </c>
      <c r="D994" s="976"/>
      <c r="E994" s="976"/>
      <c r="F994" s="973"/>
      <c r="G994" s="974"/>
      <c r="H994" s="974"/>
      <c r="I994" s="974"/>
      <c r="J994" s="975"/>
      <c r="K994" s="974"/>
      <c r="L994" s="974"/>
      <c r="M994" s="976"/>
      <c r="N994" s="1013">
        <f t="shared" si="68"/>
        <v>0</v>
      </c>
      <c r="O994" s="976"/>
      <c r="P994" s="977"/>
      <c r="Q994" s="974"/>
      <c r="R994" s="1147"/>
      <c r="S994" s="974"/>
      <c r="T994" s="976"/>
      <c r="X994" s="686"/>
      <c r="Y994" s="686"/>
    </row>
    <row r="995" spans="1:25" x14ac:dyDescent="0.25">
      <c r="B995" s="1187" t="s">
        <v>1907</v>
      </c>
      <c r="C995" s="1015">
        <v>1073</v>
      </c>
      <c r="D995" s="976"/>
      <c r="E995" s="976"/>
      <c r="F995" s="973"/>
      <c r="G995" s="974"/>
      <c r="H995" s="974"/>
      <c r="I995" s="974"/>
      <c r="J995" s="975"/>
      <c r="K995" s="974"/>
      <c r="L995" s="974"/>
      <c r="M995" s="976"/>
      <c r="N995" s="1013">
        <f t="shared" si="68"/>
        <v>0</v>
      </c>
      <c r="O995" s="976"/>
      <c r="P995" s="977"/>
      <c r="Q995" s="974"/>
      <c r="R995" s="1147"/>
      <c r="S995" s="974"/>
      <c r="T995" s="976"/>
      <c r="X995" s="686"/>
      <c r="Y995" s="686"/>
    </row>
    <row r="996" spans="1:25" x14ac:dyDescent="0.25">
      <c r="B996" s="1187" t="s">
        <v>1907</v>
      </c>
      <c r="C996" s="1015">
        <v>1073</v>
      </c>
      <c r="D996" s="976" t="s">
        <v>947</v>
      </c>
      <c r="E996" s="976"/>
      <c r="F996" s="973"/>
      <c r="G996" s="974"/>
      <c r="H996" s="974"/>
      <c r="I996" s="974"/>
      <c r="J996" s="975"/>
      <c r="K996" s="974"/>
      <c r="L996" s="974">
        <f t="shared" ref="L996" si="70">SUM(H996:K996)</f>
        <v>0</v>
      </c>
      <c r="M996" s="976"/>
      <c r="N996" s="1013">
        <f t="shared" si="68"/>
        <v>0</v>
      </c>
      <c r="O996" s="976"/>
      <c r="P996" s="977"/>
      <c r="Q996" s="974"/>
      <c r="R996" s="1147"/>
      <c r="S996" s="974"/>
      <c r="T996" s="976"/>
      <c r="V996" s="1000" t="s">
        <v>948</v>
      </c>
      <c r="W996" s="1000">
        <f>SUM(W982:W995)</f>
        <v>0</v>
      </c>
      <c r="X996" s="686"/>
      <c r="Y996" s="686"/>
    </row>
    <row r="997" spans="1:25" ht="15.75" x14ac:dyDescent="0.25">
      <c r="A997" s="723"/>
      <c r="B997" s="720" t="s">
        <v>997</v>
      </c>
      <c r="C997" s="720"/>
      <c r="D997" s="699" t="s">
        <v>669</v>
      </c>
      <c r="E997" s="992"/>
      <c r="F997" s="993"/>
      <c r="G997" s="994"/>
      <c r="H997" s="994"/>
      <c r="I997" s="994"/>
      <c r="J997" s="995"/>
      <c r="K997" s="994"/>
      <c r="L997" s="735">
        <f>SUM(L982:L996)</f>
        <v>55143800</v>
      </c>
      <c r="M997" s="992"/>
      <c r="N997" s="1042">
        <f>SUM(N982:N996)</f>
        <v>85107400</v>
      </c>
      <c r="O997" s="992"/>
      <c r="P997" s="998"/>
      <c r="Q997" s="994"/>
      <c r="R997" s="1153"/>
      <c r="S997" s="994"/>
      <c r="T997" s="992"/>
      <c r="X997" s="686"/>
      <c r="Y997" s="686"/>
    </row>
    <row r="998" spans="1:25" x14ac:dyDescent="0.25">
      <c r="A998" s="686">
        <v>47</v>
      </c>
      <c r="B998" s="1187" t="s">
        <v>1913</v>
      </c>
      <c r="C998" s="1015"/>
      <c r="D998" s="976" t="s">
        <v>1914</v>
      </c>
      <c r="E998" s="976" t="s">
        <v>1319</v>
      </c>
      <c r="F998" s="973">
        <v>4200000</v>
      </c>
      <c r="G998" s="974"/>
      <c r="H998" s="974">
        <v>4200000</v>
      </c>
      <c r="I998" s="974"/>
      <c r="J998" s="975"/>
      <c r="K998" s="974"/>
      <c r="L998" s="974">
        <f>SUM(H998:K998)</f>
        <v>4200000</v>
      </c>
      <c r="M998" s="976"/>
      <c r="N998" s="1013">
        <f t="shared" ref="N998:N1012" si="71">IF($G998="",($F998-$L998),($G998-$L998))</f>
        <v>0</v>
      </c>
      <c r="O998" s="976"/>
      <c r="P998" s="977"/>
      <c r="Q998" s="974"/>
      <c r="R998" s="1147"/>
      <c r="S998" s="974"/>
      <c r="T998" s="976"/>
      <c r="V998" s="687" t="s">
        <v>1684</v>
      </c>
      <c r="X998" s="686"/>
      <c r="Y998" s="686"/>
    </row>
    <row r="999" spans="1:25" x14ac:dyDescent="0.25">
      <c r="B999" s="1187" t="s">
        <v>1913</v>
      </c>
      <c r="C999" s="1015"/>
      <c r="D999" s="976"/>
      <c r="E999" s="976"/>
      <c r="F999" s="973"/>
      <c r="G999" s="974"/>
      <c r="H999" s="974"/>
      <c r="I999" s="974"/>
      <c r="J999" s="975"/>
      <c r="K999" s="974"/>
      <c r="L999" s="974">
        <f>SUM(H999:K999)</f>
        <v>0</v>
      </c>
      <c r="M999" s="976"/>
      <c r="N999" s="1013">
        <f t="shared" si="71"/>
        <v>0</v>
      </c>
      <c r="O999" s="976"/>
      <c r="P999" s="977"/>
      <c r="Q999" s="974"/>
      <c r="R999" s="1147"/>
      <c r="S999" s="974"/>
      <c r="T999" s="976"/>
      <c r="X999" s="686"/>
      <c r="Y999" s="686"/>
    </row>
    <row r="1000" spans="1:25" x14ac:dyDescent="0.25">
      <c r="B1000" s="1187" t="s">
        <v>1913</v>
      </c>
      <c r="C1000" s="1015"/>
      <c r="D1000" s="976"/>
      <c r="E1000" s="1107"/>
      <c r="F1000" s="973"/>
      <c r="G1000" s="974"/>
      <c r="H1000" s="974"/>
      <c r="I1000" s="974"/>
      <c r="J1000" s="975"/>
      <c r="K1000" s="974"/>
      <c r="L1000" s="974">
        <f t="shared" ref="L1000:L1008" si="72">SUM(H1000:K1000)</f>
        <v>0</v>
      </c>
      <c r="M1000" s="976"/>
      <c r="N1000" s="1013">
        <f t="shared" si="71"/>
        <v>0</v>
      </c>
      <c r="O1000" s="976"/>
      <c r="P1000" s="977"/>
      <c r="Q1000" s="974"/>
      <c r="R1000" s="1147"/>
      <c r="S1000" s="974"/>
      <c r="T1000" s="976"/>
      <c r="X1000" s="686"/>
      <c r="Y1000" s="686"/>
    </row>
    <row r="1001" spans="1:25" x14ac:dyDescent="0.25">
      <c r="B1001" s="1187" t="s">
        <v>1913</v>
      </c>
      <c r="C1001" s="1015"/>
      <c r="D1001" s="1171"/>
      <c r="E1001" s="976"/>
      <c r="F1001" s="973"/>
      <c r="G1001" s="974"/>
      <c r="H1001" s="974"/>
      <c r="I1001" s="974"/>
      <c r="J1001" s="975"/>
      <c r="K1001" s="974"/>
      <c r="L1001" s="974">
        <f t="shared" si="72"/>
        <v>0</v>
      </c>
      <c r="M1001" s="976"/>
      <c r="N1001" s="1013">
        <f t="shared" si="71"/>
        <v>0</v>
      </c>
      <c r="O1001" s="976"/>
      <c r="P1001" s="977"/>
      <c r="Q1001" s="974"/>
      <c r="R1001" s="1147"/>
      <c r="S1001" s="974"/>
      <c r="T1001" s="976"/>
      <c r="X1001" s="686"/>
      <c r="Y1001" s="686"/>
    </row>
    <row r="1002" spans="1:25" x14ac:dyDescent="0.25">
      <c r="B1002" s="1187" t="s">
        <v>1913</v>
      </c>
      <c r="C1002" s="1015"/>
      <c r="D1002" s="976"/>
      <c r="E1002" s="976"/>
      <c r="F1002" s="973"/>
      <c r="G1002" s="974"/>
      <c r="H1002" s="974"/>
      <c r="I1002" s="974"/>
      <c r="J1002" s="975"/>
      <c r="K1002" s="974"/>
      <c r="L1002" s="974">
        <f t="shared" si="72"/>
        <v>0</v>
      </c>
      <c r="M1002" s="976"/>
      <c r="N1002" s="1013">
        <f t="shared" si="71"/>
        <v>0</v>
      </c>
      <c r="O1002" s="976"/>
      <c r="P1002" s="977"/>
      <c r="Q1002" s="974"/>
      <c r="R1002" s="1147"/>
      <c r="S1002" s="974"/>
      <c r="T1002" s="976"/>
      <c r="X1002" s="686"/>
      <c r="Y1002" s="686"/>
    </row>
    <row r="1003" spans="1:25" x14ac:dyDescent="0.25">
      <c r="B1003" s="1187" t="s">
        <v>1913</v>
      </c>
      <c r="C1003" s="1015"/>
      <c r="D1003" s="976"/>
      <c r="E1003" s="976"/>
      <c r="F1003" s="973"/>
      <c r="G1003" s="974"/>
      <c r="H1003" s="974"/>
      <c r="I1003" s="974"/>
      <c r="J1003" s="975"/>
      <c r="K1003" s="974"/>
      <c r="L1003" s="974">
        <f t="shared" si="72"/>
        <v>0</v>
      </c>
      <c r="M1003" s="976"/>
      <c r="N1003" s="1013">
        <f t="shared" si="71"/>
        <v>0</v>
      </c>
      <c r="O1003" s="976"/>
      <c r="P1003" s="977"/>
      <c r="Q1003" s="974"/>
      <c r="R1003" s="1147"/>
      <c r="S1003" s="974"/>
      <c r="T1003" s="976"/>
      <c r="X1003" s="686"/>
      <c r="Y1003" s="686"/>
    </row>
    <row r="1004" spans="1:25" x14ac:dyDescent="0.25">
      <c r="B1004" s="1187" t="s">
        <v>1913</v>
      </c>
      <c r="C1004" s="1015"/>
      <c r="D1004" s="976"/>
      <c r="E1004" s="976"/>
      <c r="F1004" s="973"/>
      <c r="G1004" s="974"/>
      <c r="H1004" s="974"/>
      <c r="I1004" s="974"/>
      <c r="J1004" s="975"/>
      <c r="K1004" s="974"/>
      <c r="L1004" s="974">
        <f t="shared" si="72"/>
        <v>0</v>
      </c>
      <c r="M1004" s="976"/>
      <c r="N1004" s="1013">
        <f t="shared" si="71"/>
        <v>0</v>
      </c>
      <c r="O1004" s="976"/>
      <c r="P1004" s="977"/>
      <c r="Q1004" s="974"/>
      <c r="R1004" s="1147"/>
      <c r="S1004" s="974"/>
      <c r="T1004" s="976"/>
      <c r="X1004" s="686"/>
      <c r="Y1004" s="686"/>
    </row>
    <row r="1005" spans="1:25" x14ac:dyDescent="0.25">
      <c r="B1005" s="1187" t="s">
        <v>1913</v>
      </c>
      <c r="C1005" s="1015"/>
      <c r="D1005" s="976"/>
      <c r="E1005" s="976"/>
      <c r="F1005" s="973"/>
      <c r="G1005" s="974"/>
      <c r="H1005" s="974"/>
      <c r="I1005" s="974"/>
      <c r="J1005" s="975"/>
      <c r="K1005" s="974"/>
      <c r="L1005" s="974">
        <f t="shared" si="72"/>
        <v>0</v>
      </c>
      <c r="M1005" s="976"/>
      <c r="N1005" s="1013">
        <f t="shared" si="71"/>
        <v>0</v>
      </c>
      <c r="O1005" s="976"/>
      <c r="P1005" s="977"/>
      <c r="Q1005" s="974"/>
      <c r="R1005" s="1147"/>
      <c r="S1005" s="974"/>
      <c r="T1005" s="976"/>
      <c r="X1005" s="686"/>
      <c r="Y1005" s="686"/>
    </row>
    <row r="1006" spans="1:25" x14ac:dyDescent="0.25">
      <c r="B1006" s="1187" t="s">
        <v>1913</v>
      </c>
      <c r="C1006" s="1015"/>
      <c r="D1006" s="976"/>
      <c r="E1006" s="976"/>
      <c r="F1006" s="973"/>
      <c r="G1006" s="974"/>
      <c r="H1006" s="974"/>
      <c r="I1006" s="974"/>
      <c r="J1006" s="975"/>
      <c r="K1006" s="974"/>
      <c r="L1006" s="974">
        <f t="shared" si="72"/>
        <v>0</v>
      </c>
      <c r="M1006" s="976"/>
      <c r="N1006" s="1013">
        <f t="shared" si="71"/>
        <v>0</v>
      </c>
      <c r="O1006" s="976"/>
      <c r="P1006" s="977"/>
      <c r="Q1006" s="974"/>
      <c r="R1006" s="1147"/>
      <c r="S1006" s="974"/>
      <c r="T1006" s="976"/>
      <c r="X1006" s="686"/>
      <c r="Y1006" s="686"/>
    </row>
    <row r="1007" spans="1:25" x14ac:dyDescent="0.25">
      <c r="B1007" s="1187" t="s">
        <v>1913</v>
      </c>
      <c r="C1007" s="1015"/>
      <c r="D1007" s="976"/>
      <c r="E1007" s="976"/>
      <c r="F1007" s="973"/>
      <c r="G1007" s="974"/>
      <c r="H1007" s="974"/>
      <c r="I1007" s="974"/>
      <c r="J1007" s="975"/>
      <c r="K1007" s="974"/>
      <c r="L1007" s="974">
        <f t="shared" si="72"/>
        <v>0</v>
      </c>
      <c r="M1007" s="976"/>
      <c r="N1007" s="1013">
        <f t="shared" si="71"/>
        <v>0</v>
      </c>
      <c r="O1007" s="976"/>
      <c r="P1007" s="977"/>
      <c r="Q1007" s="974"/>
      <c r="R1007" s="1147"/>
      <c r="S1007" s="974"/>
      <c r="T1007" s="976"/>
      <c r="X1007" s="686"/>
      <c r="Y1007" s="686"/>
    </row>
    <row r="1008" spans="1:25" x14ac:dyDescent="0.25">
      <c r="B1008" s="1187" t="s">
        <v>1913</v>
      </c>
      <c r="C1008" s="1015"/>
      <c r="D1008" s="976"/>
      <c r="E1008" s="976"/>
      <c r="F1008" s="973"/>
      <c r="G1008" s="974"/>
      <c r="H1008" s="974"/>
      <c r="I1008" s="974"/>
      <c r="J1008" s="975"/>
      <c r="K1008" s="974"/>
      <c r="L1008" s="974">
        <f t="shared" si="72"/>
        <v>0</v>
      </c>
      <c r="M1008" s="976"/>
      <c r="N1008" s="1013">
        <f t="shared" si="71"/>
        <v>0</v>
      </c>
      <c r="O1008" s="976"/>
      <c r="P1008" s="977"/>
      <c r="Q1008" s="974"/>
      <c r="R1008" s="1147"/>
      <c r="S1008" s="974"/>
      <c r="T1008" s="976"/>
      <c r="X1008" s="686"/>
      <c r="Y1008" s="686"/>
    </row>
    <row r="1009" spans="1:25" x14ac:dyDescent="0.25">
      <c r="B1009" s="1187" t="s">
        <v>1913</v>
      </c>
      <c r="C1009" s="1015"/>
      <c r="D1009" s="976"/>
      <c r="E1009" s="976"/>
      <c r="F1009" s="973"/>
      <c r="G1009" s="974"/>
      <c r="H1009" s="974"/>
      <c r="I1009" s="974"/>
      <c r="J1009" s="975"/>
      <c r="K1009" s="974"/>
      <c r="L1009" s="974"/>
      <c r="M1009" s="976"/>
      <c r="N1009" s="1013">
        <f t="shared" si="71"/>
        <v>0</v>
      </c>
      <c r="O1009" s="976"/>
      <c r="P1009" s="977"/>
      <c r="Q1009" s="974"/>
      <c r="R1009" s="1147"/>
      <c r="S1009" s="974"/>
      <c r="T1009" s="976"/>
      <c r="X1009" s="686"/>
      <c r="Y1009" s="686"/>
    </row>
    <row r="1010" spans="1:25" x14ac:dyDescent="0.25">
      <c r="B1010" s="1187" t="s">
        <v>1913</v>
      </c>
      <c r="C1010" s="1015"/>
      <c r="D1010" s="976"/>
      <c r="E1010" s="976"/>
      <c r="F1010" s="973"/>
      <c r="G1010" s="974"/>
      <c r="H1010" s="974"/>
      <c r="I1010" s="974"/>
      <c r="J1010" s="975"/>
      <c r="K1010" s="974"/>
      <c r="L1010" s="974"/>
      <c r="M1010" s="976"/>
      <c r="N1010" s="1013">
        <f t="shared" si="71"/>
        <v>0</v>
      </c>
      <c r="O1010" s="976"/>
      <c r="P1010" s="977"/>
      <c r="Q1010" s="974"/>
      <c r="R1010" s="1147"/>
      <c r="S1010" s="974"/>
      <c r="T1010" s="976"/>
      <c r="X1010" s="686"/>
      <c r="Y1010" s="686"/>
    </row>
    <row r="1011" spans="1:25" x14ac:dyDescent="0.25">
      <c r="B1011" s="1187" t="s">
        <v>1913</v>
      </c>
      <c r="C1011" s="1015"/>
      <c r="D1011" s="976"/>
      <c r="E1011" s="976"/>
      <c r="F1011" s="973"/>
      <c r="G1011" s="974"/>
      <c r="H1011" s="974"/>
      <c r="I1011" s="974"/>
      <c r="J1011" s="975"/>
      <c r="K1011" s="974"/>
      <c r="L1011" s="974"/>
      <c r="M1011" s="976"/>
      <c r="N1011" s="1013">
        <f t="shared" si="71"/>
        <v>0</v>
      </c>
      <c r="O1011" s="976"/>
      <c r="P1011" s="977"/>
      <c r="Q1011" s="974"/>
      <c r="R1011" s="1147"/>
      <c r="S1011" s="974"/>
      <c r="T1011" s="976"/>
      <c r="X1011" s="686"/>
      <c r="Y1011" s="686"/>
    </row>
    <row r="1012" spans="1:25" x14ac:dyDescent="0.25">
      <c r="B1012" s="1187" t="s">
        <v>1913</v>
      </c>
      <c r="C1012" s="1015"/>
      <c r="D1012" s="976" t="s">
        <v>947</v>
      </c>
      <c r="E1012" s="976"/>
      <c r="F1012" s="973"/>
      <c r="G1012" s="974"/>
      <c r="H1012" s="974"/>
      <c r="I1012" s="974"/>
      <c r="J1012" s="975"/>
      <c r="K1012" s="974"/>
      <c r="L1012" s="974">
        <f t="shared" ref="L1012" si="73">SUM(H1012:K1012)</f>
        <v>0</v>
      </c>
      <c r="M1012" s="976"/>
      <c r="N1012" s="1013">
        <f t="shared" si="71"/>
        <v>0</v>
      </c>
      <c r="O1012" s="976"/>
      <c r="P1012" s="977"/>
      <c r="Q1012" s="974"/>
      <c r="R1012" s="1147"/>
      <c r="S1012" s="974"/>
      <c r="T1012" s="976"/>
      <c r="V1012" s="1000" t="s">
        <v>948</v>
      </c>
      <c r="W1012" s="1000">
        <f>SUM(W998:W1011)</f>
        <v>0</v>
      </c>
      <c r="X1012" s="686"/>
      <c r="Y1012" s="686"/>
    </row>
    <row r="1013" spans="1:25" ht="15.75" x14ac:dyDescent="0.25">
      <c r="A1013" s="723"/>
      <c r="B1013" s="720" t="s">
        <v>997</v>
      </c>
      <c r="C1013" s="720"/>
      <c r="D1013" s="699" t="s">
        <v>1913</v>
      </c>
      <c r="E1013" s="992"/>
      <c r="F1013" s="993"/>
      <c r="G1013" s="994"/>
      <c r="H1013" s="994"/>
      <c r="I1013" s="994"/>
      <c r="J1013" s="995"/>
      <c r="K1013" s="994"/>
      <c r="L1013" s="735">
        <f>SUM(L998:L1012)</f>
        <v>4200000</v>
      </c>
      <c r="M1013" s="992"/>
      <c r="N1013" s="1042">
        <f>SUM(N998:N1012)</f>
        <v>0</v>
      </c>
      <c r="O1013" s="992"/>
      <c r="P1013" s="998"/>
      <c r="Q1013" s="994"/>
      <c r="R1013" s="1153"/>
      <c r="S1013" s="994"/>
      <c r="T1013" s="992"/>
      <c r="X1013" s="686"/>
      <c r="Y1013" s="686"/>
    </row>
    <row r="1014" spans="1:25" ht="15.75" x14ac:dyDescent="0.25">
      <c r="A1014" s="723"/>
      <c r="B1014" s="1034"/>
      <c r="C1014" s="1034"/>
      <c r="D1014" s="1035"/>
      <c r="E1014" s="1036"/>
      <c r="F1014" s="1037"/>
      <c r="G1014" s="1038"/>
      <c r="H1014" s="1038"/>
      <c r="I1014" s="1038"/>
      <c r="J1014" s="1039"/>
      <c r="K1014" s="1038"/>
      <c r="L1014" s="1040"/>
      <c r="M1014" s="1036"/>
      <c r="N1014" s="1043"/>
      <c r="O1014" s="1036"/>
      <c r="P1014" s="1041"/>
      <c r="Q1014" s="1038"/>
      <c r="R1014" s="1038"/>
      <c r="S1014" s="1038"/>
      <c r="T1014" s="1036"/>
      <c r="X1014" s="686"/>
      <c r="Y1014" s="686"/>
    </row>
    <row r="1015" spans="1:25" ht="15.75" x14ac:dyDescent="0.25">
      <c r="A1015" s="723"/>
      <c r="B1015" s="1034"/>
      <c r="C1015" s="1034"/>
      <c r="D1015" s="1035"/>
      <c r="E1015" s="1036"/>
      <c r="F1015" s="1037"/>
      <c r="G1015" s="1038"/>
      <c r="H1015" s="1038"/>
      <c r="I1015" s="1038"/>
      <c r="J1015" s="1039"/>
      <c r="K1015" s="1038"/>
      <c r="L1015" s="1040"/>
      <c r="M1015" s="1036"/>
      <c r="N1015" s="1043"/>
      <c r="O1015" s="1036"/>
      <c r="P1015" s="1041"/>
      <c r="Q1015" s="1038"/>
      <c r="R1015" s="1038"/>
      <c r="S1015" s="1038"/>
      <c r="T1015" s="1036"/>
      <c r="X1015" s="686"/>
      <c r="Y1015" s="686"/>
    </row>
    <row r="1017" spans="1:25" ht="18.75" x14ac:dyDescent="0.3">
      <c r="L1017" s="1022" t="s">
        <v>1915</v>
      </c>
      <c r="N1017" s="1021">
        <f>N16+N30+N79+N103+N111+N147+N190+N208+N241+N277+N294+N330+N376+N386+N456+N486+N521+N551+N558+N563+N568+N571+N594+N635+N644+N648+N677+N690+N708+N712+N751+N762+N776+N784+N792+N828+N855+N865+N883+N923+N933+N965+N981+N997+N1013</f>
        <v>4909018403.7857141</v>
      </c>
    </row>
    <row r="1029" spans="2:25" ht="15.75" x14ac:dyDescent="0.25">
      <c r="B1029" s="686"/>
      <c r="C1029" s="686"/>
      <c r="F1029" s="686"/>
      <c r="G1029" s="686"/>
      <c r="H1029" s="686"/>
      <c r="I1029" s="715" t="s">
        <v>1133</v>
      </c>
      <c r="J1029" s="728"/>
      <c r="L1029" s="714">
        <f>L16+L30+L79+L103+L111+L147+L152+L190+L208+L241+L277+L294+L330+L337+L376+L386+L456+L486+L521+L551+L558+L563+L568+L571+L594+L635+L644+L648+L677+L690+L708+L712+L751+L762+L776+L784+L792+L828+L855+L865+L883+L923+L933+L965+L981+L997+L1013</f>
        <v>25840239021.099998</v>
      </c>
      <c r="M1029" s="714" t="e">
        <f>M386+M376+M337+M330+M294+M277+M241+M208+M190+M152+M147+M111+M103+M79+M30+M16</f>
        <v>#REF!</v>
      </c>
      <c r="N1029" s="871"/>
      <c r="T1029" s="698"/>
      <c r="V1029" s="686"/>
      <c r="W1029" s="686"/>
      <c r="X1029" s="686"/>
      <c r="Y1029" s="686"/>
    </row>
    <row r="1030" spans="2:25" x14ac:dyDescent="0.25">
      <c r="B1030" s="686"/>
      <c r="C1030" s="686"/>
      <c r="F1030" s="686"/>
      <c r="G1030" s="686"/>
      <c r="I1030" s="694"/>
      <c r="L1030" s="719"/>
      <c r="V1030" s="686"/>
      <c r="W1030" s="686"/>
      <c r="X1030" s="686"/>
      <c r="Y1030" s="686"/>
    </row>
    <row r="1031" spans="2:25" x14ac:dyDescent="0.25">
      <c r="B1031" s="686"/>
      <c r="C1031" s="686"/>
      <c r="F1031" s="686"/>
      <c r="G1031" s="686"/>
      <c r="I1031" s="718"/>
      <c r="L1031" s="719"/>
      <c r="V1031" s="686"/>
      <c r="W1031" s="686"/>
      <c r="X1031" s="686"/>
      <c r="Y1031" s="686"/>
    </row>
    <row r="1032" spans="2:25" x14ac:dyDescent="0.25">
      <c r="L1032" s="698"/>
    </row>
    <row r="1036" spans="2:25" x14ac:dyDescent="0.25">
      <c r="R1036" s="687">
        <v>0</v>
      </c>
    </row>
  </sheetData>
  <autoFilter ref="A5:Z1026"/>
  <mergeCells count="6">
    <mergeCell ref="B1:T3"/>
    <mergeCell ref="E32:E33"/>
    <mergeCell ref="E50:E51"/>
    <mergeCell ref="G595:G596"/>
    <mergeCell ref="N595:N596"/>
    <mergeCell ref="T595:T596"/>
  </mergeCells>
  <pageMargins left="0" right="0" top="0" bottom="0" header="0.31496062992125984" footer="0.31496062992125984"/>
  <pageSetup paperSize="9" orientation="landscape" horizontalDpi="300" verticalDpi="300" r:id="rId1"/>
  <ignoredErrors>
    <ignoredError sqref="L306 L295:L300 L281 L262:L263 L256 L253 L248:L250 L232 L218:L226 L209:L212 L200:L202 L191:L195 L180:L181 L167:L174 L159:L164 L153:L155 L127 L112:L121 L105:L107 L84:L86 L67 L63 L54:L55 L48 L39:L43 L35:L36 L320 L329 L336 L344:L351 L498 L31:L32 L331:L334 L339:L342 L325:L327" formulaRange="1"/>
    <ignoredError sqref="L294 N294 L277 L241 N241 L208 N208 L190 L152 N152 L147 L111 N111 L103 L30 N30 N16 L330 N337 L376 N386" formula="1"/>
    <ignoredError sqref="L245:L247 L242:L244 L108 L337" formula="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workbookViewId="0">
      <selection activeCell="B14" sqref="B14"/>
    </sheetView>
  </sheetViews>
  <sheetFormatPr defaultColWidth="9.28515625" defaultRowHeight="15" x14ac:dyDescent="0.25"/>
  <cols>
    <col min="1" max="1" width="9.28515625" style="686"/>
    <col min="2" max="2" width="15.42578125" style="686" bestFit="1" customWidth="1"/>
    <col min="3" max="3" width="54.5703125" style="686" customWidth="1"/>
    <col min="4" max="4" width="66.5703125" style="686" customWidth="1"/>
    <col min="5" max="5" width="12.5703125" style="686" hidden="1" customWidth="1"/>
    <col min="6" max="6" width="19.42578125" style="686" bestFit="1" customWidth="1"/>
    <col min="7" max="8" width="19.42578125" style="686" customWidth="1"/>
    <col min="9" max="9" width="23.42578125" style="686" customWidth="1"/>
    <col min="10" max="10" width="17.28515625" style="686" customWidth="1"/>
    <col min="11" max="11" width="15.7109375" style="686" customWidth="1"/>
    <col min="12" max="16384" width="9.28515625" style="686"/>
  </cols>
  <sheetData>
    <row r="1" spans="1:11" ht="28.5" x14ac:dyDescent="0.25">
      <c r="A1" s="875" t="s">
        <v>634</v>
      </c>
      <c r="B1" s="875" t="s">
        <v>4</v>
      </c>
      <c r="C1" s="875" t="s">
        <v>6</v>
      </c>
      <c r="D1" s="876" t="s">
        <v>7</v>
      </c>
      <c r="E1" s="877" t="s">
        <v>8</v>
      </c>
      <c r="F1" s="880" t="s">
        <v>934</v>
      </c>
      <c r="G1" s="880" t="s">
        <v>1916</v>
      </c>
      <c r="H1" s="880" t="s">
        <v>604</v>
      </c>
      <c r="I1" s="875" t="s">
        <v>605</v>
      </c>
      <c r="J1" s="875" t="s">
        <v>1917</v>
      </c>
      <c r="K1" s="1068" t="s">
        <v>1918</v>
      </c>
    </row>
    <row r="2" spans="1:11" x14ac:dyDescent="0.25">
      <c r="A2" s="1187">
        <v>1</v>
      </c>
      <c r="B2" s="976" t="s">
        <v>1919</v>
      </c>
      <c r="C2" s="976" t="s">
        <v>1920</v>
      </c>
      <c r="D2" s="976"/>
      <c r="E2" s="976"/>
      <c r="F2" s="1024">
        <v>100000</v>
      </c>
      <c r="G2" s="1025"/>
      <c r="H2" s="1024"/>
      <c r="I2" s="1025">
        <v>44074</v>
      </c>
      <c r="K2" s="1068" t="s">
        <v>1921</v>
      </c>
    </row>
    <row r="3" spans="1:11" x14ac:dyDescent="0.25">
      <c r="A3" s="1187">
        <f>1+A2</f>
        <v>2</v>
      </c>
      <c r="B3" s="976" t="s">
        <v>1919</v>
      </c>
      <c r="C3" s="976" t="s">
        <v>1922</v>
      </c>
      <c r="D3" s="976"/>
      <c r="E3" s="976"/>
      <c r="F3" s="1024">
        <v>364000</v>
      </c>
      <c r="G3" s="1025"/>
      <c r="H3" s="1024"/>
      <c r="I3" s="1025">
        <v>44074</v>
      </c>
      <c r="K3" s="1068" t="s">
        <v>1923</v>
      </c>
    </row>
    <row r="4" spans="1:11" x14ac:dyDescent="0.25">
      <c r="A4" s="1187">
        <f t="shared" ref="A4:A67" si="0">1+A3</f>
        <v>3</v>
      </c>
      <c r="B4" s="976" t="s">
        <v>1919</v>
      </c>
      <c r="C4" s="976" t="s">
        <v>1924</v>
      </c>
      <c r="D4" s="976"/>
      <c r="E4" s="976"/>
      <c r="F4" s="1024">
        <v>500000</v>
      </c>
      <c r="G4" s="1025"/>
      <c r="H4" s="1024"/>
      <c r="I4" s="1024" t="s">
        <v>1925</v>
      </c>
      <c r="K4" s="1068" t="s">
        <v>1926</v>
      </c>
    </row>
    <row r="5" spans="1:11" x14ac:dyDescent="0.25">
      <c r="A5" s="1187">
        <f t="shared" si="0"/>
        <v>4</v>
      </c>
      <c r="B5" s="976" t="s">
        <v>1919</v>
      </c>
      <c r="C5" s="1044" t="s">
        <v>1927</v>
      </c>
      <c r="D5" s="976"/>
      <c r="E5" s="976"/>
      <c r="F5" s="1024">
        <v>1782000</v>
      </c>
      <c r="G5" s="1025"/>
      <c r="H5" s="1024"/>
      <c r="I5" s="1024"/>
      <c r="K5" s="1069" t="s">
        <v>1928</v>
      </c>
    </row>
    <row r="6" spans="1:11" x14ac:dyDescent="0.25">
      <c r="A6" s="1187">
        <f t="shared" si="0"/>
        <v>5</v>
      </c>
      <c r="B6" s="976" t="s">
        <v>1919</v>
      </c>
      <c r="C6" s="1044" t="s">
        <v>1927</v>
      </c>
      <c r="D6" s="976"/>
      <c r="E6" s="976"/>
      <c r="F6" s="1024">
        <v>215000</v>
      </c>
      <c r="G6" s="1025"/>
      <c r="H6" s="1024"/>
      <c r="I6" s="1025">
        <v>44077</v>
      </c>
    </row>
    <row r="7" spans="1:11" x14ac:dyDescent="0.25">
      <c r="A7" s="1187">
        <f t="shared" si="0"/>
        <v>6</v>
      </c>
      <c r="B7" s="976" t="s">
        <v>1919</v>
      </c>
      <c r="C7" s="976" t="s">
        <v>1929</v>
      </c>
      <c r="D7" s="976"/>
      <c r="E7" s="976"/>
      <c r="F7" s="1024">
        <v>264000</v>
      </c>
      <c r="G7" s="1025"/>
      <c r="H7" s="1024"/>
      <c r="I7" s="1024"/>
    </row>
    <row r="8" spans="1:11" x14ac:dyDescent="0.25">
      <c r="A8" s="1187">
        <f t="shared" si="0"/>
        <v>7</v>
      </c>
      <c r="B8" s="976" t="s">
        <v>1919</v>
      </c>
      <c r="C8" s="976" t="s">
        <v>1930</v>
      </c>
      <c r="D8" s="976"/>
      <c r="E8" s="976"/>
      <c r="F8" s="1024">
        <v>1820000</v>
      </c>
      <c r="G8" s="1025"/>
      <c r="H8" s="1024"/>
      <c r="I8" s="1024"/>
    </row>
    <row r="9" spans="1:11" x14ac:dyDescent="0.25">
      <c r="A9" s="1187">
        <f t="shared" si="0"/>
        <v>8</v>
      </c>
      <c r="B9" s="976" t="s">
        <v>1919</v>
      </c>
      <c r="C9" s="976" t="s">
        <v>1924</v>
      </c>
      <c r="D9" s="976"/>
      <c r="E9" s="976"/>
      <c r="F9" s="1024">
        <v>3649360</v>
      </c>
      <c r="G9" s="1025"/>
      <c r="H9" s="1024"/>
      <c r="I9" s="1024"/>
    </row>
    <row r="10" spans="1:11" x14ac:dyDescent="0.25">
      <c r="A10" s="1187">
        <f t="shared" si="0"/>
        <v>9</v>
      </c>
      <c r="B10" s="976" t="s">
        <v>1919</v>
      </c>
      <c r="C10" s="976" t="s">
        <v>1931</v>
      </c>
      <c r="D10" s="976"/>
      <c r="E10" s="976"/>
      <c r="F10" s="1024">
        <v>14000000</v>
      </c>
      <c r="G10" s="1025"/>
      <c r="H10" s="1024"/>
      <c r="I10" s="1024"/>
    </row>
    <row r="11" spans="1:11" x14ac:dyDescent="0.25">
      <c r="A11" s="1187">
        <f t="shared" si="0"/>
        <v>10</v>
      </c>
      <c r="B11" s="976" t="s">
        <v>1919</v>
      </c>
      <c r="C11" s="976" t="s">
        <v>1932</v>
      </c>
      <c r="D11" s="976"/>
      <c r="E11" s="976"/>
      <c r="F11" s="1024">
        <v>2530000</v>
      </c>
      <c r="G11" s="1025"/>
      <c r="H11" s="1024"/>
      <c r="I11" s="1024"/>
    </row>
    <row r="12" spans="1:11" x14ac:dyDescent="0.25">
      <c r="A12" s="1187">
        <f t="shared" si="0"/>
        <v>11</v>
      </c>
      <c r="B12" s="976" t="s">
        <v>1919</v>
      </c>
      <c r="C12" s="976" t="s">
        <v>1933</v>
      </c>
      <c r="D12" s="976"/>
      <c r="E12" s="976"/>
      <c r="F12" s="1024">
        <v>591100</v>
      </c>
      <c r="G12" s="1025"/>
      <c r="H12" s="1024"/>
      <c r="I12" s="1024"/>
    </row>
    <row r="13" spans="1:11" x14ac:dyDescent="0.25">
      <c r="A13" s="1187">
        <f t="shared" si="0"/>
        <v>12</v>
      </c>
      <c r="B13" s="976" t="s">
        <v>1919</v>
      </c>
      <c r="C13" s="976" t="s">
        <v>1934</v>
      </c>
      <c r="D13" s="976"/>
      <c r="E13" s="976"/>
      <c r="F13" s="1024">
        <v>859050</v>
      </c>
      <c r="G13" s="1025"/>
      <c r="H13" s="1024"/>
      <c r="I13" s="1024"/>
    </row>
    <row r="14" spans="1:11" x14ac:dyDescent="0.25">
      <c r="A14" s="1187">
        <f t="shared" si="0"/>
        <v>13</v>
      </c>
      <c r="B14" s="976" t="s">
        <v>1919</v>
      </c>
      <c r="C14" s="976" t="s">
        <v>1935</v>
      </c>
      <c r="D14" s="976"/>
      <c r="E14" s="976"/>
      <c r="F14" s="1024">
        <v>750000</v>
      </c>
      <c r="G14" s="1025"/>
      <c r="H14" s="1024"/>
      <c r="I14" s="976" t="s">
        <v>1936</v>
      </c>
    </row>
    <row r="15" spans="1:11" x14ac:dyDescent="0.25">
      <c r="A15" s="1187">
        <f t="shared" si="0"/>
        <v>14</v>
      </c>
      <c r="B15" s="976" t="s">
        <v>1919</v>
      </c>
      <c r="C15" s="976" t="s">
        <v>1937</v>
      </c>
      <c r="D15" s="976"/>
      <c r="E15" s="976"/>
      <c r="F15" s="1024">
        <v>37523689</v>
      </c>
      <c r="G15" s="1025"/>
      <c r="H15" s="1024"/>
      <c r="I15" s="1024"/>
    </row>
    <row r="16" spans="1:11" x14ac:dyDescent="0.25">
      <c r="A16" s="1187">
        <f t="shared" si="0"/>
        <v>15</v>
      </c>
      <c r="B16" s="976" t="s">
        <v>1919</v>
      </c>
      <c r="C16" s="976" t="s">
        <v>1938</v>
      </c>
      <c r="D16" s="976"/>
      <c r="E16" s="976"/>
      <c r="F16" s="1024">
        <v>165000</v>
      </c>
      <c r="G16" s="1025"/>
      <c r="H16" s="1024"/>
      <c r="I16" s="1024"/>
    </row>
    <row r="17" spans="1:9" x14ac:dyDescent="0.25">
      <c r="A17" s="1187">
        <f t="shared" si="0"/>
        <v>16</v>
      </c>
      <c r="B17" s="976" t="s">
        <v>1919</v>
      </c>
      <c r="C17" s="976" t="s">
        <v>1939</v>
      </c>
      <c r="D17" s="976"/>
      <c r="E17" s="976"/>
      <c r="F17" s="1024">
        <v>219000</v>
      </c>
      <c r="G17" s="1025"/>
      <c r="H17" s="1024"/>
      <c r="I17" s="1024"/>
    </row>
    <row r="18" spans="1:9" x14ac:dyDescent="0.25">
      <c r="A18" s="1187">
        <f t="shared" si="0"/>
        <v>17</v>
      </c>
      <c r="B18" s="976" t="s">
        <v>1919</v>
      </c>
      <c r="C18" s="976" t="s">
        <v>1940</v>
      </c>
      <c r="D18" s="976"/>
      <c r="E18" s="976"/>
      <c r="F18" s="1024">
        <v>186000</v>
      </c>
      <c r="G18" s="1025"/>
      <c r="H18" s="1024"/>
      <c r="I18" s="1024"/>
    </row>
    <row r="19" spans="1:9" x14ac:dyDescent="0.25">
      <c r="A19" s="1187">
        <f t="shared" si="0"/>
        <v>18</v>
      </c>
      <c r="B19" s="976" t="s">
        <v>1919</v>
      </c>
      <c r="C19" s="976" t="s">
        <v>1939</v>
      </c>
      <c r="D19" s="976"/>
      <c r="E19" s="976"/>
      <c r="F19" s="1024">
        <v>8778000</v>
      </c>
      <c r="G19" s="1025"/>
      <c r="H19" s="1024"/>
      <c r="I19" s="1024"/>
    </row>
    <row r="20" spans="1:9" x14ac:dyDescent="0.25">
      <c r="A20" s="1187">
        <f t="shared" si="0"/>
        <v>19</v>
      </c>
      <c r="B20" s="976" t="s">
        <v>1919</v>
      </c>
      <c r="C20" s="976" t="s">
        <v>1941</v>
      </c>
      <c r="D20" s="976"/>
      <c r="E20" s="976"/>
      <c r="F20" s="1024">
        <v>2500000</v>
      </c>
      <c r="G20" s="1025"/>
      <c r="H20" s="1024"/>
      <c r="I20" s="1024"/>
    </row>
    <row r="21" spans="1:9" x14ac:dyDescent="0.25">
      <c r="A21" s="1187">
        <f t="shared" si="0"/>
        <v>20</v>
      </c>
      <c r="B21" s="976" t="s">
        <v>1919</v>
      </c>
      <c r="C21" s="976" t="s">
        <v>1942</v>
      </c>
      <c r="D21" s="976"/>
      <c r="E21" s="976"/>
      <c r="F21" s="1024">
        <v>600000</v>
      </c>
      <c r="G21" s="1025"/>
      <c r="H21" s="1024"/>
      <c r="I21" s="1024"/>
    </row>
    <row r="22" spans="1:9" x14ac:dyDescent="0.25">
      <c r="A22" s="1187">
        <f t="shared" si="0"/>
        <v>21</v>
      </c>
      <c r="B22" s="976" t="s">
        <v>1919</v>
      </c>
      <c r="C22" s="976" t="s">
        <v>1943</v>
      </c>
      <c r="D22" s="976"/>
      <c r="E22" s="976"/>
      <c r="F22" s="1024">
        <v>941999</v>
      </c>
      <c r="G22" s="1025"/>
      <c r="H22" s="1024"/>
      <c r="I22" s="1024"/>
    </row>
    <row r="23" spans="1:9" x14ac:dyDescent="0.25">
      <c r="A23" s="1187">
        <f t="shared" si="0"/>
        <v>22</v>
      </c>
      <c r="B23" s="976" t="s">
        <v>1919</v>
      </c>
      <c r="C23" s="972" t="s">
        <v>1944</v>
      </c>
      <c r="D23" s="976"/>
      <c r="E23" s="976"/>
      <c r="F23" s="1024">
        <v>416000</v>
      </c>
      <c r="G23" s="1025"/>
      <c r="H23" s="1024"/>
      <c r="I23" s="1024"/>
    </row>
    <row r="24" spans="1:9" x14ac:dyDescent="0.25">
      <c r="A24" s="1187">
        <f t="shared" si="0"/>
        <v>23</v>
      </c>
      <c r="B24" s="976" t="s">
        <v>1919</v>
      </c>
      <c r="C24" s="976" t="s">
        <v>1940</v>
      </c>
      <c r="D24" s="976"/>
      <c r="E24" s="976"/>
      <c r="F24" s="1024">
        <v>1960000</v>
      </c>
      <c r="G24" s="1025"/>
      <c r="H24" s="1024"/>
      <c r="I24" s="1024" t="s">
        <v>1945</v>
      </c>
    </row>
    <row r="25" spans="1:9" x14ac:dyDescent="0.25">
      <c r="A25" s="1187">
        <f t="shared" si="0"/>
        <v>24</v>
      </c>
      <c r="B25" s="976" t="s">
        <v>1919</v>
      </c>
      <c r="C25" s="976" t="s">
        <v>1943</v>
      </c>
      <c r="D25" s="976"/>
      <c r="E25" s="976"/>
      <c r="F25" s="1024">
        <v>157000</v>
      </c>
      <c r="G25" s="1025"/>
      <c r="H25" s="1024"/>
      <c r="I25" s="1024"/>
    </row>
    <row r="26" spans="1:9" x14ac:dyDescent="0.25">
      <c r="A26" s="1187">
        <f t="shared" si="0"/>
        <v>25</v>
      </c>
      <c r="B26" s="976" t="s">
        <v>1919</v>
      </c>
      <c r="C26" s="976" t="s">
        <v>1946</v>
      </c>
      <c r="D26" s="976"/>
      <c r="E26" s="976"/>
      <c r="F26" s="1024">
        <v>500000</v>
      </c>
      <c r="G26" s="1025"/>
      <c r="H26" s="1024"/>
      <c r="I26" s="976"/>
    </row>
    <row r="27" spans="1:9" x14ac:dyDescent="0.25">
      <c r="A27" s="1187">
        <f t="shared" si="0"/>
        <v>26</v>
      </c>
      <c r="B27" s="976" t="s">
        <v>1919</v>
      </c>
      <c r="C27" s="976" t="s">
        <v>1947</v>
      </c>
      <c r="D27" s="976"/>
      <c r="E27" s="976"/>
      <c r="F27" s="1024">
        <v>250000</v>
      </c>
      <c r="G27" s="1025"/>
      <c r="H27" s="1024"/>
      <c r="I27" s="976"/>
    </row>
    <row r="28" spans="1:9" x14ac:dyDescent="0.25">
      <c r="A28" s="1187">
        <f t="shared" si="0"/>
        <v>27</v>
      </c>
      <c r="B28" s="976" t="s">
        <v>1919</v>
      </c>
      <c r="C28" s="976" t="s">
        <v>1948</v>
      </c>
      <c r="D28" s="976"/>
      <c r="E28" s="976"/>
      <c r="F28" s="1024">
        <v>1003000</v>
      </c>
      <c r="G28" s="1025"/>
      <c r="H28" s="1024"/>
      <c r="I28" s="976"/>
    </row>
    <row r="29" spans="1:9" x14ac:dyDescent="0.25">
      <c r="A29" s="1187">
        <f t="shared" si="0"/>
        <v>28</v>
      </c>
      <c r="B29" s="976" t="s">
        <v>1919</v>
      </c>
      <c r="C29" s="1026" t="s">
        <v>1949</v>
      </c>
      <c r="D29" s="976"/>
      <c r="E29" s="1026"/>
      <c r="F29" s="1027">
        <v>1500000</v>
      </c>
      <c r="G29" s="1045"/>
      <c r="H29" s="1027"/>
      <c r="I29" s="976" t="s">
        <v>1950</v>
      </c>
    </row>
    <row r="30" spans="1:9" x14ac:dyDescent="0.25">
      <c r="A30" s="1187">
        <f t="shared" si="0"/>
        <v>29</v>
      </c>
      <c r="B30" s="976" t="s">
        <v>1919</v>
      </c>
      <c r="C30" s="976" t="s">
        <v>1951</v>
      </c>
      <c r="D30" s="976"/>
      <c r="E30" s="976"/>
      <c r="F30" s="1024">
        <v>502348</v>
      </c>
      <c r="G30" s="1025"/>
      <c r="H30" s="1024"/>
      <c r="I30" s="976"/>
    </row>
    <row r="31" spans="1:9" x14ac:dyDescent="0.25">
      <c r="A31" s="1187">
        <f t="shared" si="0"/>
        <v>30</v>
      </c>
      <c r="B31" s="976" t="s">
        <v>1919</v>
      </c>
      <c r="C31" s="976" t="s">
        <v>1952</v>
      </c>
      <c r="D31" s="976"/>
      <c r="E31" s="976"/>
      <c r="F31" s="1024">
        <v>9490000</v>
      </c>
      <c r="G31" s="1025"/>
      <c r="H31" s="1024"/>
      <c r="I31" s="976"/>
    </row>
    <row r="32" spans="1:9" x14ac:dyDescent="0.25">
      <c r="A32" s="1187">
        <f t="shared" si="0"/>
        <v>31</v>
      </c>
      <c r="B32" s="976" t="s">
        <v>1919</v>
      </c>
      <c r="C32" s="976" t="s">
        <v>1953</v>
      </c>
      <c r="D32" s="976"/>
      <c r="E32" s="976"/>
      <c r="F32" s="1024">
        <v>515000</v>
      </c>
      <c r="G32" s="1025"/>
      <c r="H32" s="1024"/>
      <c r="I32" s="976"/>
    </row>
    <row r="33" spans="1:9" x14ac:dyDescent="0.25">
      <c r="A33" s="1187">
        <f t="shared" si="0"/>
        <v>32</v>
      </c>
      <c r="B33" s="976" t="s">
        <v>1919</v>
      </c>
      <c r="C33" s="976" t="s">
        <v>1954</v>
      </c>
      <c r="D33" s="976"/>
      <c r="E33" s="976"/>
      <c r="F33" s="1024">
        <v>6196623</v>
      </c>
      <c r="G33" s="1025"/>
      <c r="H33" s="1024"/>
      <c r="I33" s="976"/>
    </row>
    <row r="34" spans="1:9" x14ac:dyDescent="0.25">
      <c r="A34" s="1187">
        <f t="shared" si="0"/>
        <v>33</v>
      </c>
      <c r="B34" s="976" t="s">
        <v>1919</v>
      </c>
      <c r="C34" s="976" t="s">
        <v>1940</v>
      </c>
      <c r="D34" s="976"/>
      <c r="E34" s="976"/>
      <c r="F34" s="1024">
        <v>270000</v>
      </c>
      <c r="G34" s="1025"/>
      <c r="H34" s="1024"/>
      <c r="I34" s="976"/>
    </row>
    <row r="35" spans="1:9" x14ac:dyDescent="0.25">
      <c r="A35" s="1187">
        <f t="shared" si="0"/>
        <v>34</v>
      </c>
      <c r="B35" s="976" t="s">
        <v>1919</v>
      </c>
      <c r="C35" s="976" t="s">
        <v>1943</v>
      </c>
      <c r="D35" s="976"/>
      <c r="E35" s="976"/>
      <c r="F35" s="1024">
        <v>156000</v>
      </c>
      <c r="G35" s="1025"/>
      <c r="H35" s="1024"/>
      <c r="I35" s="976"/>
    </row>
    <row r="36" spans="1:9" x14ac:dyDescent="0.25">
      <c r="A36" s="1187">
        <f t="shared" si="0"/>
        <v>35</v>
      </c>
      <c r="B36" s="976" t="s">
        <v>1919</v>
      </c>
      <c r="C36" s="976" t="s">
        <v>1943</v>
      </c>
      <c r="D36" s="976"/>
      <c r="E36" s="976"/>
      <c r="F36" s="1024">
        <v>429000</v>
      </c>
      <c r="G36" s="1025"/>
      <c r="H36" s="1024"/>
      <c r="I36" s="976"/>
    </row>
    <row r="37" spans="1:9" x14ac:dyDescent="0.25">
      <c r="A37" s="1187">
        <f t="shared" si="0"/>
        <v>36</v>
      </c>
      <c r="B37" s="976" t="s">
        <v>1919</v>
      </c>
      <c r="C37" s="976" t="s">
        <v>1943</v>
      </c>
      <c r="D37" s="976"/>
      <c r="E37" s="976"/>
      <c r="F37" s="1024">
        <v>193000</v>
      </c>
      <c r="G37" s="1025"/>
      <c r="H37" s="1024"/>
      <c r="I37" s="976"/>
    </row>
    <row r="38" spans="1:9" x14ac:dyDescent="0.25">
      <c r="A38" s="1187">
        <f t="shared" si="0"/>
        <v>37</v>
      </c>
      <c r="B38" s="976" t="s">
        <v>1919</v>
      </c>
      <c r="C38" s="976" t="s">
        <v>1955</v>
      </c>
      <c r="D38" s="976"/>
      <c r="E38" s="976"/>
      <c r="F38" s="1024">
        <v>16535405</v>
      </c>
      <c r="G38" s="1025"/>
      <c r="H38" s="1024"/>
      <c r="I38" s="976"/>
    </row>
    <row r="39" spans="1:9" x14ac:dyDescent="0.25">
      <c r="A39" s="1187">
        <f t="shared" si="0"/>
        <v>38</v>
      </c>
      <c r="B39" s="976" t="s">
        <v>1919</v>
      </c>
      <c r="C39" s="976" t="s">
        <v>1956</v>
      </c>
      <c r="D39" s="976"/>
      <c r="E39" s="976"/>
      <c r="F39" s="1024">
        <v>41529600</v>
      </c>
      <c r="G39" s="1025"/>
      <c r="H39" s="1024"/>
      <c r="I39" s="976"/>
    </row>
    <row r="40" spans="1:9" x14ac:dyDescent="0.25">
      <c r="A40" s="1187">
        <f t="shared" si="0"/>
        <v>39</v>
      </c>
      <c r="B40" s="976" t="s">
        <v>1957</v>
      </c>
      <c r="C40" s="976" t="s">
        <v>1958</v>
      </c>
      <c r="D40" s="976"/>
      <c r="E40" s="976"/>
      <c r="F40" s="1024">
        <v>28000000</v>
      </c>
      <c r="G40" s="1025"/>
      <c r="H40" s="1024"/>
      <c r="I40" s="976" t="s">
        <v>1959</v>
      </c>
    </row>
    <row r="41" spans="1:9" x14ac:dyDescent="0.25">
      <c r="A41" s="1187">
        <f t="shared" si="0"/>
        <v>40</v>
      </c>
      <c r="B41" s="976" t="s">
        <v>1919</v>
      </c>
      <c r="C41" s="976" t="s">
        <v>1960</v>
      </c>
      <c r="D41" s="976"/>
      <c r="E41" s="976"/>
      <c r="F41" s="1024">
        <v>6000000</v>
      </c>
      <c r="G41" s="1025"/>
      <c r="H41" s="1024"/>
      <c r="I41" s="976"/>
    </row>
    <row r="42" spans="1:9" x14ac:dyDescent="0.25">
      <c r="A42" s="1187">
        <f t="shared" si="0"/>
        <v>41</v>
      </c>
      <c r="B42" s="976" t="s">
        <v>1919</v>
      </c>
      <c r="C42" s="1026" t="s">
        <v>1949</v>
      </c>
      <c r="D42" s="976"/>
      <c r="E42" s="1026"/>
      <c r="F42" s="1027">
        <v>24900000</v>
      </c>
      <c r="G42" s="1045"/>
      <c r="H42" s="1027"/>
      <c r="I42" s="976"/>
    </row>
    <row r="43" spans="1:9" x14ac:dyDescent="0.25">
      <c r="A43" s="1187">
        <f t="shared" si="0"/>
        <v>42</v>
      </c>
      <c r="B43" s="976" t="s">
        <v>1919</v>
      </c>
      <c r="C43" s="976" t="s">
        <v>1961</v>
      </c>
      <c r="D43" s="976"/>
      <c r="E43" s="976"/>
      <c r="F43" s="1024">
        <v>500000</v>
      </c>
      <c r="G43" s="1025"/>
      <c r="H43" s="1024"/>
      <c r="I43" s="976"/>
    </row>
    <row r="44" spans="1:9" x14ac:dyDescent="0.25">
      <c r="A44" s="1187">
        <f t="shared" si="0"/>
        <v>43</v>
      </c>
      <c r="B44" s="976" t="s">
        <v>1919</v>
      </c>
      <c r="C44" s="976" t="s">
        <v>1962</v>
      </c>
      <c r="D44" s="976"/>
      <c r="E44" s="976"/>
      <c r="F44" s="1024">
        <v>125000</v>
      </c>
      <c r="G44" s="1025"/>
      <c r="H44" s="1024"/>
      <c r="I44" s="976"/>
    </row>
    <row r="45" spans="1:9" x14ac:dyDescent="0.25">
      <c r="A45" s="1187">
        <f t="shared" si="0"/>
        <v>44</v>
      </c>
      <c r="B45" s="976" t="s">
        <v>1919</v>
      </c>
      <c r="C45" s="976" t="s">
        <v>1963</v>
      </c>
      <c r="D45" s="976"/>
      <c r="E45" s="976"/>
      <c r="F45" s="1024">
        <v>4920000</v>
      </c>
      <c r="G45" s="1025"/>
      <c r="H45" s="1024"/>
      <c r="I45" s="976"/>
    </row>
    <row r="46" spans="1:9" x14ac:dyDescent="0.25">
      <c r="A46" s="1187">
        <f t="shared" si="0"/>
        <v>45</v>
      </c>
      <c r="B46" s="976" t="s">
        <v>1919</v>
      </c>
      <c r="C46" s="976" t="s">
        <v>1964</v>
      </c>
      <c r="D46" s="976"/>
      <c r="E46" s="976"/>
      <c r="F46" s="1024">
        <v>101500000</v>
      </c>
      <c r="G46" s="1025"/>
      <c r="H46" s="1024"/>
      <c r="I46" s="976" t="s">
        <v>1965</v>
      </c>
    </row>
    <row r="47" spans="1:9" x14ac:dyDescent="0.25">
      <c r="A47" s="1187">
        <f t="shared" si="0"/>
        <v>46</v>
      </c>
      <c r="B47" s="976" t="s">
        <v>1919</v>
      </c>
      <c r="C47" s="976" t="s">
        <v>1940</v>
      </c>
      <c r="D47" s="976"/>
      <c r="E47" s="976"/>
      <c r="F47" s="1024">
        <v>222000</v>
      </c>
      <c r="G47" s="1025"/>
      <c r="H47" s="1024"/>
      <c r="I47" s="976"/>
    </row>
    <row r="48" spans="1:9" x14ac:dyDescent="0.25">
      <c r="A48" s="1187">
        <f t="shared" si="0"/>
        <v>47</v>
      </c>
      <c r="B48" s="976" t="s">
        <v>1919</v>
      </c>
      <c r="C48" s="976" t="s">
        <v>1938</v>
      </c>
      <c r="D48" s="976"/>
      <c r="E48" s="976"/>
      <c r="F48" s="1024">
        <v>114000</v>
      </c>
      <c r="G48" s="1025"/>
      <c r="H48" s="1024"/>
      <c r="I48" s="976"/>
    </row>
    <row r="49" spans="1:11" x14ac:dyDescent="0.25">
      <c r="A49" s="1187">
        <f t="shared" si="0"/>
        <v>48</v>
      </c>
      <c r="B49" s="976" t="s">
        <v>1919</v>
      </c>
      <c r="C49" s="976" t="s">
        <v>1934</v>
      </c>
      <c r="D49" s="976"/>
      <c r="E49" s="976"/>
      <c r="F49" s="1024">
        <v>10736249</v>
      </c>
      <c r="G49" s="1025"/>
      <c r="H49" s="1024"/>
      <c r="I49" s="976"/>
    </row>
    <row r="50" spans="1:11" x14ac:dyDescent="0.25">
      <c r="A50" s="1187">
        <f t="shared" si="0"/>
        <v>49</v>
      </c>
      <c r="B50" s="976" t="s">
        <v>1919</v>
      </c>
      <c r="C50" s="1026" t="s">
        <v>1966</v>
      </c>
      <c r="D50" s="976"/>
      <c r="E50" s="976"/>
      <c r="F50" s="1027">
        <f>78132850-1500000-24900000</f>
        <v>51732850</v>
      </c>
      <c r="G50" s="1045"/>
      <c r="H50" s="1027"/>
      <c r="I50" s="976"/>
      <c r="J50" s="1028">
        <f>F29+F42+F50</f>
        <v>78132850</v>
      </c>
      <c r="K50" s="686" t="s">
        <v>1967</v>
      </c>
    </row>
    <row r="51" spans="1:11" x14ac:dyDescent="0.25">
      <c r="A51" s="1187">
        <f t="shared" si="0"/>
        <v>50</v>
      </c>
      <c r="B51" s="976" t="s">
        <v>1919</v>
      </c>
      <c r="C51" s="972" t="s">
        <v>1968</v>
      </c>
      <c r="D51" s="976"/>
      <c r="E51" s="976"/>
      <c r="F51" s="1029">
        <v>250000</v>
      </c>
      <c r="G51" s="1046"/>
      <c r="H51" s="1029"/>
      <c r="I51" s="976"/>
    </row>
    <row r="52" spans="1:11" x14ac:dyDescent="0.25">
      <c r="A52" s="1187">
        <f t="shared" si="0"/>
        <v>51</v>
      </c>
      <c r="B52" s="976" t="s">
        <v>1919</v>
      </c>
      <c r="C52" s="972" t="s">
        <v>1969</v>
      </c>
      <c r="D52" s="976"/>
      <c r="E52" s="976"/>
      <c r="F52" s="1029">
        <v>4730000</v>
      </c>
      <c r="G52" s="1046"/>
      <c r="H52" s="1029"/>
      <c r="I52" s="976"/>
    </row>
    <row r="53" spans="1:11" x14ac:dyDescent="0.25">
      <c r="A53" s="1187">
        <f t="shared" si="0"/>
        <v>52</v>
      </c>
      <c r="B53" s="976" t="s">
        <v>1919</v>
      </c>
      <c r="C53" s="972" t="s">
        <v>1970</v>
      </c>
      <c r="D53" s="976"/>
      <c r="E53" s="976"/>
      <c r="F53" s="1029">
        <v>1000000</v>
      </c>
      <c r="G53" s="1046"/>
      <c r="H53" s="1029"/>
      <c r="I53" s="976"/>
    </row>
    <row r="54" spans="1:11" x14ac:dyDescent="0.25">
      <c r="A54" s="1187">
        <f t="shared" si="0"/>
        <v>53</v>
      </c>
      <c r="B54" s="976" t="s">
        <v>1919</v>
      </c>
      <c r="C54" s="972" t="s">
        <v>1971</v>
      </c>
      <c r="D54" s="976"/>
      <c r="E54" s="976"/>
      <c r="F54" s="1029">
        <v>1220000</v>
      </c>
      <c r="G54" s="1046"/>
      <c r="H54" s="1029"/>
      <c r="I54" s="976"/>
    </row>
    <row r="55" spans="1:11" x14ac:dyDescent="0.25">
      <c r="A55" s="1187">
        <f t="shared" si="0"/>
        <v>54</v>
      </c>
      <c r="B55" s="976" t="s">
        <v>1919</v>
      </c>
      <c r="C55" s="972" t="s">
        <v>1972</v>
      </c>
      <c r="D55" s="976"/>
      <c r="E55" s="976"/>
      <c r="F55" s="1029">
        <v>219000</v>
      </c>
      <c r="G55" s="1046"/>
      <c r="H55" s="1029"/>
      <c r="I55" s="976"/>
    </row>
    <row r="56" spans="1:11" x14ac:dyDescent="0.25">
      <c r="A56" s="1187">
        <f t="shared" si="0"/>
        <v>55</v>
      </c>
      <c r="B56" s="976" t="s">
        <v>1919</v>
      </c>
      <c r="C56" s="972" t="s">
        <v>1973</v>
      </c>
      <c r="D56" s="976"/>
      <c r="E56" s="976"/>
      <c r="F56" s="1029">
        <v>200000</v>
      </c>
      <c r="G56" s="1046"/>
      <c r="H56" s="1029"/>
      <c r="I56" s="976"/>
    </row>
    <row r="57" spans="1:11" x14ac:dyDescent="0.25">
      <c r="A57" s="1187">
        <f t="shared" si="0"/>
        <v>56</v>
      </c>
      <c r="B57" s="976" t="s">
        <v>1919</v>
      </c>
      <c r="C57" s="972" t="s">
        <v>1974</v>
      </c>
      <c r="D57" s="976" t="s">
        <v>1306</v>
      </c>
      <c r="E57" s="976"/>
      <c r="F57" s="1029">
        <v>331000</v>
      </c>
      <c r="G57" s="1046">
        <v>44105</v>
      </c>
      <c r="H57" s="1029" t="s">
        <v>630</v>
      </c>
      <c r="I57" s="976" t="s">
        <v>1975</v>
      </c>
      <c r="J57" s="686" t="s">
        <v>1976</v>
      </c>
    </row>
    <row r="58" spans="1:11" x14ac:dyDescent="0.25">
      <c r="A58" s="1187">
        <f t="shared" si="0"/>
        <v>57</v>
      </c>
      <c r="B58" s="976" t="s">
        <v>1919</v>
      </c>
      <c r="C58" s="972" t="s">
        <v>1977</v>
      </c>
      <c r="D58" s="976" t="s">
        <v>1978</v>
      </c>
      <c r="E58" s="976"/>
      <c r="F58" s="1029">
        <v>1560000</v>
      </c>
      <c r="G58" s="1046">
        <v>44106</v>
      </c>
      <c r="H58" s="1029" t="s">
        <v>642</v>
      </c>
      <c r="I58" s="976" t="s">
        <v>1979</v>
      </c>
      <c r="J58" s="686" t="s">
        <v>1980</v>
      </c>
    </row>
    <row r="59" spans="1:11" x14ac:dyDescent="0.25">
      <c r="A59" s="1187">
        <f t="shared" si="0"/>
        <v>58</v>
      </c>
      <c r="B59" s="976" t="s">
        <v>1919</v>
      </c>
      <c r="C59" s="972" t="s">
        <v>1981</v>
      </c>
      <c r="D59" s="976" t="s">
        <v>1982</v>
      </c>
      <c r="E59" s="976"/>
      <c r="F59" s="1029">
        <v>3649360</v>
      </c>
      <c r="G59" s="1046">
        <v>44106</v>
      </c>
      <c r="H59" s="1029" t="s">
        <v>1983</v>
      </c>
      <c r="I59" s="976" t="s">
        <v>1979</v>
      </c>
      <c r="J59" s="686" t="s">
        <v>1984</v>
      </c>
    </row>
    <row r="60" spans="1:11" x14ac:dyDescent="0.25">
      <c r="A60" s="1187">
        <f t="shared" si="0"/>
        <v>59</v>
      </c>
      <c r="B60" s="976" t="s">
        <v>1919</v>
      </c>
      <c r="C60" s="972" t="s">
        <v>1985</v>
      </c>
      <c r="D60" s="976" t="s">
        <v>1306</v>
      </c>
      <c r="E60" s="976"/>
      <c r="F60" s="1029">
        <v>1540000</v>
      </c>
      <c r="G60" s="1046">
        <v>44106</v>
      </c>
      <c r="H60" s="1029" t="s">
        <v>642</v>
      </c>
      <c r="I60" s="976" t="s">
        <v>1979</v>
      </c>
      <c r="J60" s="686" t="s">
        <v>1986</v>
      </c>
    </row>
    <row r="61" spans="1:11" x14ac:dyDescent="0.25">
      <c r="A61" s="1187">
        <f t="shared" si="0"/>
        <v>60</v>
      </c>
      <c r="B61" s="976" t="s">
        <v>1919</v>
      </c>
      <c r="C61" s="972" t="s">
        <v>1987</v>
      </c>
      <c r="D61" s="976" t="s">
        <v>1988</v>
      </c>
      <c r="E61" s="976"/>
      <c r="F61" s="1029">
        <v>500000</v>
      </c>
      <c r="G61" s="1046">
        <v>44106</v>
      </c>
      <c r="H61" s="1029" t="s">
        <v>642</v>
      </c>
      <c r="I61" s="976" t="s">
        <v>1979</v>
      </c>
      <c r="J61" s="686" t="s">
        <v>1986</v>
      </c>
    </row>
    <row r="62" spans="1:11" x14ac:dyDescent="0.25">
      <c r="A62" s="1187">
        <f t="shared" si="0"/>
        <v>61</v>
      </c>
      <c r="B62" s="976" t="s">
        <v>1919</v>
      </c>
      <c r="C62" s="972" t="s">
        <v>1989</v>
      </c>
      <c r="D62" s="976" t="s">
        <v>1306</v>
      </c>
      <c r="E62" s="976"/>
      <c r="F62" s="1029">
        <v>200000</v>
      </c>
      <c r="G62" s="1046">
        <v>44109</v>
      </c>
      <c r="H62" s="1029" t="s">
        <v>630</v>
      </c>
      <c r="I62" s="976" t="s">
        <v>1990</v>
      </c>
      <c r="J62" s="686" t="s">
        <v>1991</v>
      </c>
    </row>
    <row r="63" spans="1:11" x14ac:dyDescent="0.25">
      <c r="A63" s="1187">
        <f t="shared" si="0"/>
        <v>62</v>
      </c>
      <c r="B63" s="976" t="s">
        <v>1919</v>
      </c>
      <c r="C63" s="972" t="s">
        <v>1992</v>
      </c>
      <c r="D63" s="976" t="s">
        <v>1306</v>
      </c>
      <c r="E63" s="976"/>
      <c r="F63" s="1029">
        <v>550000</v>
      </c>
      <c r="G63" s="1046">
        <v>44109</v>
      </c>
      <c r="H63" s="1029" t="s">
        <v>642</v>
      </c>
      <c r="I63" s="976" t="s">
        <v>1990</v>
      </c>
      <c r="J63" s="686" t="s">
        <v>1986</v>
      </c>
    </row>
    <row r="64" spans="1:11" x14ac:dyDescent="0.25">
      <c r="A64" s="1187">
        <f t="shared" si="0"/>
        <v>63</v>
      </c>
      <c r="B64" s="976" t="s">
        <v>1919</v>
      </c>
      <c r="C64" s="972" t="s">
        <v>1993</v>
      </c>
      <c r="D64" s="976" t="s">
        <v>1994</v>
      </c>
      <c r="E64" s="976"/>
      <c r="F64" s="1029">
        <v>14000000</v>
      </c>
      <c r="G64" s="1046">
        <v>44109</v>
      </c>
      <c r="H64" s="1029" t="s">
        <v>630</v>
      </c>
      <c r="I64" s="976" t="s">
        <v>1995</v>
      </c>
      <c r="J64" s="686" t="s">
        <v>1996</v>
      </c>
    </row>
    <row r="65" spans="1:10" x14ac:dyDescent="0.25">
      <c r="A65" s="1187">
        <f t="shared" si="0"/>
        <v>64</v>
      </c>
      <c r="B65" s="976" t="s">
        <v>1919</v>
      </c>
      <c r="C65" s="972" t="s">
        <v>1997</v>
      </c>
      <c r="D65" s="976" t="s">
        <v>1998</v>
      </c>
      <c r="E65" s="976"/>
      <c r="F65" s="1029">
        <v>706100</v>
      </c>
      <c r="G65" s="1046">
        <v>44110</v>
      </c>
      <c r="H65" s="1029" t="s">
        <v>1983</v>
      </c>
      <c r="I65" s="976" t="s">
        <v>1995</v>
      </c>
      <c r="J65" s="686" t="s">
        <v>1999</v>
      </c>
    </row>
    <row r="66" spans="1:10" x14ac:dyDescent="0.25">
      <c r="A66" s="1187">
        <f t="shared" si="0"/>
        <v>65</v>
      </c>
      <c r="B66" s="976" t="s">
        <v>1919</v>
      </c>
      <c r="C66" s="972" t="s">
        <v>2000</v>
      </c>
      <c r="D66" s="976" t="s">
        <v>1306</v>
      </c>
      <c r="E66" s="976"/>
      <c r="F66" s="1029">
        <v>360000</v>
      </c>
      <c r="G66" s="1046">
        <v>44110</v>
      </c>
      <c r="H66" s="1029" t="s">
        <v>642</v>
      </c>
      <c r="I66" s="976" t="s">
        <v>1936</v>
      </c>
      <c r="J66" s="686" t="s">
        <v>1991</v>
      </c>
    </row>
    <row r="67" spans="1:10" x14ac:dyDescent="0.25">
      <c r="A67" s="1187">
        <f t="shared" si="0"/>
        <v>66</v>
      </c>
      <c r="B67" s="976" t="s">
        <v>1919</v>
      </c>
      <c r="C67" s="972" t="s">
        <v>2001</v>
      </c>
      <c r="D67" s="976" t="s">
        <v>1994</v>
      </c>
      <c r="E67" s="976"/>
      <c r="F67" s="1029">
        <v>6600000</v>
      </c>
      <c r="G67" s="1046">
        <v>44112</v>
      </c>
      <c r="H67" s="1029" t="s">
        <v>1983</v>
      </c>
      <c r="I67" s="976" t="s">
        <v>1594</v>
      </c>
      <c r="J67" s="686" t="s">
        <v>2002</v>
      </c>
    </row>
    <row r="68" spans="1:10" x14ac:dyDescent="0.25">
      <c r="A68" s="1187">
        <f t="shared" ref="A68:A131" si="1">1+A67</f>
        <v>67</v>
      </c>
      <c r="B68" s="976" t="s">
        <v>1919</v>
      </c>
      <c r="C68" s="972" t="s">
        <v>2003</v>
      </c>
      <c r="D68" s="976" t="s">
        <v>1306</v>
      </c>
      <c r="E68" s="976"/>
      <c r="F68" s="1029">
        <v>830000</v>
      </c>
      <c r="G68" s="1046">
        <v>44112</v>
      </c>
      <c r="H68" s="1029" t="s">
        <v>642</v>
      </c>
      <c r="I68" s="976" t="s">
        <v>1594</v>
      </c>
      <c r="J68" s="686" t="s">
        <v>2004</v>
      </c>
    </row>
    <row r="69" spans="1:10" x14ac:dyDescent="0.25">
      <c r="A69" s="1187">
        <f t="shared" si="1"/>
        <v>68</v>
      </c>
      <c r="B69" s="976" t="s">
        <v>1919</v>
      </c>
      <c r="C69" s="972" t="s">
        <v>2005</v>
      </c>
      <c r="D69" s="976" t="s">
        <v>1306</v>
      </c>
      <c r="E69" s="976"/>
      <c r="F69" s="1029">
        <v>576000</v>
      </c>
      <c r="G69" s="1046">
        <v>44113</v>
      </c>
      <c r="H69" s="1029" t="s">
        <v>642</v>
      </c>
      <c r="I69" s="976" t="s">
        <v>1995</v>
      </c>
      <c r="J69" s="686" t="s">
        <v>2005</v>
      </c>
    </row>
    <row r="70" spans="1:10" x14ac:dyDescent="0.25">
      <c r="A70" s="1187">
        <f t="shared" si="1"/>
        <v>69</v>
      </c>
      <c r="B70" s="976" t="s">
        <v>1919</v>
      </c>
      <c r="C70" s="976" t="s">
        <v>2006</v>
      </c>
      <c r="D70" s="972" t="s">
        <v>2007</v>
      </c>
      <c r="E70" s="976"/>
      <c r="F70" s="1029">
        <v>5027204</v>
      </c>
      <c r="G70" s="1046">
        <v>44114</v>
      </c>
      <c r="H70" s="1029" t="s">
        <v>1983</v>
      </c>
      <c r="I70" s="976" t="s">
        <v>1979</v>
      </c>
      <c r="J70" s="686" t="s">
        <v>2008</v>
      </c>
    </row>
    <row r="71" spans="1:10" x14ac:dyDescent="0.25">
      <c r="A71" s="1187">
        <f t="shared" si="1"/>
        <v>70</v>
      </c>
      <c r="B71" s="976" t="s">
        <v>1919</v>
      </c>
      <c r="C71" s="976" t="s">
        <v>2009</v>
      </c>
      <c r="D71" s="972" t="s">
        <v>1306</v>
      </c>
      <c r="E71" s="976"/>
      <c r="F71" s="1029">
        <v>5000000</v>
      </c>
      <c r="G71" s="1046">
        <v>44114</v>
      </c>
      <c r="H71" s="1029" t="s">
        <v>642</v>
      </c>
      <c r="I71" s="976" t="s">
        <v>1340</v>
      </c>
      <c r="J71" s="686" t="s">
        <v>2004</v>
      </c>
    </row>
    <row r="72" spans="1:10" x14ac:dyDescent="0.25">
      <c r="A72" s="1187">
        <f t="shared" si="1"/>
        <v>71</v>
      </c>
      <c r="B72" s="976" t="s">
        <v>1919</v>
      </c>
      <c r="C72" s="976" t="s">
        <v>2010</v>
      </c>
      <c r="D72" s="972" t="s">
        <v>2011</v>
      </c>
      <c r="E72" s="976"/>
      <c r="F72" s="1029">
        <v>7400000</v>
      </c>
      <c r="G72" s="1046">
        <v>44114</v>
      </c>
      <c r="H72" s="1029" t="s">
        <v>1983</v>
      </c>
      <c r="I72" s="976" t="s">
        <v>1979</v>
      </c>
      <c r="J72" s="686" t="s">
        <v>2012</v>
      </c>
    </row>
    <row r="73" spans="1:10" x14ac:dyDescent="0.25">
      <c r="A73" s="1187">
        <f t="shared" si="1"/>
        <v>72</v>
      </c>
      <c r="B73" s="976" t="s">
        <v>1919</v>
      </c>
      <c r="C73" s="976" t="s">
        <v>2006</v>
      </c>
      <c r="D73" s="972" t="s">
        <v>2007</v>
      </c>
      <c r="E73" s="976"/>
      <c r="F73" s="1029">
        <v>975274</v>
      </c>
      <c r="G73" s="1046">
        <v>44114</v>
      </c>
      <c r="H73" s="1029" t="s">
        <v>646</v>
      </c>
      <c r="I73" s="976" t="s">
        <v>1979</v>
      </c>
      <c r="J73" s="686" t="s">
        <v>2008</v>
      </c>
    </row>
    <row r="74" spans="1:10" x14ac:dyDescent="0.25">
      <c r="A74" s="1187">
        <f t="shared" si="1"/>
        <v>73</v>
      </c>
      <c r="B74" s="976" t="s">
        <v>1919</v>
      </c>
      <c r="C74" s="976" t="s">
        <v>2013</v>
      </c>
      <c r="D74" s="972" t="s">
        <v>1662</v>
      </c>
      <c r="E74" s="976"/>
      <c r="F74" s="1029">
        <v>550000</v>
      </c>
      <c r="G74" s="1046">
        <v>44114</v>
      </c>
      <c r="H74" s="1029" t="s">
        <v>642</v>
      </c>
      <c r="I74" s="976" t="s">
        <v>1594</v>
      </c>
      <c r="J74" s="686" t="s">
        <v>1986</v>
      </c>
    </row>
    <row r="75" spans="1:10" x14ac:dyDescent="0.25">
      <c r="A75" s="1187">
        <f t="shared" si="1"/>
        <v>74</v>
      </c>
      <c r="B75" s="976" t="s">
        <v>1919</v>
      </c>
      <c r="C75" s="976" t="s">
        <v>2014</v>
      </c>
      <c r="D75" s="972" t="s">
        <v>2015</v>
      </c>
      <c r="E75" s="976"/>
      <c r="F75" s="1029">
        <v>8285130</v>
      </c>
      <c r="G75" s="1046">
        <v>44116</v>
      </c>
      <c r="H75" s="1029" t="s">
        <v>646</v>
      </c>
      <c r="I75" s="976" t="s">
        <v>1995</v>
      </c>
      <c r="J75" s="686" t="s">
        <v>1154</v>
      </c>
    </row>
    <row r="76" spans="1:10" x14ac:dyDescent="0.25">
      <c r="A76" s="1187">
        <f t="shared" si="1"/>
        <v>75</v>
      </c>
      <c r="B76" s="976" t="s">
        <v>1919</v>
      </c>
      <c r="C76" s="976" t="s">
        <v>667</v>
      </c>
      <c r="D76" s="972" t="s">
        <v>2016</v>
      </c>
      <c r="E76" s="976"/>
      <c r="F76" s="1029">
        <v>468600</v>
      </c>
      <c r="G76" s="1046">
        <v>44116</v>
      </c>
      <c r="H76" s="1029" t="s">
        <v>646</v>
      </c>
      <c r="I76" s="976" t="s">
        <v>2017</v>
      </c>
      <c r="J76" s="686" t="s">
        <v>1986</v>
      </c>
    </row>
    <row r="77" spans="1:10" x14ac:dyDescent="0.25">
      <c r="A77" s="1187">
        <f t="shared" si="1"/>
        <v>76</v>
      </c>
      <c r="B77" s="976" t="s">
        <v>1919</v>
      </c>
      <c r="C77" s="976" t="s">
        <v>2018</v>
      </c>
      <c r="D77" s="972" t="s">
        <v>1306</v>
      </c>
      <c r="E77" s="976"/>
      <c r="F77" s="1029">
        <v>620000</v>
      </c>
      <c r="G77" s="1046">
        <v>44117</v>
      </c>
      <c r="H77" s="1029" t="s">
        <v>646</v>
      </c>
      <c r="I77" s="976" t="s">
        <v>686</v>
      </c>
      <c r="J77" s="686" t="s">
        <v>1986</v>
      </c>
    </row>
    <row r="78" spans="1:10" x14ac:dyDescent="0.25">
      <c r="A78" s="1187">
        <f t="shared" si="1"/>
        <v>77</v>
      </c>
      <c r="B78" s="976" t="s">
        <v>1919</v>
      </c>
      <c r="C78" s="976" t="s">
        <v>2019</v>
      </c>
      <c r="D78" s="972" t="s">
        <v>2020</v>
      </c>
      <c r="E78" s="976"/>
      <c r="F78" s="1029">
        <v>6600000</v>
      </c>
      <c r="G78" s="1046">
        <v>44118</v>
      </c>
      <c r="H78" s="1029" t="s">
        <v>630</v>
      </c>
      <c r="I78" s="976" t="s">
        <v>1995</v>
      </c>
      <c r="J78" s="686" t="s">
        <v>2021</v>
      </c>
    </row>
    <row r="79" spans="1:10" x14ac:dyDescent="0.25">
      <c r="A79" s="1187">
        <f t="shared" si="1"/>
        <v>78</v>
      </c>
      <c r="B79" s="976" t="s">
        <v>1919</v>
      </c>
      <c r="C79" s="976" t="s">
        <v>2022</v>
      </c>
      <c r="D79" s="972" t="s">
        <v>2023</v>
      </c>
      <c r="E79" s="976"/>
      <c r="F79" s="1029">
        <v>1365000</v>
      </c>
      <c r="G79" s="1046">
        <v>44120</v>
      </c>
      <c r="H79" s="1029" t="s">
        <v>1983</v>
      </c>
      <c r="I79" s="976" t="s">
        <v>1936</v>
      </c>
      <c r="J79" s="686" t="s">
        <v>2024</v>
      </c>
    </row>
    <row r="80" spans="1:10" x14ac:dyDescent="0.25">
      <c r="A80" s="1187">
        <f t="shared" si="1"/>
        <v>79</v>
      </c>
      <c r="B80" s="976" t="s">
        <v>1919</v>
      </c>
      <c r="C80" s="976" t="s">
        <v>2025</v>
      </c>
      <c r="D80" s="972" t="s">
        <v>1306</v>
      </c>
      <c r="E80" s="976"/>
      <c r="F80" s="1029">
        <v>274000</v>
      </c>
      <c r="G80" s="1046">
        <v>44120</v>
      </c>
      <c r="H80" s="1029" t="s">
        <v>630</v>
      </c>
      <c r="I80" s="976" t="s">
        <v>2026</v>
      </c>
      <c r="J80" s="686" t="s">
        <v>1976</v>
      </c>
    </row>
    <row r="81" spans="1:10" x14ac:dyDescent="0.25">
      <c r="A81" s="1187">
        <f t="shared" si="1"/>
        <v>80</v>
      </c>
      <c r="B81" s="976" t="s">
        <v>1919</v>
      </c>
      <c r="C81" s="976" t="s">
        <v>2027</v>
      </c>
      <c r="D81" s="972" t="s">
        <v>2028</v>
      </c>
      <c r="E81" s="976"/>
      <c r="F81" s="1029">
        <v>24632016</v>
      </c>
      <c r="G81" s="1046">
        <v>44120</v>
      </c>
      <c r="H81" s="1029"/>
      <c r="I81" s="976" t="s">
        <v>2029</v>
      </c>
      <c r="J81" s="686" t="s">
        <v>2030</v>
      </c>
    </row>
    <row r="82" spans="1:10" x14ac:dyDescent="0.25">
      <c r="A82" s="1187">
        <f t="shared" si="1"/>
        <v>81</v>
      </c>
      <c r="B82" s="976" t="s">
        <v>1919</v>
      </c>
      <c r="C82" s="976" t="s">
        <v>2031</v>
      </c>
      <c r="D82" s="972" t="s">
        <v>2032</v>
      </c>
      <c r="E82" s="976"/>
      <c r="F82" s="1029">
        <v>522000</v>
      </c>
      <c r="G82" s="1046">
        <v>44123</v>
      </c>
      <c r="H82" s="1029" t="s">
        <v>642</v>
      </c>
      <c r="I82" s="976" t="s">
        <v>1979</v>
      </c>
      <c r="J82" s="686" t="s">
        <v>1976</v>
      </c>
    </row>
    <row r="83" spans="1:10" x14ac:dyDescent="0.25">
      <c r="A83" s="1187">
        <f t="shared" si="1"/>
        <v>82</v>
      </c>
      <c r="B83" s="976" t="s">
        <v>1919</v>
      </c>
      <c r="C83" s="976" t="s">
        <v>2033</v>
      </c>
      <c r="D83" s="972" t="s">
        <v>2034</v>
      </c>
      <c r="E83" s="976"/>
      <c r="F83" s="1029">
        <v>275000</v>
      </c>
      <c r="G83" s="1046">
        <v>44123</v>
      </c>
      <c r="H83" s="1029" t="s">
        <v>642</v>
      </c>
      <c r="I83" s="976" t="s">
        <v>1995</v>
      </c>
      <c r="J83" s="686" t="s">
        <v>2033</v>
      </c>
    </row>
    <row r="84" spans="1:10" x14ac:dyDescent="0.25">
      <c r="A84" s="1187">
        <f t="shared" si="1"/>
        <v>83</v>
      </c>
      <c r="B84" s="976" t="s">
        <v>1919</v>
      </c>
      <c r="C84" s="976" t="s">
        <v>1955</v>
      </c>
      <c r="D84" s="972" t="s">
        <v>2034</v>
      </c>
      <c r="E84" s="976"/>
      <c r="F84" s="1024">
        <f>13114754+3328201</f>
        <v>16442955</v>
      </c>
      <c r="G84" s="1046">
        <v>44124</v>
      </c>
      <c r="H84" s="1029" t="s">
        <v>1983</v>
      </c>
      <c r="I84" s="976" t="s">
        <v>1995</v>
      </c>
      <c r="J84" s="686" t="s">
        <v>2035</v>
      </c>
    </row>
    <row r="85" spans="1:10" x14ac:dyDescent="0.25">
      <c r="A85" s="1187">
        <f t="shared" si="1"/>
        <v>84</v>
      </c>
      <c r="B85" s="976" t="s">
        <v>1919</v>
      </c>
      <c r="C85" s="976" t="s">
        <v>2036</v>
      </c>
      <c r="D85" s="976" t="s">
        <v>2037</v>
      </c>
      <c r="E85" s="976"/>
      <c r="F85" s="1024">
        <v>47584000</v>
      </c>
      <c r="G85" s="1046">
        <v>44124</v>
      </c>
      <c r="H85" s="1029" t="s">
        <v>1983</v>
      </c>
      <c r="I85" s="976" t="s">
        <v>1995</v>
      </c>
      <c r="J85" s="686" t="s">
        <v>2038</v>
      </c>
    </row>
    <row r="86" spans="1:10" x14ac:dyDescent="0.25">
      <c r="A86" s="1187">
        <f t="shared" si="1"/>
        <v>85</v>
      </c>
      <c r="B86" s="976" t="s">
        <v>1919</v>
      </c>
      <c r="C86" s="976" t="s">
        <v>1958</v>
      </c>
      <c r="D86" s="976" t="s">
        <v>1340</v>
      </c>
      <c r="E86" s="976"/>
      <c r="F86" s="1024">
        <v>28000000</v>
      </c>
      <c r="G86" s="1046">
        <v>44124</v>
      </c>
      <c r="H86" s="1029" t="s">
        <v>1983</v>
      </c>
      <c r="I86" s="976" t="s">
        <v>1995</v>
      </c>
      <c r="J86" s="686" t="s">
        <v>2039</v>
      </c>
    </row>
    <row r="87" spans="1:10" x14ac:dyDescent="0.25">
      <c r="A87" s="1187">
        <f t="shared" si="1"/>
        <v>86</v>
      </c>
      <c r="B87" s="976" t="s">
        <v>1919</v>
      </c>
      <c r="C87" s="976" t="s">
        <v>1960</v>
      </c>
      <c r="D87" s="976" t="s">
        <v>1994</v>
      </c>
      <c r="E87" s="976"/>
      <c r="F87" s="1024">
        <v>6000000</v>
      </c>
      <c r="G87" s="1046">
        <v>44124</v>
      </c>
      <c r="H87" s="1029" t="s">
        <v>1983</v>
      </c>
      <c r="I87" s="976" t="s">
        <v>1995</v>
      </c>
      <c r="J87" s="686" t="s">
        <v>2040</v>
      </c>
    </row>
    <row r="88" spans="1:10" x14ac:dyDescent="0.25">
      <c r="A88" s="1187">
        <f t="shared" si="1"/>
        <v>87</v>
      </c>
      <c r="B88" s="976" t="s">
        <v>1919</v>
      </c>
      <c r="C88" s="976" t="s">
        <v>2041</v>
      </c>
      <c r="D88" s="972" t="s">
        <v>1306</v>
      </c>
      <c r="E88" s="976"/>
      <c r="F88" s="1029">
        <v>69000</v>
      </c>
      <c r="G88" s="1046">
        <v>44124</v>
      </c>
      <c r="H88" s="1029" t="s">
        <v>646</v>
      </c>
      <c r="I88" s="976" t="s">
        <v>2042</v>
      </c>
      <c r="J88" s="686" t="s">
        <v>1976</v>
      </c>
    </row>
    <row r="89" spans="1:10" x14ac:dyDescent="0.25">
      <c r="A89" s="1187">
        <f t="shared" si="1"/>
        <v>88</v>
      </c>
      <c r="B89" s="976" t="s">
        <v>1919</v>
      </c>
      <c r="C89" s="976" t="s">
        <v>2041</v>
      </c>
      <c r="D89" s="972" t="s">
        <v>2043</v>
      </c>
      <c r="E89" s="976"/>
      <c r="F89" s="1029">
        <v>100000</v>
      </c>
      <c r="G89" s="1046">
        <v>44124</v>
      </c>
      <c r="H89" s="1029" t="s">
        <v>646</v>
      </c>
      <c r="I89" s="976" t="s">
        <v>2044</v>
      </c>
      <c r="J89" s="686" t="s">
        <v>1976</v>
      </c>
    </row>
    <row r="90" spans="1:10" x14ac:dyDescent="0.25">
      <c r="A90" s="1187">
        <f t="shared" si="1"/>
        <v>89</v>
      </c>
      <c r="B90" s="976" t="s">
        <v>1919</v>
      </c>
      <c r="C90" s="976" t="s">
        <v>2045</v>
      </c>
      <c r="D90" s="972" t="s">
        <v>2032</v>
      </c>
      <c r="E90" s="976"/>
      <c r="F90" s="1029">
        <v>3068000</v>
      </c>
      <c r="G90" s="1046">
        <v>44124</v>
      </c>
      <c r="H90" s="1029" t="s">
        <v>646</v>
      </c>
      <c r="I90" s="976" t="s">
        <v>1975</v>
      </c>
      <c r="J90" s="686" t="s">
        <v>1976</v>
      </c>
    </row>
    <row r="91" spans="1:10" x14ac:dyDescent="0.25">
      <c r="A91" s="1187">
        <f t="shared" si="1"/>
        <v>90</v>
      </c>
      <c r="B91" s="976" t="s">
        <v>1919</v>
      </c>
      <c r="C91" s="976" t="s">
        <v>2046</v>
      </c>
      <c r="D91" s="972" t="s">
        <v>2047</v>
      </c>
      <c r="E91" s="976"/>
      <c r="F91" s="1029">
        <v>350000</v>
      </c>
      <c r="G91" s="1046">
        <v>44124</v>
      </c>
      <c r="H91" s="1029" t="s">
        <v>646</v>
      </c>
      <c r="I91" s="976" t="s">
        <v>1936</v>
      </c>
      <c r="J91" s="686" t="s">
        <v>2048</v>
      </c>
    </row>
    <row r="92" spans="1:10" x14ac:dyDescent="0.25">
      <c r="A92" s="1187">
        <f t="shared" si="1"/>
        <v>91</v>
      </c>
      <c r="B92" s="976" t="s">
        <v>1919</v>
      </c>
      <c r="C92" s="976" t="s">
        <v>2049</v>
      </c>
      <c r="D92" s="972" t="s">
        <v>2050</v>
      </c>
      <c r="E92" s="976"/>
      <c r="F92" s="1029">
        <v>500000</v>
      </c>
      <c r="G92" s="1046">
        <v>44125</v>
      </c>
      <c r="H92" s="1029" t="s">
        <v>642</v>
      </c>
      <c r="I92" s="976" t="s">
        <v>2051</v>
      </c>
      <c r="J92" s="686" t="s">
        <v>1986</v>
      </c>
    </row>
    <row r="93" spans="1:10" ht="60" x14ac:dyDescent="0.25">
      <c r="A93" s="1187">
        <f t="shared" si="1"/>
        <v>92</v>
      </c>
      <c r="B93" s="976" t="s">
        <v>1919</v>
      </c>
      <c r="C93" s="1087" t="s">
        <v>2052</v>
      </c>
      <c r="D93" s="972" t="s">
        <v>1306</v>
      </c>
      <c r="E93" s="976"/>
      <c r="F93" s="1029">
        <v>10773120</v>
      </c>
      <c r="G93" s="1046">
        <v>44126</v>
      </c>
      <c r="H93" s="1029" t="s">
        <v>642</v>
      </c>
      <c r="I93" s="976" t="s">
        <v>1995</v>
      </c>
      <c r="J93" s="686" t="s">
        <v>2053</v>
      </c>
    </row>
    <row r="94" spans="1:10" x14ac:dyDescent="0.25">
      <c r="A94" s="1187">
        <f t="shared" si="1"/>
        <v>93</v>
      </c>
      <c r="B94" s="976" t="s">
        <v>1919</v>
      </c>
      <c r="C94" s="976" t="s">
        <v>2054</v>
      </c>
      <c r="D94" s="972" t="s">
        <v>2055</v>
      </c>
      <c r="E94" s="976"/>
      <c r="F94" s="1029">
        <v>3500000</v>
      </c>
      <c r="G94" s="1046">
        <v>44127</v>
      </c>
      <c r="H94" s="1029" t="s">
        <v>630</v>
      </c>
      <c r="I94" s="976" t="s">
        <v>1979</v>
      </c>
      <c r="J94" s="686" t="s">
        <v>2056</v>
      </c>
    </row>
    <row r="95" spans="1:10" x14ac:dyDescent="0.25">
      <c r="A95" s="1187">
        <f t="shared" si="1"/>
        <v>94</v>
      </c>
      <c r="B95" s="976" t="s">
        <v>1919</v>
      </c>
      <c r="C95" s="976" t="s">
        <v>2057</v>
      </c>
      <c r="D95" s="972" t="s">
        <v>2058</v>
      </c>
      <c r="E95" s="976"/>
      <c r="F95" s="1029">
        <v>1100000</v>
      </c>
      <c r="G95" s="1046">
        <v>44127</v>
      </c>
      <c r="H95" s="1029" t="s">
        <v>642</v>
      </c>
      <c r="I95" s="976" t="s">
        <v>1936</v>
      </c>
      <c r="J95" s="686" t="s">
        <v>2048</v>
      </c>
    </row>
    <row r="96" spans="1:10" x14ac:dyDescent="0.25">
      <c r="A96" s="1187">
        <f t="shared" si="1"/>
        <v>95</v>
      </c>
      <c r="B96" s="976" t="s">
        <v>1919</v>
      </c>
      <c r="C96" s="976" t="s">
        <v>2059</v>
      </c>
      <c r="D96" s="972" t="s">
        <v>1306</v>
      </c>
      <c r="E96" s="976"/>
      <c r="F96" s="1029">
        <v>440000</v>
      </c>
      <c r="G96" s="1046">
        <v>44127</v>
      </c>
      <c r="H96" s="1029" t="s">
        <v>642</v>
      </c>
      <c r="I96" s="976" t="s">
        <v>1990</v>
      </c>
      <c r="J96" s="686" t="s">
        <v>2060</v>
      </c>
    </row>
    <row r="97" spans="1:10" x14ac:dyDescent="0.25">
      <c r="A97" s="1187">
        <f t="shared" si="1"/>
        <v>96</v>
      </c>
      <c r="B97" s="976" t="s">
        <v>1919</v>
      </c>
      <c r="C97" s="976" t="s">
        <v>2061</v>
      </c>
      <c r="D97" s="972" t="s">
        <v>2062</v>
      </c>
      <c r="E97" s="976"/>
      <c r="F97" s="1029">
        <v>13122</v>
      </c>
      <c r="G97" s="1046">
        <v>44127</v>
      </c>
      <c r="H97" s="1029" t="s">
        <v>1983</v>
      </c>
      <c r="I97" s="976" t="s">
        <v>2029</v>
      </c>
      <c r="J97" s="686" t="s">
        <v>2063</v>
      </c>
    </row>
    <row r="98" spans="1:10" x14ac:dyDescent="0.25">
      <c r="A98" s="1187">
        <f t="shared" si="1"/>
        <v>97</v>
      </c>
      <c r="B98" s="976" t="s">
        <v>1919</v>
      </c>
      <c r="C98" s="976" t="s">
        <v>2064</v>
      </c>
      <c r="D98" s="972" t="s">
        <v>2065</v>
      </c>
      <c r="E98" s="976"/>
      <c r="F98" s="1029">
        <v>100000</v>
      </c>
      <c r="G98" s="1046">
        <v>44127</v>
      </c>
      <c r="H98" s="1029" t="s">
        <v>630</v>
      </c>
      <c r="I98" s="976" t="s">
        <v>1340</v>
      </c>
      <c r="J98" s="686" t="s">
        <v>1986</v>
      </c>
    </row>
    <row r="99" spans="1:10" x14ac:dyDescent="0.25">
      <c r="A99" s="1187">
        <f t="shared" si="1"/>
        <v>98</v>
      </c>
      <c r="B99" s="976" t="s">
        <v>1919</v>
      </c>
      <c r="C99" s="976" t="s">
        <v>2066</v>
      </c>
      <c r="D99" s="972" t="s">
        <v>2067</v>
      </c>
      <c r="E99" s="976"/>
      <c r="F99" s="1029">
        <v>3518000</v>
      </c>
      <c r="G99" s="1046">
        <v>44128</v>
      </c>
      <c r="H99" s="1029" t="s">
        <v>642</v>
      </c>
      <c r="I99" s="976" t="s">
        <v>1995</v>
      </c>
      <c r="J99" s="686" t="s">
        <v>2060</v>
      </c>
    </row>
    <row r="100" spans="1:10" x14ac:dyDescent="0.25">
      <c r="A100" s="1187">
        <f t="shared" si="1"/>
        <v>99</v>
      </c>
      <c r="B100" s="976" t="s">
        <v>1919</v>
      </c>
      <c r="C100" s="976" t="s">
        <v>2068</v>
      </c>
      <c r="D100" s="972" t="s">
        <v>1340</v>
      </c>
      <c r="E100" s="976"/>
      <c r="F100" s="1029">
        <v>3000000</v>
      </c>
      <c r="G100" s="1046">
        <v>44130</v>
      </c>
      <c r="H100" s="1029" t="s">
        <v>642</v>
      </c>
      <c r="I100" s="976" t="s">
        <v>1340</v>
      </c>
      <c r="J100" s="686" t="s">
        <v>2053</v>
      </c>
    </row>
    <row r="101" spans="1:10" x14ac:dyDescent="0.25">
      <c r="A101" s="1187">
        <f t="shared" si="1"/>
        <v>100</v>
      </c>
      <c r="B101" s="976" t="s">
        <v>1919</v>
      </c>
      <c r="C101" s="976" t="s">
        <v>2069</v>
      </c>
      <c r="D101" s="972" t="s">
        <v>2070</v>
      </c>
      <c r="E101" s="976"/>
      <c r="F101" s="1029">
        <v>57000</v>
      </c>
      <c r="G101" s="1046">
        <v>44130</v>
      </c>
      <c r="H101" s="1029" t="s">
        <v>642</v>
      </c>
      <c r="I101" s="976" t="s">
        <v>1995</v>
      </c>
      <c r="J101" s="686" t="s">
        <v>2033</v>
      </c>
    </row>
    <row r="102" spans="1:10" x14ac:dyDescent="0.25">
      <c r="A102" s="1187">
        <f t="shared" si="1"/>
        <v>101</v>
      </c>
      <c r="B102" s="976" t="s">
        <v>1919</v>
      </c>
      <c r="C102" s="976" t="s">
        <v>2071</v>
      </c>
      <c r="D102" s="972" t="s">
        <v>1306</v>
      </c>
      <c r="E102" s="976"/>
      <c r="F102" s="1029">
        <v>350000</v>
      </c>
      <c r="G102" s="1046">
        <v>44130</v>
      </c>
      <c r="H102" s="1029" t="s">
        <v>642</v>
      </c>
      <c r="I102" s="976" t="s">
        <v>2042</v>
      </c>
      <c r="J102" s="686" t="s">
        <v>2072</v>
      </c>
    </row>
    <row r="103" spans="1:10" x14ac:dyDescent="0.25">
      <c r="A103" s="1187">
        <f t="shared" si="1"/>
        <v>102</v>
      </c>
      <c r="B103" s="976" t="s">
        <v>1919</v>
      </c>
      <c r="C103" s="976" t="s">
        <v>2073</v>
      </c>
      <c r="D103" s="972" t="s">
        <v>1306</v>
      </c>
      <c r="E103" s="976"/>
      <c r="F103" s="1029">
        <v>12090000</v>
      </c>
      <c r="G103" s="1046">
        <v>44130</v>
      </c>
      <c r="H103" s="1029" t="s">
        <v>630</v>
      </c>
      <c r="I103" s="976" t="s">
        <v>1340</v>
      </c>
      <c r="J103" s="686" t="s">
        <v>1986</v>
      </c>
    </row>
    <row r="104" spans="1:10" x14ac:dyDescent="0.25">
      <c r="A104" s="1187">
        <f t="shared" si="1"/>
        <v>103</v>
      </c>
      <c r="B104" s="976" t="s">
        <v>1919</v>
      </c>
      <c r="C104" s="976" t="s">
        <v>2074</v>
      </c>
      <c r="D104" s="972" t="s">
        <v>1306</v>
      </c>
      <c r="E104" s="976"/>
      <c r="F104" s="1029">
        <v>100000</v>
      </c>
      <c r="G104" s="1046">
        <v>44131</v>
      </c>
      <c r="H104" s="1029" t="s">
        <v>642</v>
      </c>
      <c r="I104" s="976" t="s">
        <v>1995</v>
      </c>
      <c r="J104" s="686" t="s">
        <v>2075</v>
      </c>
    </row>
    <row r="105" spans="1:10" x14ac:dyDescent="0.25">
      <c r="A105" s="1187">
        <f t="shared" si="1"/>
        <v>104</v>
      </c>
      <c r="B105" s="976" t="s">
        <v>1919</v>
      </c>
      <c r="C105" s="976" t="s">
        <v>2076</v>
      </c>
      <c r="D105" s="972" t="s">
        <v>2077</v>
      </c>
      <c r="E105" s="976"/>
      <c r="F105" s="1029">
        <v>20000000</v>
      </c>
      <c r="G105" s="1046">
        <v>44132</v>
      </c>
      <c r="H105" s="1029" t="s">
        <v>630</v>
      </c>
      <c r="I105" s="976" t="s">
        <v>1340</v>
      </c>
      <c r="J105" s="686" t="s">
        <v>1986</v>
      </c>
    </row>
    <row r="106" spans="1:10" x14ac:dyDescent="0.25">
      <c r="A106" s="1187">
        <f t="shared" si="1"/>
        <v>105</v>
      </c>
      <c r="B106" s="976" t="s">
        <v>1919</v>
      </c>
      <c r="C106" s="976" t="s">
        <v>2078</v>
      </c>
      <c r="D106" s="972" t="s">
        <v>1306</v>
      </c>
      <c r="E106" s="976"/>
      <c r="F106" s="1029">
        <v>400000</v>
      </c>
      <c r="G106" s="1046">
        <v>44133</v>
      </c>
      <c r="H106" s="1029" t="s">
        <v>630</v>
      </c>
      <c r="I106" s="976" t="s">
        <v>1340</v>
      </c>
      <c r="J106" s="686" t="s">
        <v>1986</v>
      </c>
    </row>
    <row r="107" spans="1:10" x14ac:dyDescent="0.25">
      <c r="A107" s="1187">
        <f t="shared" si="1"/>
        <v>106</v>
      </c>
      <c r="B107" s="976" t="s">
        <v>1919</v>
      </c>
      <c r="C107" s="976" t="s">
        <v>2079</v>
      </c>
      <c r="D107" s="972" t="s">
        <v>1978</v>
      </c>
      <c r="E107" s="976"/>
      <c r="F107" s="1029">
        <v>1890000</v>
      </c>
      <c r="G107" s="1046">
        <v>44134</v>
      </c>
      <c r="H107" s="1029" t="s">
        <v>642</v>
      </c>
      <c r="I107" s="976" t="s">
        <v>1979</v>
      </c>
      <c r="J107" s="686" t="s">
        <v>1980</v>
      </c>
    </row>
    <row r="108" spans="1:10" x14ac:dyDescent="0.25">
      <c r="A108" s="1187">
        <f t="shared" si="1"/>
        <v>107</v>
      </c>
      <c r="B108" s="976" t="s">
        <v>1919</v>
      </c>
      <c r="C108" s="976" t="s">
        <v>2080</v>
      </c>
      <c r="D108" s="972" t="s">
        <v>1306</v>
      </c>
      <c r="E108" s="976"/>
      <c r="F108" s="1029">
        <v>365000</v>
      </c>
      <c r="G108" s="1046">
        <v>44134</v>
      </c>
      <c r="H108" s="1029" t="s">
        <v>642</v>
      </c>
      <c r="I108" s="976" t="s">
        <v>1979</v>
      </c>
      <c r="J108" s="686" t="s">
        <v>1986</v>
      </c>
    </row>
    <row r="109" spans="1:10" x14ac:dyDescent="0.25">
      <c r="A109" s="1187">
        <f t="shared" si="1"/>
        <v>108</v>
      </c>
      <c r="B109" s="976" t="s">
        <v>1919</v>
      </c>
      <c r="C109" s="976" t="s">
        <v>2081</v>
      </c>
      <c r="D109" s="972" t="s">
        <v>2082</v>
      </c>
      <c r="E109" s="976"/>
      <c r="F109" s="1029">
        <v>196000</v>
      </c>
      <c r="G109" s="1046">
        <v>44134</v>
      </c>
      <c r="H109" s="1029" t="s">
        <v>642</v>
      </c>
      <c r="I109" s="976" t="s">
        <v>2029</v>
      </c>
      <c r="J109" s="686" t="s">
        <v>2004</v>
      </c>
    </row>
    <row r="110" spans="1:10" x14ac:dyDescent="0.25">
      <c r="A110" s="1187">
        <f t="shared" si="1"/>
        <v>109</v>
      </c>
      <c r="B110" s="976" t="s">
        <v>1919</v>
      </c>
      <c r="C110" s="976" t="s">
        <v>2083</v>
      </c>
      <c r="D110" s="972" t="s">
        <v>1160</v>
      </c>
      <c r="E110" s="976"/>
      <c r="F110" s="1029">
        <v>101500000</v>
      </c>
      <c r="G110" s="1046">
        <v>44134</v>
      </c>
      <c r="H110" s="1029" t="s">
        <v>630</v>
      </c>
      <c r="I110" s="976" t="s">
        <v>1979</v>
      </c>
      <c r="J110" s="686" t="s">
        <v>2053</v>
      </c>
    </row>
    <row r="111" spans="1:10" x14ac:dyDescent="0.25">
      <c r="A111" s="1187">
        <f t="shared" si="1"/>
        <v>110</v>
      </c>
      <c r="B111" s="976" t="s">
        <v>2084</v>
      </c>
      <c r="C111" s="976" t="s">
        <v>2085</v>
      </c>
      <c r="D111" s="972" t="s">
        <v>1306</v>
      </c>
      <c r="E111" s="976"/>
      <c r="F111" s="1029">
        <v>330000</v>
      </c>
      <c r="G111" s="1046">
        <v>44134</v>
      </c>
      <c r="H111" s="1029" t="s">
        <v>642</v>
      </c>
      <c r="I111" s="976" t="s">
        <v>1979</v>
      </c>
      <c r="J111" s="686" t="s">
        <v>1986</v>
      </c>
    </row>
    <row r="112" spans="1:10" x14ac:dyDescent="0.25">
      <c r="A112" s="1187">
        <f t="shared" si="1"/>
        <v>111</v>
      </c>
      <c r="B112" s="976" t="s">
        <v>1919</v>
      </c>
      <c r="C112" s="976" t="s">
        <v>2086</v>
      </c>
      <c r="D112" s="972" t="s">
        <v>1306</v>
      </c>
      <c r="E112" s="976"/>
      <c r="F112" s="1029">
        <v>101000</v>
      </c>
      <c r="G112" s="1046">
        <v>44134</v>
      </c>
      <c r="H112" s="1029" t="s">
        <v>630</v>
      </c>
      <c r="I112" s="976" t="s">
        <v>1979</v>
      </c>
      <c r="J112" s="686" t="s">
        <v>2087</v>
      </c>
    </row>
    <row r="113" spans="1:10" x14ac:dyDescent="0.25">
      <c r="A113" s="1187">
        <f t="shared" si="1"/>
        <v>112</v>
      </c>
      <c r="B113" s="976" t="s">
        <v>1919</v>
      </c>
      <c r="C113" s="976" t="s">
        <v>2088</v>
      </c>
      <c r="D113" s="972" t="s">
        <v>2089</v>
      </c>
      <c r="E113" s="976"/>
      <c r="F113" s="1029">
        <v>4000000</v>
      </c>
      <c r="G113" s="1046">
        <v>44134</v>
      </c>
      <c r="H113" s="1029" t="s">
        <v>630</v>
      </c>
      <c r="I113" s="976" t="s">
        <v>1979</v>
      </c>
      <c r="J113" s="686" t="s">
        <v>1986</v>
      </c>
    </row>
    <row r="114" spans="1:10" x14ac:dyDescent="0.25">
      <c r="A114" s="1187">
        <f t="shared" si="1"/>
        <v>113</v>
      </c>
      <c r="B114" s="976" t="s">
        <v>1919</v>
      </c>
      <c r="C114" s="976" t="s">
        <v>2090</v>
      </c>
      <c r="D114" s="972" t="s">
        <v>2091</v>
      </c>
      <c r="E114" s="976"/>
      <c r="F114" s="1029">
        <v>2585000</v>
      </c>
      <c r="G114" s="1046">
        <v>44137</v>
      </c>
      <c r="H114" s="1029" t="s">
        <v>630</v>
      </c>
      <c r="I114" s="976" t="s">
        <v>2092</v>
      </c>
      <c r="J114" s="686" t="s">
        <v>2072</v>
      </c>
    </row>
    <row r="115" spans="1:10" x14ac:dyDescent="0.25">
      <c r="A115" s="1187">
        <f t="shared" si="1"/>
        <v>114</v>
      </c>
      <c r="B115" s="976" t="s">
        <v>1919</v>
      </c>
      <c r="C115" s="972" t="s">
        <v>2093</v>
      </c>
      <c r="D115" s="976" t="s">
        <v>1994</v>
      </c>
      <c r="E115" s="976"/>
      <c r="F115" s="1029">
        <v>14000000</v>
      </c>
      <c r="G115" s="1046">
        <v>44139</v>
      </c>
      <c r="H115" s="1029" t="s">
        <v>630</v>
      </c>
      <c r="I115" s="976" t="s">
        <v>1995</v>
      </c>
      <c r="J115" s="686" t="s">
        <v>1996</v>
      </c>
    </row>
    <row r="116" spans="1:10" x14ac:dyDescent="0.25">
      <c r="A116" s="1187">
        <f t="shared" si="1"/>
        <v>115</v>
      </c>
      <c r="B116" s="976" t="s">
        <v>1919</v>
      </c>
      <c r="C116" s="976" t="s">
        <v>1989</v>
      </c>
      <c r="D116" s="976" t="s">
        <v>1306</v>
      </c>
      <c r="E116" s="976"/>
      <c r="F116" s="1029">
        <v>200000</v>
      </c>
      <c r="G116" s="1046">
        <v>44139</v>
      </c>
      <c r="H116" s="1029" t="s">
        <v>630</v>
      </c>
      <c r="I116" s="976" t="s">
        <v>1990</v>
      </c>
      <c r="J116" s="686" t="s">
        <v>2060</v>
      </c>
    </row>
    <row r="117" spans="1:10" x14ac:dyDescent="0.25">
      <c r="A117" s="1187">
        <f t="shared" si="1"/>
        <v>116</v>
      </c>
      <c r="B117" s="976" t="s">
        <v>1919</v>
      </c>
      <c r="C117" s="976" t="s">
        <v>2094</v>
      </c>
      <c r="D117" s="972" t="s">
        <v>2095</v>
      </c>
      <c r="E117" s="976"/>
      <c r="F117" s="1029">
        <v>425547</v>
      </c>
      <c r="G117" s="1046">
        <v>44139</v>
      </c>
      <c r="H117" s="1029" t="s">
        <v>1983</v>
      </c>
      <c r="I117" s="976" t="s">
        <v>1979</v>
      </c>
      <c r="J117" s="686" t="s">
        <v>2096</v>
      </c>
    </row>
    <row r="118" spans="1:10" x14ac:dyDescent="0.25">
      <c r="A118" s="1187">
        <f t="shared" si="1"/>
        <v>117</v>
      </c>
      <c r="B118" s="976" t="s">
        <v>1919</v>
      </c>
      <c r="C118" s="976" t="s">
        <v>2097</v>
      </c>
      <c r="D118" s="972" t="s">
        <v>2095</v>
      </c>
      <c r="E118" s="976"/>
      <c r="F118" s="1029">
        <v>142313</v>
      </c>
      <c r="G118" s="1046">
        <v>44139</v>
      </c>
      <c r="H118" s="1029" t="s">
        <v>1983</v>
      </c>
      <c r="I118" s="976" t="s">
        <v>1979</v>
      </c>
      <c r="J118" s="686" t="s">
        <v>2096</v>
      </c>
    </row>
    <row r="119" spans="1:10" x14ac:dyDescent="0.25">
      <c r="A119" s="1187">
        <f t="shared" si="1"/>
        <v>118</v>
      </c>
      <c r="B119" s="976" t="s">
        <v>1919</v>
      </c>
      <c r="C119" s="972" t="s">
        <v>2098</v>
      </c>
      <c r="D119" s="976" t="s">
        <v>1982</v>
      </c>
      <c r="E119" s="976"/>
      <c r="F119" s="1029">
        <v>3649360</v>
      </c>
      <c r="G119" s="1046">
        <v>44139</v>
      </c>
      <c r="H119" s="1029" t="s">
        <v>1983</v>
      </c>
      <c r="I119" s="976" t="s">
        <v>1979</v>
      </c>
      <c r="J119" s="686" t="s">
        <v>1984</v>
      </c>
    </row>
    <row r="120" spans="1:10" x14ac:dyDescent="0.25">
      <c r="A120" s="1187">
        <f t="shared" si="1"/>
        <v>119</v>
      </c>
      <c r="B120" s="976" t="s">
        <v>1919</v>
      </c>
      <c r="C120" s="976" t="s">
        <v>2079</v>
      </c>
      <c r="D120" s="972" t="s">
        <v>2099</v>
      </c>
      <c r="E120" s="976"/>
      <c r="F120" s="1029">
        <v>345000</v>
      </c>
      <c r="G120" s="1046">
        <v>44139</v>
      </c>
      <c r="H120" s="1029" t="s">
        <v>642</v>
      </c>
      <c r="I120" s="976" t="s">
        <v>1979</v>
      </c>
      <c r="J120" s="686" t="s">
        <v>1980</v>
      </c>
    </row>
    <row r="121" spans="1:10" x14ac:dyDescent="0.25">
      <c r="A121" s="1187">
        <f t="shared" si="1"/>
        <v>120</v>
      </c>
      <c r="B121" s="976" t="s">
        <v>1919</v>
      </c>
      <c r="C121" s="972" t="s">
        <v>1987</v>
      </c>
      <c r="D121" s="976" t="s">
        <v>1988</v>
      </c>
      <c r="E121" s="976"/>
      <c r="F121" s="1029">
        <v>500000</v>
      </c>
      <c r="G121" s="1046">
        <v>44139</v>
      </c>
      <c r="H121" s="1029" t="s">
        <v>642</v>
      </c>
      <c r="I121" s="976" t="s">
        <v>1979</v>
      </c>
      <c r="J121" s="686" t="s">
        <v>2100</v>
      </c>
    </row>
    <row r="122" spans="1:10" x14ac:dyDescent="0.25">
      <c r="A122" s="1187">
        <f t="shared" si="1"/>
        <v>121</v>
      </c>
      <c r="B122" s="976" t="s">
        <v>1919</v>
      </c>
      <c r="C122" s="972" t="s">
        <v>1997</v>
      </c>
      <c r="D122" s="976" t="s">
        <v>1998</v>
      </c>
      <c r="E122" s="1029">
        <v>706100</v>
      </c>
      <c r="F122" s="1029">
        <v>1289150</v>
      </c>
      <c r="G122" s="1046">
        <v>44141</v>
      </c>
      <c r="H122" s="976" t="s">
        <v>1983</v>
      </c>
      <c r="I122" s="976" t="s">
        <v>1995</v>
      </c>
      <c r="J122" s="686" t="s">
        <v>1999</v>
      </c>
    </row>
    <row r="123" spans="1:10" x14ac:dyDescent="0.25">
      <c r="A123" s="1187">
        <f t="shared" si="1"/>
        <v>122</v>
      </c>
      <c r="B123" s="976" t="s">
        <v>1919</v>
      </c>
      <c r="C123" s="972" t="s">
        <v>2101</v>
      </c>
      <c r="D123" s="976" t="s">
        <v>1577</v>
      </c>
      <c r="E123" s="1029"/>
      <c r="F123" s="1029">
        <v>374000</v>
      </c>
      <c r="G123" s="1046">
        <v>44141</v>
      </c>
      <c r="H123" s="976" t="s">
        <v>1983</v>
      </c>
      <c r="I123" s="976" t="s">
        <v>1594</v>
      </c>
      <c r="J123" s="686" t="s">
        <v>2060</v>
      </c>
    </row>
    <row r="124" spans="1:10" x14ac:dyDescent="0.25">
      <c r="A124" s="1187">
        <f t="shared" si="1"/>
        <v>123</v>
      </c>
      <c r="B124" s="976" t="s">
        <v>1919</v>
      </c>
      <c r="C124" s="972" t="s">
        <v>2102</v>
      </c>
      <c r="D124" s="976" t="s">
        <v>662</v>
      </c>
      <c r="E124" s="1029"/>
      <c r="F124" s="1029">
        <v>1000000</v>
      </c>
      <c r="G124" s="1046">
        <v>44141</v>
      </c>
      <c r="H124" s="976" t="s">
        <v>646</v>
      </c>
      <c r="I124" s="976" t="s">
        <v>1979</v>
      </c>
      <c r="J124" s="686" t="s">
        <v>2053</v>
      </c>
    </row>
    <row r="125" spans="1:10" x14ac:dyDescent="0.25">
      <c r="A125" s="1187">
        <f t="shared" si="1"/>
        <v>124</v>
      </c>
      <c r="B125" s="976" t="s">
        <v>1919</v>
      </c>
      <c r="C125" s="972" t="s">
        <v>2103</v>
      </c>
      <c r="D125" s="976" t="s">
        <v>1306</v>
      </c>
      <c r="E125" s="1029"/>
      <c r="F125" s="1029">
        <v>300000</v>
      </c>
      <c r="G125" s="1046">
        <v>44141</v>
      </c>
      <c r="H125" s="976" t="s">
        <v>642</v>
      </c>
      <c r="I125" s="976" t="s">
        <v>1979</v>
      </c>
      <c r="J125" s="686" t="s">
        <v>2053</v>
      </c>
    </row>
    <row r="126" spans="1:10" x14ac:dyDescent="0.25">
      <c r="A126" s="1187">
        <f t="shared" si="1"/>
        <v>125</v>
      </c>
      <c r="B126" s="976" t="s">
        <v>1919</v>
      </c>
      <c r="C126" s="972" t="s">
        <v>2104</v>
      </c>
      <c r="D126" s="976" t="s">
        <v>2105</v>
      </c>
      <c r="E126" s="1029"/>
      <c r="F126" s="1029">
        <v>5000000</v>
      </c>
      <c r="G126" s="1046">
        <v>44151</v>
      </c>
      <c r="H126" s="976" t="s">
        <v>646</v>
      </c>
      <c r="I126" s="976" t="s">
        <v>2042</v>
      </c>
      <c r="J126" s="686" t="s">
        <v>1986</v>
      </c>
    </row>
    <row r="127" spans="1:10" x14ac:dyDescent="0.25">
      <c r="A127" s="1187">
        <f t="shared" si="1"/>
        <v>126</v>
      </c>
      <c r="B127" s="976" t="s">
        <v>1919</v>
      </c>
      <c r="C127" s="972" t="s">
        <v>2106</v>
      </c>
      <c r="D127" s="976" t="s">
        <v>2107</v>
      </c>
      <c r="E127" s="1029"/>
      <c r="F127" s="1029">
        <v>5497333</v>
      </c>
      <c r="G127" s="1046">
        <v>44152</v>
      </c>
      <c r="H127" s="976" t="s">
        <v>1983</v>
      </c>
      <c r="I127" s="976" t="s">
        <v>1979</v>
      </c>
      <c r="J127" s="686" t="s">
        <v>2108</v>
      </c>
    </row>
    <row r="128" spans="1:10" x14ac:dyDescent="0.25">
      <c r="A128" s="1187">
        <f t="shared" si="1"/>
        <v>127</v>
      </c>
      <c r="B128" s="976" t="s">
        <v>1919</v>
      </c>
      <c r="C128" s="972" t="s">
        <v>2109</v>
      </c>
      <c r="D128" s="976" t="s">
        <v>2107</v>
      </c>
      <c r="E128" s="1029"/>
      <c r="F128" s="1029">
        <v>369722</v>
      </c>
      <c r="G128" s="1046">
        <v>44152</v>
      </c>
      <c r="H128" s="976" t="s">
        <v>642</v>
      </c>
      <c r="I128" s="976" t="s">
        <v>1979</v>
      </c>
      <c r="J128" s="686" t="s">
        <v>2108</v>
      </c>
    </row>
    <row r="129" spans="1:10" x14ac:dyDescent="0.25">
      <c r="A129" s="1187">
        <f t="shared" si="1"/>
        <v>128</v>
      </c>
      <c r="B129" s="976" t="s">
        <v>1919</v>
      </c>
      <c r="C129" s="972" t="s">
        <v>2110</v>
      </c>
      <c r="D129" s="976" t="s">
        <v>2111</v>
      </c>
      <c r="E129" s="1029"/>
      <c r="F129" s="1029">
        <v>9580000</v>
      </c>
      <c r="G129" s="1046">
        <v>44152</v>
      </c>
      <c r="H129" s="976" t="s">
        <v>1983</v>
      </c>
      <c r="I129" s="976" t="s">
        <v>1979</v>
      </c>
      <c r="J129" s="686" t="s">
        <v>2112</v>
      </c>
    </row>
    <row r="130" spans="1:10" x14ac:dyDescent="0.25">
      <c r="A130" s="1187">
        <f t="shared" si="1"/>
        <v>129</v>
      </c>
      <c r="B130" s="976" t="s">
        <v>1919</v>
      </c>
      <c r="C130" s="972" t="s">
        <v>2113</v>
      </c>
      <c r="D130" s="976" t="s">
        <v>1306</v>
      </c>
      <c r="E130" s="1029"/>
      <c r="F130" s="1029">
        <v>61000</v>
      </c>
      <c r="G130" s="1046">
        <v>44152</v>
      </c>
      <c r="H130" s="976" t="s">
        <v>642</v>
      </c>
      <c r="I130" s="976" t="s">
        <v>1979</v>
      </c>
      <c r="J130" s="686" t="s">
        <v>2112</v>
      </c>
    </row>
    <row r="131" spans="1:10" x14ac:dyDescent="0.25">
      <c r="A131" s="1187">
        <f t="shared" si="1"/>
        <v>130</v>
      </c>
      <c r="B131" s="976" t="s">
        <v>1919</v>
      </c>
      <c r="C131" s="972" t="s">
        <v>2114</v>
      </c>
      <c r="D131" s="976" t="s">
        <v>1306</v>
      </c>
      <c r="E131" s="1029"/>
      <c r="F131" s="1029">
        <v>530000</v>
      </c>
      <c r="G131" s="1046">
        <v>44152</v>
      </c>
      <c r="H131" s="976" t="s">
        <v>642</v>
      </c>
      <c r="I131" s="976" t="s">
        <v>1979</v>
      </c>
      <c r="J131" s="686" t="s">
        <v>2053</v>
      </c>
    </row>
    <row r="132" spans="1:10" x14ac:dyDescent="0.25">
      <c r="A132" s="1187">
        <f t="shared" ref="A132:A183" si="2">1+A131</f>
        <v>131</v>
      </c>
      <c r="B132" s="976" t="s">
        <v>1919</v>
      </c>
      <c r="C132" s="972" t="s">
        <v>2115</v>
      </c>
      <c r="D132" s="976" t="s">
        <v>1306</v>
      </c>
      <c r="E132" s="1029"/>
      <c r="F132" s="1029">
        <v>668000</v>
      </c>
      <c r="G132" s="1046">
        <v>44153</v>
      </c>
      <c r="H132" s="976" t="s">
        <v>642</v>
      </c>
      <c r="I132" s="976" t="s">
        <v>1995</v>
      </c>
      <c r="J132" s="686" t="s">
        <v>2005</v>
      </c>
    </row>
    <row r="133" spans="1:10" x14ac:dyDescent="0.25">
      <c r="A133" s="1187">
        <f t="shared" si="2"/>
        <v>132</v>
      </c>
      <c r="B133" s="976" t="s">
        <v>1919</v>
      </c>
      <c r="C133" s="972" t="s">
        <v>2116</v>
      </c>
      <c r="D133" s="976" t="s">
        <v>1306</v>
      </c>
      <c r="E133" s="1029"/>
      <c r="F133" s="1029">
        <v>270000</v>
      </c>
      <c r="G133" s="1046">
        <v>44155</v>
      </c>
      <c r="H133" s="976" t="s">
        <v>642</v>
      </c>
      <c r="I133" s="976" t="s">
        <v>1936</v>
      </c>
      <c r="J133" s="686" t="s">
        <v>2048</v>
      </c>
    </row>
    <row r="134" spans="1:10" x14ac:dyDescent="0.25">
      <c r="A134" s="1187">
        <f t="shared" si="2"/>
        <v>133</v>
      </c>
      <c r="B134" s="976" t="s">
        <v>1919</v>
      </c>
      <c r="C134" s="976" t="s">
        <v>2117</v>
      </c>
      <c r="D134" s="972" t="s">
        <v>1306</v>
      </c>
      <c r="E134" s="976"/>
      <c r="F134" s="1029">
        <v>100000</v>
      </c>
      <c r="G134" s="1046">
        <v>44159</v>
      </c>
      <c r="H134" s="976" t="s">
        <v>642</v>
      </c>
      <c r="I134" s="976" t="s">
        <v>1995</v>
      </c>
      <c r="J134" s="686" t="s">
        <v>2075</v>
      </c>
    </row>
    <row r="135" spans="1:10" x14ac:dyDescent="0.25">
      <c r="A135" s="1187">
        <f t="shared" si="2"/>
        <v>134</v>
      </c>
      <c r="B135" s="976" t="s">
        <v>1919</v>
      </c>
      <c r="C135" s="976" t="s">
        <v>2118</v>
      </c>
      <c r="D135" s="972" t="s">
        <v>2095</v>
      </c>
      <c r="E135" s="1029"/>
      <c r="F135" s="1029">
        <v>226056</v>
      </c>
      <c r="G135" s="1046">
        <v>44161</v>
      </c>
      <c r="H135" s="976" t="s">
        <v>1983</v>
      </c>
      <c r="I135" s="976" t="s">
        <v>1995</v>
      </c>
      <c r="J135" s="686" t="s">
        <v>2096</v>
      </c>
    </row>
    <row r="136" spans="1:10" x14ac:dyDescent="0.25">
      <c r="A136" s="1187">
        <f t="shared" si="2"/>
        <v>135</v>
      </c>
      <c r="B136" s="976" t="s">
        <v>1919</v>
      </c>
      <c r="C136" s="972" t="s">
        <v>2119</v>
      </c>
      <c r="D136" s="976" t="s">
        <v>2047</v>
      </c>
      <c r="E136" s="1029"/>
      <c r="F136" s="1029">
        <v>8700000</v>
      </c>
      <c r="G136" s="1046">
        <v>44162</v>
      </c>
      <c r="H136" s="976" t="s">
        <v>630</v>
      </c>
      <c r="I136" s="976" t="s">
        <v>1936</v>
      </c>
      <c r="J136" s="686" t="s">
        <v>2060</v>
      </c>
    </row>
    <row r="137" spans="1:10" x14ac:dyDescent="0.25">
      <c r="A137" s="1187">
        <f t="shared" si="2"/>
        <v>136</v>
      </c>
      <c r="B137" s="976" t="s">
        <v>1919</v>
      </c>
      <c r="C137" s="972" t="s">
        <v>2120</v>
      </c>
      <c r="D137" s="976" t="s">
        <v>1306</v>
      </c>
      <c r="E137" s="1029"/>
      <c r="F137" s="1029">
        <v>440000</v>
      </c>
      <c r="G137" s="1046">
        <v>44162</v>
      </c>
      <c r="H137" s="976" t="s">
        <v>642</v>
      </c>
      <c r="I137" s="976" t="s">
        <v>1936</v>
      </c>
      <c r="J137" s="686" t="s">
        <v>2048</v>
      </c>
    </row>
    <row r="138" spans="1:10" x14ac:dyDescent="0.25">
      <c r="A138" s="1187">
        <f t="shared" si="2"/>
        <v>137</v>
      </c>
      <c r="B138" s="976" t="s">
        <v>1919</v>
      </c>
      <c r="C138" s="972" t="s">
        <v>2121</v>
      </c>
      <c r="D138" s="976" t="s">
        <v>2047</v>
      </c>
      <c r="E138" s="1029"/>
      <c r="F138" s="1029">
        <v>1250000</v>
      </c>
      <c r="G138" s="1046">
        <v>44166</v>
      </c>
      <c r="H138" s="976" t="s">
        <v>642</v>
      </c>
      <c r="I138" s="976" t="s">
        <v>1936</v>
      </c>
      <c r="J138" s="686" t="s">
        <v>2048</v>
      </c>
    </row>
    <row r="139" spans="1:10" x14ac:dyDescent="0.25">
      <c r="A139" s="1187">
        <f t="shared" si="2"/>
        <v>138</v>
      </c>
      <c r="B139" s="976" t="s">
        <v>1919</v>
      </c>
      <c r="C139" s="972" t="s">
        <v>2122</v>
      </c>
      <c r="D139" s="976" t="s">
        <v>2123</v>
      </c>
      <c r="E139" s="1029"/>
      <c r="F139" s="1029">
        <v>1501920</v>
      </c>
      <c r="G139" s="1046">
        <v>44166</v>
      </c>
      <c r="H139" s="976" t="s">
        <v>1983</v>
      </c>
      <c r="I139" s="976" t="s">
        <v>1936</v>
      </c>
      <c r="J139" s="686" t="s">
        <v>2024</v>
      </c>
    </row>
    <row r="140" spans="1:10" x14ac:dyDescent="0.25">
      <c r="A140" s="1187">
        <f t="shared" si="2"/>
        <v>139</v>
      </c>
      <c r="B140" s="976" t="s">
        <v>1919</v>
      </c>
      <c r="C140" s="972" t="s">
        <v>2124</v>
      </c>
      <c r="D140" s="976" t="s">
        <v>2125</v>
      </c>
      <c r="E140" s="1029"/>
      <c r="F140" s="1029">
        <v>550000</v>
      </c>
      <c r="G140" s="1046">
        <v>44168</v>
      </c>
      <c r="H140" s="976" t="s">
        <v>1983</v>
      </c>
      <c r="I140" s="976" t="s">
        <v>1594</v>
      </c>
      <c r="J140" s="686" t="s">
        <v>1986</v>
      </c>
    </row>
    <row r="141" spans="1:10" x14ac:dyDescent="0.25">
      <c r="A141" s="1187">
        <f t="shared" si="2"/>
        <v>140</v>
      </c>
      <c r="B141" s="976" t="s">
        <v>1919</v>
      </c>
      <c r="C141" s="976" t="s">
        <v>2126</v>
      </c>
      <c r="D141" s="976" t="s">
        <v>2089</v>
      </c>
      <c r="E141" s="1029"/>
      <c r="F141" s="1029">
        <v>3500000</v>
      </c>
      <c r="G141" s="1046">
        <v>44168</v>
      </c>
      <c r="H141" s="976" t="s">
        <v>630</v>
      </c>
      <c r="I141" s="976" t="s">
        <v>1979</v>
      </c>
      <c r="J141" s="686" t="s">
        <v>1986</v>
      </c>
    </row>
    <row r="142" spans="1:10" x14ac:dyDescent="0.25">
      <c r="A142" s="1187">
        <f t="shared" si="2"/>
        <v>141</v>
      </c>
      <c r="B142" s="976" t="s">
        <v>1919</v>
      </c>
      <c r="C142" s="976" t="s">
        <v>2127</v>
      </c>
      <c r="D142" s="972" t="s">
        <v>2099</v>
      </c>
      <c r="E142" s="1029"/>
      <c r="F142" s="1029">
        <v>2840000</v>
      </c>
      <c r="G142" s="1046">
        <v>44168</v>
      </c>
      <c r="H142" s="976" t="s">
        <v>642</v>
      </c>
      <c r="I142" s="976" t="s">
        <v>1979</v>
      </c>
      <c r="J142" s="686" t="s">
        <v>1980</v>
      </c>
    </row>
    <row r="143" spans="1:10" x14ac:dyDescent="0.25">
      <c r="A143" s="1187">
        <f t="shared" si="2"/>
        <v>142</v>
      </c>
      <c r="B143" s="976" t="s">
        <v>1919</v>
      </c>
      <c r="C143" s="972" t="s">
        <v>1816</v>
      </c>
      <c r="D143" s="976" t="s">
        <v>1306</v>
      </c>
      <c r="E143" s="1029"/>
      <c r="F143" s="1029">
        <v>240000</v>
      </c>
      <c r="G143" s="1046">
        <v>44168</v>
      </c>
      <c r="H143" s="976" t="s">
        <v>642</v>
      </c>
      <c r="I143" s="976" t="s">
        <v>2128</v>
      </c>
      <c r="J143" s="686" t="s">
        <v>2004</v>
      </c>
    </row>
    <row r="144" spans="1:10" x14ac:dyDescent="0.25">
      <c r="A144" s="1187">
        <f t="shared" si="2"/>
        <v>143</v>
      </c>
      <c r="B144" s="976" t="s">
        <v>1919</v>
      </c>
      <c r="C144" s="972" t="s">
        <v>2129</v>
      </c>
      <c r="D144" s="976" t="s">
        <v>1306</v>
      </c>
      <c r="E144" s="1029"/>
      <c r="F144" s="1029">
        <v>362000</v>
      </c>
      <c r="G144" s="1046">
        <v>44169</v>
      </c>
      <c r="H144" s="976" t="s">
        <v>642</v>
      </c>
      <c r="I144" s="976" t="s">
        <v>1995</v>
      </c>
      <c r="J144" s="686" t="s">
        <v>2072</v>
      </c>
    </row>
    <row r="145" spans="1:10" x14ac:dyDescent="0.25">
      <c r="A145" s="1187">
        <f t="shared" si="2"/>
        <v>144</v>
      </c>
      <c r="B145" s="976" t="s">
        <v>1919</v>
      </c>
      <c r="C145" s="972" t="s">
        <v>1997</v>
      </c>
      <c r="D145" s="976" t="s">
        <v>1998</v>
      </c>
      <c r="E145" s="1029"/>
      <c r="F145" s="1029">
        <v>1398400</v>
      </c>
      <c r="G145" s="1046">
        <v>44173</v>
      </c>
      <c r="H145" s="976" t="s">
        <v>630</v>
      </c>
      <c r="I145" s="976" t="s">
        <v>1995</v>
      </c>
      <c r="J145" s="686" t="s">
        <v>1999</v>
      </c>
    </row>
    <row r="146" spans="1:10" x14ac:dyDescent="0.25">
      <c r="A146" s="1187">
        <f t="shared" si="2"/>
        <v>145</v>
      </c>
      <c r="B146" s="976" t="s">
        <v>1919</v>
      </c>
      <c r="C146" s="972" t="s">
        <v>2130</v>
      </c>
      <c r="D146" s="976" t="s">
        <v>2131</v>
      </c>
      <c r="E146" s="1029"/>
      <c r="F146" s="1029">
        <v>1500000</v>
      </c>
      <c r="G146" s="1046">
        <v>44174</v>
      </c>
      <c r="H146" s="976" t="s">
        <v>630</v>
      </c>
      <c r="I146" s="976" t="s">
        <v>1995</v>
      </c>
      <c r="J146" s="686" t="s">
        <v>1986</v>
      </c>
    </row>
    <row r="147" spans="1:10" x14ac:dyDescent="0.25">
      <c r="A147" s="1187">
        <f t="shared" si="2"/>
        <v>146</v>
      </c>
      <c r="B147" s="976" t="s">
        <v>1919</v>
      </c>
      <c r="C147" s="972" t="s">
        <v>2115</v>
      </c>
      <c r="D147" s="976" t="s">
        <v>1306</v>
      </c>
      <c r="E147" s="1029"/>
      <c r="F147" s="1029">
        <v>1254000</v>
      </c>
      <c r="G147" s="1046">
        <v>44174</v>
      </c>
      <c r="H147" s="976" t="s">
        <v>642</v>
      </c>
      <c r="I147" s="976" t="s">
        <v>1995</v>
      </c>
      <c r="J147" s="686" t="s">
        <v>2005</v>
      </c>
    </row>
    <row r="148" spans="1:10" x14ac:dyDescent="0.25">
      <c r="A148" s="1187">
        <f t="shared" si="2"/>
        <v>147</v>
      </c>
      <c r="B148" s="976" t="s">
        <v>1919</v>
      </c>
      <c r="C148" s="972" t="s">
        <v>1816</v>
      </c>
      <c r="D148" s="976" t="s">
        <v>1306</v>
      </c>
      <c r="E148" s="1029"/>
      <c r="F148" s="1029">
        <v>294000</v>
      </c>
      <c r="G148" s="1046">
        <v>44176</v>
      </c>
      <c r="H148" s="976" t="s">
        <v>630</v>
      </c>
      <c r="I148" s="976" t="s">
        <v>2128</v>
      </c>
      <c r="J148" s="686" t="s">
        <v>2004</v>
      </c>
    </row>
    <row r="149" spans="1:10" x14ac:dyDescent="0.25">
      <c r="A149" s="1187">
        <f t="shared" si="2"/>
        <v>148</v>
      </c>
      <c r="B149" s="976" t="s">
        <v>1919</v>
      </c>
      <c r="C149" s="972" t="s">
        <v>2132</v>
      </c>
      <c r="D149" s="976" t="s">
        <v>2133</v>
      </c>
      <c r="E149" s="1029"/>
      <c r="F149" s="1029">
        <v>375000</v>
      </c>
      <c r="G149" s="1046">
        <v>44176</v>
      </c>
      <c r="H149" s="976" t="s">
        <v>630</v>
      </c>
      <c r="I149" s="976" t="s">
        <v>1975</v>
      </c>
      <c r="J149" s="686" t="s">
        <v>1976</v>
      </c>
    </row>
    <row r="150" spans="1:10" x14ac:dyDescent="0.25">
      <c r="A150" s="1187">
        <f t="shared" si="2"/>
        <v>149</v>
      </c>
      <c r="B150" s="976" t="s">
        <v>1919</v>
      </c>
      <c r="C150" s="976" t="s">
        <v>2059</v>
      </c>
      <c r="D150" s="972" t="s">
        <v>1306</v>
      </c>
      <c r="E150" s="1029"/>
      <c r="F150" s="1029">
        <v>409000</v>
      </c>
      <c r="G150" s="1046">
        <v>44179</v>
      </c>
      <c r="H150" s="976" t="s">
        <v>642</v>
      </c>
      <c r="I150" s="976" t="s">
        <v>1990</v>
      </c>
      <c r="J150" s="686" t="s">
        <v>2060</v>
      </c>
    </row>
    <row r="151" spans="1:10" x14ac:dyDescent="0.25">
      <c r="A151" s="1187">
        <f t="shared" si="2"/>
        <v>150</v>
      </c>
      <c r="B151" s="976" t="s">
        <v>1919</v>
      </c>
      <c r="C151" s="972" t="s">
        <v>1816</v>
      </c>
      <c r="D151" s="976" t="s">
        <v>1306</v>
      </c>
      <c r="E151" s="1029"/>
      <c r="F151" s="1029">
        <v>205000</v>
      </c>
      <c r="G151" s="1046">
        <v>44181</v>
      </c>
      <c r="H151" s="976" t="s">
        <v>630</v>
      </c>
      <c r="I151" s="976" t="s">
        <v>1975</v>
      </c>
      <c r="J151" s="686" t="s">
        <v>2004</v>
      </c>
    </row>
    <row r="152" spans="1:10" x14ac:dyDescent="0.25">
      <c r="A152" s="1187">
        <f t="shared" si="2"/>
        <v>151</v>
      </c>
      <c r="B152" s="976" t="s">
        <v>1919</v>
      </c>
      <c r="C152" s="972" t="s">
        <v>1816</v>
      </c>
      <c r="D152" s="976" t="s">
        <v>1306</v>
      </c>
      <c r="E152" s="1029"/>
      <c r="F152" s="1029">
        <v>568000</v>
      </c>
      <c r="G152" s="1046">
        <v>44181</v>
      </c>
      <c r="H152" s="976" t="s">
        <v>630</v>
      </c>
      <c r="I152" s="976" t="s">
        <v>668</v>
      </c>
      <c r="J152" s="686" t="s">
        <v>2004</v>
      </c>
    </row>
    <row r="153" spans="1:10" x14ac:dyDescent="0.25">
      <c r="A153" s="1187">
        <f t="shared" si="2"/>
        <v>152</v>
      </c>
      <c r="B153" s="976" t="s">
        <v>1919</v>
      </c>
      <c r="C153" s="972" t="s">
        <v>2134</v>
      </c>
      <c r="D153" s="976" t="s">
        <v>1306</v>
      </c>
      <c r="E153" s="1029"/>
      <c r="F153" s="1029">
        <v>300000</v>
      </c>
      <c r="G153" s="1046">
        <v>44181</v>
      </c>
      <c r="H153" s="976" t="s">
        <v>630</v>
      </c>
      <c r="I153" s="976" t="s">
        <v>1936</v>
      </c>
      <c r="J153" s="686" t="s">
        <v>2060</v>
      </c>
    </row>
    <row r="154" spans="1:10" x14ac:dyDescent="0.25">
      <c r="A154" s="1187">
        <f t="shared" si="2"/>
        <v>153</v>
      </c>
      <c r="B154" s="976" t="s">
        <v>1919</v>
      </c>
      <c r="C154" s="972" t="s">
        <v>2135</v>
      </c>
      <c r="D154" s="976" t="s">
        <v>1306</v>
      </c>
      <c r="E154" s="1029"/>
      <c r="F154" s="1029">
        <v>2033507</v>
      </c>
      <c r="G154" s="1046">
        <v>44181</v>
      </c>
      <c r="H154" s="976" t="s">
        <v>630</v>
      </c>
      <c r="I154" s="976" t="s">
        <v>1936</v>
      </c>
      <c r="J154" s="686" t="s">
        <v>2024</v>
      </c>
    </row>
    <row r="155" spans="1:10" x14ac:dyDescent="0.25">
      <c r="A155" s="1187">
        <f t="shared" si="2"/>
        <v>154</v>
      </c>
      <c r="B155" s="976" t="s">
        <v>1919</v>
      </c>
      <c r="C155" s="972" t="s">
        <v>2136</v>
      </c>
      <c r="D155" s="976" t="s">
        <v>2047</v>
      </c>
      <c r="E155" s="1029"/>
      <c r="F155" s="1029">
        <v>460000</v>
      </c>
      <c r="G155" s="1046">
        <v>44181</v>
      </c>
      <c r="H155" s="976" t="s">
        <v>642</v>
      </c>
      <c r="I155" s="976" t="s">
        <v>1936</v>
      </c>
      <c r="J155" s="686" t="s">
        <v>2048</v>
      </c>
    </row>
    <row r="156" spans="1:10" x14ac:dyDescent="0.25">
      <c r="A156" s="1187">
        <f t="shared" si="2"/>
        <v>155</v>
      </c>
      <c r="B156" s="976" t="s">
        <v>1919</v>
      </c>
      <c r="C156" s="972" t="s">
        <v>2137</v>
      </c>
      <c r="D156" s="976" t="s">
        <v>2107</v>
      </c>
      <c r="E156" s="1029"/>
      <c r="F156" s="1029">
        <v>6034805</v>
      </c>
      <c r="G156" s="1046">
        <v>44184</v>
      </c>
      <c r="H156" s="976" t="s">
        <v>1983</v>
      </c>
      <c r="I156" s="976" t="s">
        <v>1979</v>
      </c>
      <c r="J156" s="686" t="s">
        <v>2108</v>
      </c>
    </row>
    <row r="157" spans="1:10" x14ac:dyDescent="0.25">
      <c r="A157" s="1187">
        <f t="shared" si="2"/>
        <v>156</v>
      </c>
      <c r="B157" s="976" t="s">
        <v>1919</v>
      </c>
      <c r="C157" s="972" t="s">
        <v>2138</v>
      </c>
      <c r="D157" s="976" t="s">
        <v>2107</v>
      </c>
      <c r="E157" s="1029"/>
      <c r="F157" s="1029">
        <v>150278</v>
      </c>
      <c r="G157" s="1046">
        <v>44184</v>
      </c>
      <c r="H157" s="976" t="s">
        <v>642</v>
      </c>
      <c r="I157" s="976" t="s">
        <v>1979</v>
      </c>
      <c r="J157" s="686" t="s">
        <v>2108</v>
      </c>
    </row>
    <row r="158" spans="1:10" x14ac:dyDescent="0.25">
      <c r="A158" s="1187">
        <f t="shared" si="2"/>
        <v>157</v>
      </c>
      <c r="B158" s="976" t="s">
        <v>1919</v>
      </c>
      <c r="C158" s="976" t="s">
        <v>2139</v>
      </c>
      <c r="D158" s="972" t="s">
        <v>2095</v>
      </c>
      <c r="E158" s="1029"/>
      <c r="F158" s="1029">
        <v>451413</v>
      </c>
      <c r="G158" s="1046">
        <v>44186</v>
      </c>
      <c r="H158" s="976" t="s">
        <v>1983</v>
      </c>
      <c r="I158" s="976" t="s">
        <v>1995</v>
      </c>
      <c r="J158" s="686" t="s">
        <v>2096</v>
      </c>
    </row>
    <row r="159" spans="1:10" x14ac:dyDescent="0.25">
      <c r="A159" s="1187">
        <f t="shared" si="2"/>
        <v>158</v>
      </c>
      <c r="B159" s="976" t="s">
        <v>1919</v>
      </c>
      <c r="C159" s="972" t="s">
        <v>2140</v>
      </c>
      <c r="D159" s="976" t="s">
        <v>2111</v>
      </c>
      <c r="E159" s="1029"/>
      <c r="F159" s="1029">
        <v>8675000</v>
      </c>
      <c r="G159" s="1046">
        <v>44186</v>
      </c>
      <c r="H159" s="976" t="s">
        <v>1983</v>
      </c>
      <c r="I159" s="976" t="s">
        <v>2141</v>
      </c>
      <c r="J159" s="686" t="s">
        <v>2112</v>
      </c>
    </row>
    <row r="160" spans="1:10" x14ac:dyDescent="0.25">
      <c r="A160" s="1187">
        <f t="shared" si="2"/>
        <v>159</v>
      </c>
      <c r="B160" s="976" t="s">
        <v>1919</v>
      </c>
      <c r="C160" s="983" t="s">
        <v>2142</v>
      </c>
      <c r="D160" s="976" t="s">
        <v>2133</v>
      </c>
      <c r="E160" s="1029"/>
      <c r="F160" s="1029">
        <v>180000</v>
      </c>
      <c r="G160" s="1046">
        <v>44188</v>
      </c>
      <c r="H160" s="976" t="s">
        <v>642</v>
      </c>
      <c r="I160" s="976" t="s">
        <v>2017</v>
      </c>
      <c r="J160" s="686" t="s">
        <v>1976</v>
      </c>
    </row>
    <row r="161" spans="1:10" x14ac:dyDescent="0.25">
      <c r="A161" s="1187">
        <f t="shared" si="2"/>
        <v>160</v>
      </c>
      <c r="B161" s="976" t="s">
        <v>1919</v>
      </c>
      <c r="C161" s="972" t="s">
        <v>1816</v>
      </c>
      <c r="D161" s="976" t="s">
        <v>1306</v>
      </c>
      <c r="E161" s="1029"/>
      <c r="F161" s="1029">
        <v>150000</v>
      </c>
      <c r="G161" s="1046">
        <v>44188</v>
      </c>
      <c r="H161" s="976" t="s">
        <v>646</v>
      </c>
      <c r="I161" s="976" t="s">
        <v>1520</v>
      </c>
      <c r="J161" s="686" t="s">
        <v>2004</v>
      </c>
    </row>
    <row r="162" spans="1:10" x14ac:dyDescent="0.25">
      <c r="A162" s="1187">
        <f t="shared" si="2"/>
        <v>161</v>
      </c>
      <c r="B162" s="976" t="s">
        <v>1919</v>
      </c>
      <c r="C162" s="972" t="s">
        <v>2143</v>
      </c>
      <c r="D162" s="976" t="s">
        <v>2144</v>
      </c>
      <c r="E162" s="1029"/>
      <c r="F162" s="1029">
        <v>179760</v>
      </c>
      <c r="G162" s="1046">
        <v>44188</v>
      </c>
      <c r="H162" s="976" t="s">
        <v>646</v>
      </c>
      <c r="I162" s="976" t="s">
        <v>2145</v>
      </c>
      <c r="J162" s="686" t="s">
        <v>1154</v>
      </c>
    </row>
    <row r="163" spans="1:10" x14ac:dyDescent="0.25">
      <c r="A163" s="1187">
        <f t="shared" si="2"/>
        <v>162</v>
      </c>
      <c r="B163" s="976" t="s">
        <v>1919</v>
      </c>
      <c r="C163" s="972" t="s">
        <v>2146</v>
      </c>
      <c r="D163" s="976" t="s">
        <v>2147</v>
      </c>
      <c r="E163" s="1029"/>
      <c r="F163" s="1029">
        <v>16700000</v>
      </c>
      <c r="G163" s="1046">
        <v>44189</v>
      </c>
      <c r="H163" s="976" t="s">
        <v>646</v>
      </c>
      <c r="I163" s="976" t="s">
        <v>1995</v>
      </c>
      <c r="J163" s="686" t="s">
        <v>1976</v>
      </c>
    </row>
    <row r="164" spans="1:10" x14ac:dyDescent="0.25">
      <c r="A164" s="1187">
        <f t="shared" si="2"/>
        <v>163</v>
      </c>
      <c r="B164" s="976" t="s">
        <v>1919</v>
      </c>
      <c r="C164" s="976" t="s">
        <v>2148</v>
      </c>
      <c r="D164" s="972" t="s">
        <v>1306</v>
      </c>
      <c r="E164" s="976"/>
      <c r="F164" s="1029">
        <v>100000</v>
      </c>
      <c r="G164" s="1046">
        <v>44189</v>
      </c>
      <c r="H164" s="976" t="s">
        <v>642</v>
      </c>
      <c r="I164" s="976" t="s">
        <v>1995</v>
      </c>
      <c r="J164" s="686" t="s">
        <v>2075</v>
      </c>
    </row>
    <row r="165" spans="1:10" x14ac:dyDescent="0.25">
      <c r="A165" s="1187">
        <f t="shared" si="2"/>
        <v>164</v>
      </c>
      <c r="B165" s="976" t="s">
        <v>1919</v>
      </c>
      <c r="C165" s="972" t="s">
        <v>2149</v>
      </c>
      <c r="D165" s="976" t="s">
        <v>1306</v>
      </c>
      <c r="E165" s="1029"/>
      <c r="F165" s="1029">
        <v>1145000</v>
      </c>
      <c r="G165" s="1046">
        <v>44190</v>
      </c>
      <c r="H165" s="976" t="s">
        <v>642</v>
      </c>
      <c r="I165" s="976" t="s">
        <v>1936</v>
      </c>
      <c r="J165" s="686" t="s">
        <v>2060</v>
      </c>
    </row>
    <row r="166" spans="1:10" x14ac:dyDescent="0.25">
      <c r="A166" s="1187">
        <f t="shared" si="2"/>
        <v>165</v>
      </c>
      <c r="B166" s="976" t="s">
        <v>1919</v>
      </c>
      <c r="C166" s="976" t="s">
        <v>2150</v>
      </c>
      <c r="D166" s="972" t="s">
        <v>2151</v>
      </c>
      <c r="E166" s="1029"/>
      <c r="F166" s="1029">
        <v>3245000</v>
      </c>
      <c r="G166" s="1046">
        <v>44168</v>
      </c>
      <c r="H166" s="976" t="s">
        <v>642</v>
      </c>
      <c r="I166" s="976" t="s">
        <v>1995</v>
      </c>
      <c r="J166" s="686" t="s">
        <v>1980</v>
      </c>
    </row>
    <row r="167" spans="1:10" x14ac:dyDescent="0.25">
      <c r="A167" s="1187">
        <f t="shared" si="2"/>
        <v>166</v>
      </c>
      <c r="B167" s="976" t="s">
        <v>1919</v>
      </c>
      <c r="C167" s="972" t="s">
        <v>2152</v>
      </c>
      <c r="D167" s="976" t="s">
        <v>2153</v>
      </c>
      <c r="E167" s="1029"/>
      <c r="F167" s="1029">
        <v>1600000</v>
      </c>
      <c r="G167" s="1046">
        <v>44196</v>
      </c>
      <c r="H167" s="976" t="s">
        <v>1983</v>
      </c>
      <c r="I167" s="976" t="s">
        <v>2128</v>
      </c>
      <c r="J167" s="686" t="s">
        <v>1986</v>
      </c>
    </row>
    <row r="168" spans="1:10" x14ac:dyDescent="0.25">
      <c r="A168" s="1187">
        <f t="shared" si="2"/>
        <v>167</v>
      </c>
      <c r="B168" s="976" t="s">
        <v>1919</v>
      </c>
      <c r="C168" s="976" t="s">
        <v>2154</v>
      </c>
      <c r="D168" s="972" t="s">
        <v>2089</v>
      </c>
      <c r="E168" s="976"/>
      <c r="F168" s="1029">
        <v>2500000</v>
      </c>
      <c r="G168" s="1046">
        <v>44196</v>
      </c>
      <c r="H168" s="976" t="s">
        <v>646</v>
      </c>
      <c r="I168" s="976" t="s">
        <v>1979</v>
      </c>
      <c r="J168" s="686" t="s">
        <v>1986</v>
      </c>
    </row>
    <row r="169" spans="1:10" x14ac:dyDescent="0.25">
      <c r="A169" s="1187">
        <f t="shared" si="2"/>
        <v>168</v>
      </c>
      <c r="B169" s="976" t="s">
        <v>1919</v>
      </c>
      <c r="C169" s="972" t="s">
        <v>1816</v>
      </c>
      <c r="D169" s="976" t="s">
        <v>1306</v>
      </c>
      <c r="E169" s="1029"/>
      <c r="F169" s="1029">
        <v>534600</v>
      </c>
      <c r="G169" s="1046">
        <v>44196</v>
      </c>
      <c r="H169" s="976" t="s">
        <v>642</v>
      </c>
      <c r="I169" s="976" t="s">
        <v>2155</v>
      </c>
      <c r="J169" s="686" t="s">
        <v>2004</v>
      </c>
    </row>
    <row r="170" spans="1:10" x14ac:dyDescent="0.25">
      <c r="A170" s="1187">
        <f t="shared" si="2"/>
        <v>169</v>
      </c>
      <c r="B170" s="976" t="s">
        <v>1919</v>
      </c>
      <c r="C170" s="972" t="s">
        <v>2156</v>
      </c>
      <c r="D170" s="976" t="s">
        <v>1306</v>
      </c>
      <c r="E170" s="1029"/>
      <c r="F170" s="1029">
        <v>1133000</v>
      </c>
      <c r="G170" s="1046">
        <v>44196</v>
      </c>
      <c r="H170" s="976" t="s">
        <v>642</v>
      </c>
      <c r="I170" s="976" t="s">
        <v>1995</v>
      </c>
      <c r="J170" s="686" t="s">
        <v>1154</v>
      </c>
    </row>
    <row r="171" spans="1:10" x14ac:dyDescent="0.25">
      <c r="A171" s="1187">
        <f t="shared" si="2"/>
        <v>170</v>
      </c>
      <c r="B171" s="976"/>
      <c r="C171" s="972"/>
      <c r="D171" s="976"/>
      <c r="E171" s="1029"/>
      <c r="F171" s="1029"/>
      <c r="G171" s="1046"/>
      <c r="H171" s="976"/>
      <c r="I171" s="976"/>
    </row>
    <row r="172" spans="1:10" x14ac:dyDescent="0.25">
      <c r="A172" s="1187">
        <f t="shared" si="2"/>
        <v>171</v>
      </c>
      <c r="B172" s="976"/>
      <c r="C172" s="972"/>
      <c r="D172" s="976"/>
      <c r="E172" s="1029"/>
      <c r="F172" s="1029"/>
      <c r="G172" s="1046"/>
      <c r="H172" s="976"/>
      <c r="I172" s="976"/>
    </row>
    <row r="173" spans="1:10" x14ac:dyDescent="0.25">
      <c r="A173" s="1187">
        <f t="shared" si="2"/>
        <v>172</v>
      </c>
      <c r="B173" s="976"/>
      <c r="C173" s="972"/>
      <c r="D173" s="976"/>
      <c r="E173" s="1029"/>
      <c r="F173" s="1029"/>
      <c r="G173" s="1046"/>
      <c r="H173" s="976"/>
      <c r="I173" s="976"/>
    </row>
    <row r="174" spans="1:10" x14ac:dyDescent="0.25">
      <c r="A174" s="1187">
        <f t="shared" si="2"/>
        <v>173</v>
      </c>
      <c r="B174" s="976"/>
      <c r="C174" s="972"/>
      <c r="D174" s="976"/>
      <c r="E174" s="1029"/>
      <c r="F174" s="1029"/>
      <c r="G174" s="1046"/>
      <c r="H174" s="976"/>
      <c r="I174" s="976"/>
    </row>
    <row r="175" spans="1:10" x14ac:dyDescent="0.25">
      <c r="A175" s="1187">
        <f t="shared" si="2"/>
        <v>174</v>
      </c>
      <c r="B175" s="976"/>
      <c r="C175" s="972"/>
      <c r="D175" s="976"/>
      <c r="E175" s="1029"/>
      <c r="F175" s="1029"/>
      <c r="G175" s="1046"/>
      <c r="H175" s="976"/>
      <c r="I175" s="976"/>
    </row>
    <row r="176" spans="1:10" x14ac:dyDescent="0.25">
      <c r="A176" s="1187">
        <f t="shared" si="2"/>
        <v>175</v>
      </c>
      <c r="B176" s="976"/>
      <c r="C176" s="972"/>
      <c r="D176" s="976"/>
      <c r="E176" s="1029"/>
      <c r="F176" s="1029"/>
      <c r="G176" s="1046"/>
      <c r="H176" s="976"/>
      <c r="I176" s="976"/>
    </row>
    <row r="177" spans="1:9" x14ac:dyDescent="0.25">
      <c r="A177" s="1187">
        <f t="shared" si="2"/>
        <v>176</v>
      </c>
      <c r="B177" s="976"/>
      <c r="C177" s="972"/>
      <c r="D177" s="976"/>
      <c r="E177" s="1029"/>
      <c r="F177" s="1029"/>
      <c r="G177" s="1046"/>
      <c r="H177" s="976"/>
      <c r="I177" s="976"/>
    </row>
    <row r="178" spans="1:9" x14ac:dyDescent="0.25">
      <c r="A178" s="1187">
        <f t="shared" si="2"/>
        <v>177</v>
      </c>
      <c r="B178" s="976"/>
      <c r="C178" s="972"/>
      <c r="D178" s="976"/>
      <c r="E178" s="1029"/>
      <c r="F178" s="1029"/>
      <c r="G178" s="1046"/>
      <c r="H178" s="976"/>
      <c r="I178" s="976"/>
    </row>
    <row r="179" spans="1:9" x14ac:dyDescent="0.25">
      <c r="A179" s="1187">
        <f t="shared" si="2"/>
        <v>178</v>
      </c>
      <c r="B179" s="976"/>
      <c r="C179" s="972"/>
      <c r="D179" s="976"/>
      <c r="E179" s="1029"/>
      <c r="F179" s="1029"/>
      <c r="G179" s="1046"/>
      <c r="H179" s="976"/>
      <c r="I179" s="976"/>
    </row>
    <row r="180" spans="1:9" x14ac:dyDescent="0.25">
      <c r="A180" s="1187">
        <f t="shared" si="2"/>
        <v>179</v>
      </c>
      <c r="B180" s="976"/>
      <c r="C180" s="972"/>
      <c r="D180" s="976"/>
      <c r="E180" s="1029"/>
      <c r="F180" s="1029"/>
      <c r="G180" s="1046"/>
      <c r="H180" s="976"/>
      <c r="I180" s="976"/>
    </row>
    <row r="181" spans="1:9" x14ac:dyDescent="0.25">
      <c r="A181" s="1187">
        <f t="shared" si="2"/>
        <v>180</v>
      </c>
      <c r="B181" s="976"/>
      <c r="C181" s="972"/>
      <c r="D181" s="976"/>
      <c r="E181" s="1029"/>
      <c r="F181" s="1029"/>
      <c r="G181" s="1046"/>
      <c r="H181" s="976"/>
      <c r="I181" s="976"/>
    </row>
    <row r="182" spans="1:9" x14ac:dyDescent="0.25">
      <c r="A182" s="1187">
        <f t="shared" si="2"/>
        <v>181</v>
      </c>
      <c r="B182" s="976"/>
      <c r="C182" s="972"/>
      <c r="D182" s="976"/>
      <c r="E182" s="1029"/>
      <c r="F182" s="1029"/>
      <c r="G182" s="1046"/>
      <c r="H182" s="976"/>
      <c r="I182" s="976"/>
    </row>
    <row r="183" spans="1:9" x14ac:dyDescent="0.25">
      <c r="A183" s="1187">
        <f t="shared" si="2"/>
        <v>182</v>
      </c>
      <c r="B183" s="976"/>
      <c r="C183" s="976"/>
      <c r="D183" s="972"/>
      <c r="E183" s="976"/>
      <c r="F183" s="1029"/>
      <c r="G183" s="1046"/>
      <c r="H183" s="1029"/>
      <c r="I183" s="976"/>
    </row>
    <row r="184" spans="1:9" ht="20.25" x14ac:dyDescent="0.3">
      <c r="A184" s="1030"/>
      <c r="B184" s="1030"/>
      <c r="C184" s="1030"/>
      <c r="D184" s="1031" t="s">
        <v>2157</v>
      </c>
      <c r="E184" s="1030"/>
      <c r="F184" s="1032">
        <f>SUM(F2:F183)</f>
        <v>873716318</v>
      </c>
      <c r="G184" s="1032"/>
      <c r="H184" s="1032"/>
      <c r="I184" s="1030"/>
    </row>
  </sheetData>
  <autoFilter ref="A1:K18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DỰ ÁN 2019</vt:lpstr>
      <vt:lpstr>Chi phí lương NC </vt:lpstr>
      <vt:lpstr>THI CÔNG TẠM ỨNG</vt:lpstr>
      <vt:lpstr>DỰ ÁN 2020</vt:lpstr>
      <vt:lpstr>DU AN 2020-HANH in </vt:lpstr>
      <vt:lpstr>DA GIAI CHI</vt:lpstr>
      <vt:lpstr>DU AN 2021</vt:lpstr>
      <vt:lpstr>DU AN 2020</vt:lpstr>
      <vt:lpstr>CHI VP</vt:lpstr>
      <vt:lpstr> BCAO DU AN 2020 IN</vt:lpstr>
      <vt:lpstr>Sheet1</vt:lpstr>
      <vt:lpstr>'DỰ ÁN 2020'!Print_Area</vt:lpstr>
      <vt:lpstr>'DU AN 2021'!y</vt:lpstr>
      <vt:lpstr>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HPZ400</dc:creator>
  <cp:keywords/>
  <dc:description/>
  <cp:lastModifiedBy>Hoang Duy. Nguyen</cp:lastModifiedBy>
  <cp:revision/>
  <dcterms:created xsi:type="dcterms:W3CDTF">2020-01-07T01:44:59Z</dcterms:created>
  <dcterms:modified xsi:type="dcterms:W3CDTF">2021-01-06T15:33:09Z</dcterms:modified>
  <cp:category/>
  <cp:contentStatus/>
</cp:coreProperties>
</file>