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3_Tools\03_linhtinh\GitHub\NhungLe\2020.10.04\backup\"/>
    </mc:Choice>
  </mc:AlternateContent>
  <bookViews>
    <workbookView xWindow="32760" yWindow="-30735" windowWidth="20490" windowHeight="5505" firstSheet="1" activeTab="2"/>
  </bookViews>
  <sheets>
    <sheet name="Tồng hợp" sheetId="16" r:id="rId1"/>
    <sheet name="Chi tiết" sheetId="13" r:id="rId2"/>
    <sheet name="Sheet1" sheetId="24" r:id="rId3"/>
    <sheet name="Sổ quỹ" sheetId="17" r:id="rId4"/>
    <sheet name="Techcombank" sheetId="19" r:id="rId5"/>
    <sheet name="Vietinbank" sheetId="20" r:id="rId6"/>
    <sheet name="SHB" sheetId="21" r:id="rId7"/>
    <sheet name="Tiền mặt" sheetId="22" r:id="rId8"/>
    <sheet name="MSB" sheetId="23" r:id="rId9"/>
  </sheets>
  <definedNames>
    <definedName name="_xlnm._FilterDatabase" localSheetId="1" hidden="1">'Chi tiết'!$A$6:$H$173</definedName>
    <definedName name="cong">'Chi tiết'!$E:$E</definedName>
    <definedName name="KHKH">'Chi tiết'!$C:$C</definedName>
    <definedName name="thang">'Chi tiết'!$B:$B</definedName>
  </definedNames>
  <calcPr calcId="152511" fullCalcOnLoad="1"/>
</workbook>
</file>

<file path=xl/calcChain.xml><?xml version="1.0" encoding="utf-8"?>
<calcChain xmlns="http://schemas.openxmlformats.org/spreadsheetml/2006/main">
  <c r="M70" i="24" l="1"/>
  <c r="M69" i="24"/>
  <c r="N68" i="24"/>
  <c r="M68" i="24"/>
  <c r="L68" i="24"/>
  <c r="K68" i="24"/>
  <c r="J68" i="24"/>
  <c r="I68" i="24"/>
  <c r="I7" i="24" s="1"/>
  <c r="G68" i="24"/>
  <c r="E68" i="24"/>
  <c r="D68" i="24"/>
  <c r="C68" i="24"/>
  <c r="M66" i="24"/>
  <c r="E66" i="24"/>
  <c r="E65" i="24"/>
  <c r="M63" i="24"/>
  <c r="I63" i="24"/>
  <c r="M62" i="24"/>
  <c r="I61" i="24"/>
  <c r="I60" i="24" s="1"/>
  <c r="L60" i="24"/>
  <c r="K60" i="24"/>
  <c r="J60" i="24"/>
  <c r="G60" i="24"/>
  <c r="E60" i="24"/>
  <c r="D60" i="24"/>
  <c r="C60" i="24"/>
  <c r="I59" i="24"/>
  <c r="M59" i="24" s="1"/>
  <c r="M58" i="24"/>
  <c r="I57" i="24"/>
  <c r="M57" i="24" s="1"/>
  <c r="M56" i="24"/>
  <c r="M55" i="24"/>
  <c r="M52" i="24" s="1"/>
  <c r="M54" i="24"/>
  <c r="M53" i="24"/>
  <c r="L52" i="24"/>
  <c r="K52" i="24"/>
  <c r="J52" i="24"/>
  <c r="I52" i="24"/>
  <c r="G52" i="24"/>
  <c r="E52" i="24"/>
  <c r="D52" i="24"/>
  <c r="C52" i="24"/>
  <c r="M51" i="24"/>
  <c r="I50" i="24"/>
  <c r="M50" i="24" s="1"/>
  <c r="M48" i="24" s="1"/>
  <c r="M49" i="24"/>
  <c r="L48" i="24"/>
  <c r="K48" i="24"/>
  <c r="J48" i="24"/>
  <c r="I48" i="24"/>
  <c r="G48" i="24"/>
  <c r="E48" i="24"/>
  <c r="D48" i="24"/>
  <c r="C48" i="24"/>
  <c r="I47" i="24"/>
  <c r="M47" i="24" s="1"/>
  <c r="J46" i="24"/>
  <c r="M46" i="24" s="1"/>
  <c r="I46" i="24"/>
  <c r="I45" i="24"/>
  <c r="I44" i="24" s="1"/>
  <c r="I8" i="24" s="1"/>
  <c r="E45" i="24"/>
  <c r="E44" i="24" s="1"/>
  <c r="L44" i="24"/>
  <c r="K44" i="24"/>
  <c r="J44" i="24"/>
  <c r="G44" i="24"/>
  <c r="D44" i="24"/>
  <c r="C44" i="24"/>
  <c r="M41" i="24"/>
  <c r="J40" i="24"/>
  <c r="M40" i="24" s="1"/>
  <c r="I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J22" i="24"/>
  <c r="J17" i="24" s="1"/>
  <c r="M21" i="24"/>
  <c r="M20" i="24"/>
  <c r="M19" i="24"/>
  <c r="M18" i="24"/>
  <c r="I18" i="24"/>
  <c r="L17" i="24"/>
  <c r="K17" i="24"/>
  <c r="I17" i="24"/>
  <c r="G17" i="24"/>
  <c r="M16" i="24"/>
  <c r="M15" i="24"/>
  <c r="J14" i="24"/>
  <c r="M14" i="24" s="1"/>
  <c r="M13" i="24"/>
  <c r="K13" i="24"/>
  <c r="M12" i="24"/>
  <c r="K11" i="24"/>
  <c r="K10" i="24" s="1"/>
  <c r="K8" i="24" s="1"/>
  <c r="K4" i="24" s="1"/>
  <c r="L10" i="24"/>
  <c r="J10" i="24"/>
  <c r="I10" i="24"/>
  <c r="G10" i="24"/>
  <c r="L8" i="24"/>
  <c r="G8" i="24"/>
  <c r="G4" i="24" s="1"/>
  <c r="L6" i="24"/>
  <c r="L4" i="24" s="1"/>
  <c r="J6" i="24"/>
  <c r="J5" i="24"/>
  <c r="M5" i="24" s="1"/>
  <c r="E175" i="13"/>
  <c r="AH8" i="13"/>
  <c r="AA8" i="13"/>
  <c r="T8" i="13"/>
  <c r="S8" i="13"/>
  <c r="Q8" i="13"/>
  <c r="N8" i="13"/>
  <c r="M8" i="13"/>
  <c r="L8" i="13"/>
  <c r="J8" i="13"/>
  <c r="AH21" i="13"/>
  <c r="V8" i="13"/>
  <c r="W8" i="13"/>
  <c r="Y8" i="13"/>
  <c r="U8" i="13"/>
  <c r="AB8" i="13"/>
  <c r="R8" i="13"/>
  <c r="AG8" i="13"/>
  <c r="AF8" i="13"/>
  <c r="AE8" i="13"/>
  <c r="AD8" i="13"/>
  <c r="AC8" i="13"/>
  <c r="Z8" i="13"/>
  <c r="P8" i="13"/>
  <c r="O8" i="13"/>
  <c r="G95" i="17"/>
  <c r="G93" i="17"/>
  <c r="E61" i="20"/>
  <c r="F93" i="17" s="1"/>
  <c r="F61" i="20"/>
  <c r="E96" i="19"/>
  <c r="F95" i="17" s="1"/>
  <c r="F96" i="19"/>
  <c r="G90" i="17"/>
  <c r="F88" i="17"/>
  <c r="G86" i="17"/>
  <c r="E93" i="19"/>
  <c r="F93" i="19"/>
  <c r="E58" i="20"/>
  <c r="F58" i="20"/>
  <c r="G88" i="17" s="1"/>
  <c r="E45" i="22"/>
  <c r="F45" i="22"/>
  <c r="G83" i="17"/>
  <c r="G82" i="17"/>
  <c r="E42" i="22"/>
  <c r="F43" i="22"/>
  <c r="F42" i="22" s="1"/>
  <c r="G81" i="17" s="1"/>
  <c r="F54" i="20"/>
  <c r="E54" i="20"/>
  <c r="F82" i="19"/>
  <c r="G85" i="17"/>
  <c r="E90" i="19"/>
  <c r="E82" i="19" s="1"/>
  <c r="F85" i="17" s="1"/>
  <c r="F24" i="21"/>
  <c r="E24" i="21"/>
  <c r="E151" i="13"/>
  <c r="E139" i="13"/>
  <c r="X8" i="13" s="1"/>
  <c r="F80" i="17"/>
  <c r="G78" i="17"/>
  <c r="G76" i="17"/>
  <c r="E40" i="22"/>
  <c r="F40" i="22"/>
  <c r="F20" i="21"/>
  <c r="E20" i="21"/>
  <c r="F77" i="17" s="1"/>
  <c r="F52" i="20"/>
  <c r="E52" i="20"/>
  <c r="E74" i="19"/>
  <c r="F74" i="19"/>
  <c r="G80" i="17"/>
  <c r="F72" i="19"/>
  <c r="E72" i="19"/>
  <c r="G72" i="17"/>
  <c r="F47" i="20"/>
  <c r="G73" i="17" s="1"/>
  <c r="E47" i="20"/>
  <c r="F73" i="17"/>
  <c r="F71" i="17"/>
  <c r="G71" i="17"/>
  <c r="F33" i="22"/>
  <c r="E33" i="22"/>
  <c r="F18" i="21"/>
  <c r="E18" i="21"/>
  <c r="E66" i="19"/>
  <c r="F66" i="19"/>
  <c r="G70" i="17"/>
  <c r="E43" i="20"/>
  <c r="F43" i="20"/>
  <c r="G68" i="17" s="1"/>
  <c r="F60" i="19"/>
  <c r="E101" i="13"/>
  <c r="K8" i="13" s="1"/>
  <c r="AI8" i="13" s="1"/>
  <c r="G63" i="17"/>
  <c r="G61" i="17"/>
  <c r="E28" i="22"/>
  <c r="F28" i="22"/>
  <c r="F30" i="22"/>
  <c r="E30" i="22"/>
  <c r="E54" i="19"/>
  <c r="F54" i="19"/>
  <c r="G65" i="17"/>
  <c r="F36" i="20"/>
  <c r="E36" i="20"/>
  <c r="F40" i="20"/>
  <c r="E40" i="20"/>
  <c r="F63" i="17" s="1"/>
  <c r="G58" i="17"/>
  <c r="G60" i="17"/>
  <c r="E48" i="19"/>
  <c r="F48" i="19"/>
  <c r="G56" i="17"/>
  <c r="E31" i="20"/>
  <c r="F53" i="17" s="1"/>
  <c r="F31" i="20"/>
  <c r="G55" i="17"/>
  <c r="G53" i="17"/>
  <c r="G51" i="17"/>
  <c r="F48" i="17"/>
  <c r="E24" i="20"/>
  <c r="F24" i="20"/>
  <c r="G48" i="17" s="1"/>
  <c r="F46" i="19"/>
  <c r="E46" i="19"/>
  <c r="E33" i="19"/>
  <c r="F50" i="17"/>
  <c r="F33" i="19"/>
  <c r="G50" i="17"/>
  <c r="F29" i="19"/>
  <c r="E29" i="19"/>
  <c r="E25" i="22"/>
  <c r="F25" i="22"/>
  <c r="F25" i="20"/>
  <c r="E58" i="13"/>
  <c r="G43" i="17"/>
  <c r="G45" i="17"/>
  <c r="F21" i="20"/>
  <c r="E21" i="20"/>
  <c r="E23" i="22"/>
  <c r="F23" i="22"/>
  <c r="G41" i="17" s="1"/>
  <c r="G40" i="17"/>
  <c r="F40" i="17"/>
  <c r="F38" i="17"/>
  <c r="G38" i="17"/>
  <c r="G37" i="17"/>
  <c r="F24" i="19"/>
  <c r="E24" i="19"/>
  <c r="F16" i="21"/>
  <c r="E16" i="21"/>
  <c r="E19" i="22"/>
  <c r="F19" i="22"/>
  <c r="G36" i="17" s="1"/>
  <c r="E18" i="20"/>
  <c r="F18" i="20"/>
  <c r="G33" i="17"/>
  <c r="F32" i="17"/>
  <c r="G31" i="17"/>
  <c r="F14" i="21"/>
  <c r="E14" i="21"/>
  <c r="E17" i="22"/>
  <c r="F17" i="22"/>
  <c r="F15" i="20"/>
  <c r="E15" i="20"/>
  <c r="E18" i="19"/>
  <c r="F18" i="19"/>
  <c r="G35" i="17" s="1"/>
  <c r="F12" i="21"/>
  <c r="E12" i="21"/>
  <c r="E13" i="20"/>
  <c r="F13" i="20"/>
  <c r="G28" i="17" s="1"/>
  <c r="G27" i="17"/>
  <c r="F14" i="22"/>
  <c r="G26" i="17" s="1"/>
  <c r="E14" i="22"/>
  <c r="E16" i="19"/>
  <c r="F16" i="19"/>
  <c r="G30" i="17" s="1"/>
  <c r="E12" i="19"/>
  <c r="F12" i="19"/>
  <c r="G25" i="17" s="1"/>
  <c r="G16" i="17"/>
  <c r="E11" i="22"/>
  <c r="F11" i="22"/>
  <c r="F10" i="19"/>
  <c r="G20" i="17"/>
  <c r="E10" i="19"/>
  <c r="F18" i="17"/>
  <c r="G18" i="17"/>
  <c r="E8" i="20"/>
  <c r="F8" i="20"/>
  <c r="C8" i="20"/>
  <c r="G8" i="20" s="1"/>
  <c r="C13" i="20" s="1"/>
  <c r="G13" i="20" s="1"/>
  <c r="C15" i="20" s="1"/>
  <c r="G15" i="20" s="1"/>
  <c r="C18" i="20" s="1"/>
  <c r="G18" i="20" s="1"/>
  <c r="C21" i="20" s="1"/>
  <c r="G21" i="20" s="1"/>
  <c r="C24" i="20" s="1"/>
  <c r="G24" i="20" s="1"/>
  <c r="C31" i="20" s="1"/>
  <c r="G31" i="20" s="1"/>
  <c r="C36" i="20" s="1"/>
  <c r="G36" i="20" s="1"/>
  <c r="C40" i="20" s="1"/>
  <c r="G40" i="20" s="1"/>
  <c r="C43" i="20" s="1"/>
  <c r="G43" i="20" s="1"/>
  <c r="C47" i="20" s="1"/>
  <c r="G47" i="20" s="1"/>
  <c r="C52" i="20" s="1"/>
  <c r="G52" i="20" s="1"/>
  <c r="C54" i="20" s="1"/>
  <c r="G54" i="20" s="1"/>
  <c r="C58" i="20" s="1"/>
  <c r="G58" i="20" s="1"/>
  <c r="C61" i="20" s="1"/>
  <c r="G61" i="20" s="1"/>
  <c r="G15" i="17"/>
  <c r="F12" i="17"/>
  <c r="F8" i="19"/>
  <c r="E8" i="19"/>
  <c r="C9" i="21"/>
  <c r="G9" i="21" s="1"/>
  <c r="C12" i="21" s="1"/>
  <c r="G12" i="21" s="1"/>
  <c r="C14" i="21" s="1"/>
  <c r="G14" i="21" s="1"/>
  <c r="C16" i="21" s="1"/>
  <c r="G16" i="21" s="1"/>
  <c r="C18" i="21" s="1"/>
  <c r="G18" i="21" s="1"/>
  <c r="C20" i="21" s="1"/>
  <c r="G20" i="21" s="1"/>
  <c r="C24" i="21" s="1"/>
  <c r="G24" i="21" s="1"/>
  <c r="F9" i="21"/>
  <c r="E9" i="21"/>
  <c r="F9" i="22"/>
  <c r="G11" i="17" s="1"/>
  <c r="E9" i="22"/>
  <c r="F6" i="22"/>
  <c r="E6" i="22"/>
  <c r="G6" i="22" s="1"/>
  <c r="C9" i="22" s="1"/>
  <c r="G9" i="22" s="1"/>
  <c r="C11" i="22" s="1"/>
  <c r="G11" i="22" s="1"/>
  <c r="C14" i="22" s="1"/>
  <c r="G14" i="22" s="1"/>
  <c r="C17" i="22" s="1"/>
  <c r="G17" i="22" s="1"/>
  <c r="C19" i="22" s="1"/>
  <c r="G19" i="22" s="1"/>
  <c r="C23" i="22" s="1"/>
  <c r="G23" i="22" s="1"/>
  <c r="C25" i="22" s="1"/>
  <c r="G25" i="22" s="1"/>
  <c r="C28" i="22" s="1"/>
  <c r="G28" i="22" s="1"/>
  <c r="C30" i="22" s="1"/>
  <c r="G30" i="22" s="1"/>
  <c r="C33" i="22" s="1"/>
  <c r="G33" i="22" s="1"/>
  <c r="C40" i="22" s="1"/>
  <c r="G40" i="22" s="1"/>
  <c r="C42" i="22" s="1"/>
  <c r="G42" i="22" s="1"/>
  <c r="C45" i="22" s="1"/>
  <c r="G45" i="22" s="1"/>
  <c r="F6" i="21"/>
  <c r="E6" i="21"/>
  <c r="G10" i="17"/>
  <c r="H10" i="17"/>
  <c r="C15" i="17" s="1"/>
  <c r="H15" i="17" s="1"/>
  <c r="C20" i="17" s="1"/>
  <c r="H20" i="17" s="1"/>
  <c r="C25" i="17" s="1"/>
  <c r="H25" i="17" s="1"/>
  <c r="C30" i="17" s="1"/>
  <c r="H30" i="17" s="1"/>
  <c r="C35" i="17" s="1"/>
  <c r="H35" i="17" s="1"/>
  <c r="C40" i="17" s="1"/>
  <c r="H40" i="17" s="1"/>
  <c r="C45" i="17" s="1"/>
  <c r="H45" i="17" s="1"/>
  <c r="C50" i="17" s="1"/>
  <c r="H50" i="17" s="1"/>
  <c r="C55" i="17" s="1"/>
  <c r="H55" i="17" s="1"/>
  <c r="C60" i="17" s="1"/>
  <c r="H60" i="17" s="1"/>
  <c r="C65" i="17" s="1"/>
  <c r="H65" i="17" s="1"/>
  <c r="C70" i="17" s="1"/>
  <c r="H70" i="17" s="1"/>
  <c r="C75" i="17" s="1"/>
  <c r="H75" i="17" s="1"/>
  <c r="C80" i="17" s="1"/>
  <c r="H80" i="17" s="1"/>
  <c r="C85" i="17" s="1"/>
  <c r="H85" i="17" s="1"/>
  <c r="C90" i="17" s="1"/>
  <c r="H90" i="17" s="1"/>
  <c r="C95" i="17" s="1"/>
  <c r="H95" i="17" s="1"/>
  <c r="G8" i="17"/>
  <c r="F7" i="17"/>
  <c r="G6" i="17"/>
  <c r="F6" i="20"/>
  <c r="E6" i="20"/>
  <c r="F6" i="23"/>
  <c r="E6" i="23"/>
  <c r="E6" i="19"/>
  <c r="G6" i="19"/>
  <c r="C8" i="19"/>
  <c r="G8" i="19" s="1"/>
  <c r="C10" i="19" s="1"/>
  <c r="G10" i="19" s="1"/>
  <c r="C12" i="19" s="1"/>
  <c r="G12" i="19" s="1"/>
  <c r="C16" i="19" s="1"/>
  <c r="G16" i="19" s="1"/>
  <c r="C18" i="19" s="1"/>
  <c r="G18" i="19" s="1"/>
  <c r="C24" i="19" s="1"/>
  <c r="G24" i="19" s="1"/>
  <c r="C29" i="19" s="1"/>
  <c r="G29" i="19" s="1"/>
  <c r="C33" i="19" s="1"/>
  <c r="G33" i="19" s="1"/>
  <c r="C46" i="19" s="1"/>
  <c r="G46" i="19" s="1"/>
  <c r="C48" i="19" s="1"/>
  <c r="G48" i="19" s="1"/>
  <c r="C54" i="19" s="1"/>
  <c r="G54" i="19" s="1"/>
  <c r="C66" i="19" s="1"/>
  <c r="G66" i="19" s="1"/>
  <c r="C72" i="19" s="1"/>
  <c r="G72" i="19" s="1"/>
  <c r="C74" i="19" s="1"/>
  <c r="G74" i="19" s="1"/>
  <c r="C82" i="19" s="1"/>
  <c r="G82" i="19" s="1"/>
  <c r="C93" i="19" s="1"/>
  <c r="G93" i="19" s="1"/>
  <c r="C96" i="19" s="1"/>
  <c r="G96" i="19" s="1"/>
  <c r="F6" i="19"/>
  <c r="H6" i="17"/>
  <c r="C11" i="17"/>
  <c r="G6" i="20"/>
  <c r="H8" i="17"/>
  <c r="C13" i="17"/>
  <c r="H13" i="17"/>
  <c r="C18" i="17" s="1"/>
  <c r="H18" i="17" s="1"/>
  <c r="C23" i="17" s="1"/>
  <c r="H23" i="17" s="1"/>
  <c r="C28" i="17" s="1"/>
  <c r="B16" i="16"/>
  <c r="H7" i="17"/>
  <c r="C12" i="17" s="1"/>
  <c r="H12" i="17" s="1"/>
  <c r="C17" i="17" s="1"/>
  <c r="H17" i="17" s="1"/>
  <c r="C22" i="17" s="1"/>
  <c r="H22" i="17" s="1"/>
  <c r="C27" i="17" s="1"/>
  <c r="H27" i="17" s="1"/>
  <c r="C32" i="17" s="1"/>
  <c r="H32" i="17" s="1"/>
  <c r="C37" i="17" s="1"/>
  <c r="H37" i="17" s="1"/>
  <c r="C42" i="17" s="1"/>
  <c r="H42" i="17" s="1"/>
  <c r="C47" i="17" s="1"/>
  <c r="H47" i="17" s="1"/>
  <c r="C52" i="17" s="1"/>
  <c r="H52" i="17" s="1"/>
  <c r="C57" i="17" s="1"/>
  <c r="H57" i="17" s="1"/>
  <c r="C62" i="17" s="1"/>
  <c r="H62" i="17" s="1"/>
  <c r="C67" i="17" s="1"/>
  <c r="H67" i="17" s="1"/>
  <c r="C72" i="17" s="1"/>
  <c r="H72" i="17" s="1"/>
  <c r="C77" i="17" s="1"/>
  <c r="H77" i="17" s="1"/>
  <c r="C82" i="17" s="1"/>
  <c r="H82" i="17" s="1"/>
  <c r="C87" i="17" s="1"/>
  <c r="H87" i="17" s="1"/>
  <c r="C92" i="17" s="1"/>
  <c r="H92" i="17" s="1"/>
  <c r="H9" i="17"/>
  <c r="C14" i="17"/>
  <c r="H14" i="17" s="1"/>
  <c r="C19" i="17" s="1"/>
  <c r="H19" i="17" s="1"/>
  <c r="C24" i="17" s="1"/>
  <c r="H24" i="17" s="1"/>
  <c r="C29" i="17" s="1"/>
  <c r="H29" i="17" s="1"/>
  <c r="C34" i="17" s="1"/>
  <c r="H34" i="17" s="1"/>
  <c r="C39" i="17" s="1"/>
  <c r="H39" i="17" s="1"/>
  <c r="C44" i="17" s="1"/>
  <c r="H44" i="17" s="1"/>
  <c r="C49" i="17" s="1"/>
  <c r="H49" i="17" s="1"/>
  <c r="C54" i="17" s="1"/>
  <c r="H54" i="17" s="1"/>
  <c r="C59" i="17" s="1"/>
  <c r="H59" i="17" s="1"/>
  <c r="C64" i="17" s="1"/>
  <c r="H64" i="17" s="1"/>
  <c r="C69" i="17" s="1"/>
  <c r="H69" i="17" s="1"/>
  <c r="C74" i="17" s="1"/>
  <c r="H74" i="17" s="1"/>
  <c r="C79" i="17" s="1"/>
  <c r="H79" i="17" s="1"/>
  <c r="C84" i="17" s="1"/>
  <c r="H84" i="17" s="1"/>
  <c r="C89" i="17" s="1"/>
  <c r="H89" i="17" s="1"/>
  <c r="C94" i="17" s="1"/>
  <c r="H94" i="17" s="1"/>
  <c r="G6" i="21"/>
  <c r="G75" i="17"/>
  <c r="G77" i="17"/>
  <c r="E172" i="13"/>
  <c r="M7" i="24" l="1"/>
  <c r="I4" i="24"/>
  <c r="J8" i="24"/>
  <c r="J4" i="24" s="1"/>
  <c r="M11" i="24"/>
  <c r="M10" i="24" s="1"/>
  <c r="M22" i="24"/>
  <c r="M17" i="24" s="1"/>
  <c r="M61" i="24"/>
  <c r="M60" i="24" s="1"/>
  <c r="M45" i="24"/>
  <c r="M44" i="24" s="1"/>
  <c r="M6" i="24"/>
  <c r="F96" i="17"/>
  <c r="H28" i="17"/>
  <c r="C33" i="17" s="1"/>
  <c r="H33" i="17" s="1"/>
  <c r="C38" i="17" s="1"/>
  <c r="H38" i="17" s="1"/>
  <c r="C43" i="17" s="1"/>
  <c r="H43" i="17" s="1"/>
  <c r="C48" i="17" s="1"/>
  <c r="H48" i="17" s="1"/>
  <c r="C53" i="17" s="1"/>
  <c r="H53" i="17" s="1"/>
  <c r="C58" i="17" s="1"/>
  <c r="H58" i="17" s="1"/>
  <c r="C63" i="17" s="1"/>
  <c r="H63" i="17" s="1"/>
  <c r="C68" i="17" s="1"/>
  <c r="H68" i="17" s="1"/>
  <c r="C73" i="17" s="1"/>
  <c r="H73" i="17" s="1"/>
  <c r="C78" i="17" s="1"/>
  <c r="H78" i="17" s="1"/>
  <c r="C83" i="17" s="1"/>
  <c r="H83" i="17" s="1"/>
  <c r="C88" i="17" s="1"/>
  <c r="H88" i="17" s="1"/>
  <c r="C93" i="17" s="1"/>
  <c r="H93" i="17" s="1"/>
  <c r="H11" i="17"/>
  <c r="C16" i="17" s="1"/>
  <c r="H16" i="17" s="1"/>
  <c r="C21" i="17" s="1"/>
  <c r="H21" i="17" s="1"/>
  <c r="C26" i="17" s="1"/>
  <c r="H26" i="17" s="1"/>
  <c r="C31" i="17" s="1"/>
  <c r="H31" i="17" s="1"/>
  <c r="C36" i="17" s="1"/>
  <c r="H36" i="17" s="1"/>
  <c r="C41" i="17" s="1"/>
  <c r="H41" i="17" s="1"/>
  <c r="C46" i="17" s="1"/>
  <c r="H46" i="17" s="1"/>
  <c r="C51" i="17" s="1"/>
  <c r="H51" i="17" s="1"/>
  <c r="C56" i="17" s="1"/>
  <c r="H56" i="17" s="1"/>
  <c r="C61" i="17" s="1"/>
  <c r="H61" i="17" s="1"/>
  <c r="C66" i="17" s="1"/>
  <c r="H66" i="17" s="1"/>
  <c r="C71" i="17" s="1"/>
  <c r="H71" i="17" s="1"/>
  <c r="C76" i="17" s="1"/>
  <c r="H76" i="17" s="1"/>
  <c r="C81" i="17" s="1"/>
  <c r="H81" i="17" s="1"/>
  <c r="C86" i="17" s="1"/>
  <c r="H86" i="17" s="1"/>
  <c r="C91" i="17" s="1"/>
  <c r="H91" i="17" s="1"/>
  <c r="G96" i="17"/>
  <c r="E170" i="13"/>
  <c r="E171" i="13"/>
  <c r="E173" i="13" s="1"/>
  <c r="AI9" i="13" s="1"/>
  <c r="AI10" i="13" s="1"/>
  <c r="M8" i="24" l="1"/>
  <c r="M4" i="24" s="1"/>
  <c r="E174" i="13"/>
  <c r="E176" i="13" l="1"/>
  <c r="F4" i="16"/>
  <c r="J8" i="16"/>
  <c r="E15" i="16" l="1"/>
  <c r="K10" i="16"/>
  <c r="E14" i="16"/>
  <c r="D7" i="16"/>
  <c r="E12" i="16"/>
  <c r="L14" i="16"/>
  <c r="D15" i="16"/>
  <c r="F13" i="16"/>
  <c r="K6" i="16"/>
  <c r="L7" i="16"/>
  <c r="E6" i="16"/>
  <c r="E10" i="16"/>
  <c r="I13" i="16"/>
  <c r="E8" i="16"/>
  <c r="J14" i="16"/>
  <c r="D4" i="16"/>
  <c r="J13" i="16"/>
  <c r="F7" i="16"/>
  <c r="L5" i="16"/>
  <c r="K9" i="16"/>
  <c r="I6" i="16"/>
  <c r="K8" i="16"/>
  <c r="D11" i="16"/>
  <c r="D13" i="16"/>
  <c r="L15" i="16"/>
  <c r="D9" i="16"/>
  <c r="I15" i="16"/>
  <c r="E13" i="16"/>
  <c r="K5" i="16"/>
  <c r="L12" i="16"/>
  <c r="E11" i="16"/>
  <c r="I4" i="16"/>
  <c r="L4" i="16"/>
  <c r="E7" i="16"/>
  <c r="D8" i="16"/>
  <c r="I14" i="16"/>
  <c r="G4" i="16"/>
  <c r="I8" i="16"/>
  <c r="J15" i="16"/>
  <c r="L8" i="16"/>
  <c r="G8" i="16"/>
  <c r="G7" i="16"/>
  <c r="L10" i="16"/>
  <c r="F6" i="16"/>
  <c r="F8" i="16"/>
  <c r="G13" i="16"/>
  <c r="G14" i="16"/>
  <c r="L9" i="16"/>
  <c r="E4" i="16"/>
  <c r="F11" i="16"/>
  <c r="F10" i="16"/>
  <c r="K14" i="16"/>
  <c r="L6" i="16"/>
  <c r="D6" i="16"/>
  <c r="G15" i="16"/>
  <c r="J5" i="16"/>
  <c r="G9" i="16"/>
  <c r="I9" i="16"/>
  <c r="K13" i="16"/>
  <c r="D12" i="16"/>
  <c r="H12" i="16" s="1"/>
  <c r="G6" i="16"/>
  <c r="G5" i="16"/>
  <c r="F5" i="16"/>
  <c r="F16" i="16" s="1"/>
  <c r="J11" i="16"/>
  <c r="G10" i="16"/>
  <c r="K12" i="16"/>
  <c r="I12" i="16"/>
  <c r="F14" i="16"/>
  <c r="K7" i="16"/>
  <c r="G11" i="16"/>
  <c r="I10" i="16"/>
  <c r="L13" i="16"/>
  <c r="I5" i="16"/>
  <c r="I7" i="16"/>
  <c r="K11" i="16"/>
  <c r="E9" i="16"/>
  <c r="D14" i="16"/>
  <c r="D10" i="16"/>
  <c r="H10" i="16" s="1"/>
  <c r="J9" i="16"/>
  <c r="L11" i="16"/>
  <c r="J7" i="16"/>
  <c r="F9" i="16"/>
  <c r="E5" i="16"/>
  <c r="K15" i="16"/>
  <c r="I11" i="16"/>
  <c r="J4" i="16"/>
  <c r="J6" i="16"/>
  <c r="J10" i="16"/>
  <c r="F15" i="16"/>
  <c r="F12" i="16"/>
  <c r="G12" i="16"/>
  <c r="D5" i="16"/>
  <c r="H5" i="16" s="1"/>
  <c r="J12" i="16"/>
  <c r="K4" i="16"/>
  <c r="M10" i="16" l="1"/>
  <c r="M12" i="16"/>
  <c r="C12" i="16" s="1"/>
  <c r="H8" i="16"/>
  <c r="C8" i="16" s="1"/>
  <c r="M15" i="16"/>
  <c r="H11" i="16"/>
  <c r="H15" i="16"/>
  <c r="C15" i="16" s="1"/>
  <c r="C5" i="16"/>
  <c r="K16" i="16"/>
  <c r="J16" i="16"/>
  <c r="C10" i="16"/>
  <c r="M7" i="16"/>
  <c r="M9" i="16"/>
  <c r="H6" i="16"/>
  <c r="M8" i="16"/>
  <c r="H9" i="16"/>
  <c r="M11" i="16"/>
  <c r="H14" i="16"/>
  <c r="M5" i="16"/>
  <c r="E16" i="16"/>
  <c r="G16" i="16"/>
  <c r="L16" i="16"/>
  <c r="M6" i="16"/>
  <c r="M13" i="16"/>
  <c r="C13" i="16" s="1"/>
  <c r="M14" i="16"/>
  <c r="I16" i="16"/>
  <c r="M4" i="16"/>
  <c r="M16" i="16" s="1"/>
  <c r="H13" i="16"/>
  <c r="D16" i="16"/>
  <c r="H4" i="16"/>
  <c r="H7" i="16"/>
  <c r="C7" i="16" s="1"/>
  <c r="H16" i="16" l="1"/>
  <c r="C6" i="16"/>
  <c r="C11" i="16"/>
  <c r="C9" i="16"/>
  <c r="C4" i="16"/>
  <c r="C14" i="16"/>
  <c r="C16" i="16" l="1"/>
</calcChain>
</file>

<file path=xl/sharedStrings.xml><?xml version="1.0" encoding="utf-8"?>
<sst xmlns="http://schemas.openxmlformats.org/spreadsheetml/2006/main" count="1773" uniqueCount="432">
  <si>
    <t>Ngày</t>
  </si>
  <si>
    <t>Số tiền</t>
  </si>
  <si>
    <t>Tháng</t>
  </si>
  <si>
    <t>Ký hiệu</t>
  </si>
  <si>
    <t>CHI TIẾT</t>
  </si>
  <si>
    <t>Ghi chú</t>
  </si>
  <si>
    <t>Tổng:</t>
  </si>
  <si>
    <t>Diển giải</t>
  </si>
  <si>
    <t>Đề nghi</t>
  </si>
  <si>
    <t>Techcombank</t>
  </si>
  <si>
    <t>Vietinbank</t>
  </si>
  <si>
    <t>SHB</t>
  </si>
  <si>
    <t>Thu</t>
  </si>
  <si>
    <t>Chi</t>
  </si>
  <si>
    <t>QUẢN LÝ THU - CHI VACONS</t>
  </si>
  <si>
    <t>Tổng Thu</t>
  </si>
  <si>
    <t>Tổng Chi</t>
  </si>
  <si>
    <t>Tiền Mặt</t>
  </si>
  <si>
    <t>SỔ QUỸ CHI TIẾT PHÁT SINH</t>
  </si>
  <si>
    <t>STT</t>
  </si>
  <si>
    <t>Ghi sổ</t>
  </si>
  <si>
    <t>Tồn đầu</t>
  </si>
  <si>
    <t>Diễn giải</t>
  </si>
  <si>
    <t>Tồn cuối</t>
  </si>
  <si>
    <t>Công Ty</t>
  </si>
  <si>
    <t>Cá Nhân</t>
  </si>
  <si>
    <t>Tổng Cộng:</t>
  </si>
  <si>
    <t>SỔ QUỸ CHI TIẾT TIỀN MẶT</t>
  </si>
  <si>
    <t>Diễn Giải</t>
  </si>
  <si>
    <t>SỔ QUỸ CHI TIẾT NGÂN HÀNG TECHCOMBANK</t>
  </si>
  <si>
    <t>SỔ QUỸ CHI TIẾT NGÂN HÀNG VIETINBANK</t>
  </si>
  <si>
    <t>SỔ QUỸ CHI TIẾT NGÂN HÀNG SHB</t>
  </si>
  <si>
    <t>Thu Techcombank</t>
  </si>
  <si>
    <t>Thu Vietinbank</t>
  </si>
  <si>
    <t>Thu SHB</t>
  </si>
  <si>
    <t>Thu Tiền Mặt</t>
  </si>
  <si>
    <t>+ttcb</t>
  </si>
  <si>
    <t>+tvtb</t>
  </si>
  <si>
    <t>+tshb</t>
  </si>
  <si>
    <t>+ttm</t>
  </si>
  <si>
    <t>Chi Techcombank</t>
  </si>
  <si>
    <t>Chi SHB</t>
  </si>
  <si>
    <t>Chi Vietinbank</t>
  </si>
  <si>
    <t>Chi Tiền Mặt</t>
  </si>
  <si>
    <t>-ctcb</t>
  </si>
  <si>
    <t>-cvtb</t>
  </si>
  <si>
    <t>-cshb</t>
  </si>
  <si>
    <t>-ctm</t>
  </si>
  <si>
    <t>Công trình</t>
  </si>
  <si>
    <t>1</t>
  </si>
  <si>
    <t>Thanh toán</t>
  </si>
  <si>
    <t>TCB</t>
  </si>
  <si>
    <t>TM</t>
  </si>
  <si>
    <t>VTB</t>
  </si>
  <si>
    <t>Ms Dung NS</t>
  </si>
  <si>
    <t>Tồn Đầu</t>
  </si>
  <si>
    <t>Tổng Còn Lại</t>
  </si>
  <si>
    <t xml:space="preserve"> </t>
  </si>
  <si>
    <t>Jaccs</t>
  </si>
  <si>
    <t>Mr Lil QS</t>
  </si>
  <si>
    <t>THÁNG 9/2020</t>
  </si>
  <si>
    <t>9</t>
  </si>
  <si>
    <t>TT tam ứng tủ điện ATS - Hưng Thịnh</t>
  </si>
  <si>
    <t>Chi phí cúng rằm tháng 7/2020 + đổi ga</t>
  </si>
  <si>
    <t>TT đơn hàng dây HDMI - Quốc Duy</t>
  </si>
  <si>
    <t>Hoàn tiền cọc Công Trình GUAR</t>
  </si>
  <si>
    <t>Vacons</t>
  </si>
  <si>
    <t>Guar</t>
  </si>
  <si>
    <t>01/09/2020</t>
  </si>
  <si>
    <t>Tiền lãi tài khoản</t>
  </si>
  <si>
    <t>Chi phụ cấp cho cô vệ sinh T8/2020</t>
  </si>
  <si>
    <t>3</t>
  </si>
  <si>
    <t>Cty Hoàng Phúc Quốc Tế thanh toán</t>
  </si>
  <si>
    <t>HPI</t>
  </si>
  <si>
    <t>Cty DIAG Q6 thanh toán đợt 1</t>
  </si>
  <si>
    <t>Chi phí ăn uống rằm T7/2020</t>
  </si>
  <si>
    <t>TT taạm ứng đợt 2 40% vách thạch cao - Mr Thường</t>
  </si>
  <si>
    <t>03/09/2020</t>
  </si>
  <si>
    <t>4</t>
  </si>
  <si>
    <t>TT tạm ứng đợt 2 40% vách thạch cao - Mr Thường</t>
  </si>
  <si>
    <t>SWE Tòa Nhà Đức</t>
  </si>
  <si>
    <t>Hợp Đồng 2204/HĐTC2020/VA-SWE (Tòa Nhà Đức) Thanh Toán</t>
  </si>
  <si>
    <t>TT tạm ứng đợt 2 40% thảm - NCC Vinafloor</t>
  </si>
  <si>
    <t>Mr Nhã QS</t>
  </si>
  <si>
    <t>TT chi phí vệ sinh Tháng 8/2020</t>
  </si>
  <si>
    <t>TT chi phí bảo hiểm</t>
  </si>
  <si>
    <t>Ms Quỳnh KD</t>
  </si>
  <si>
    <t>Diag Q10</t>
  </si>
  <si>
    <t>04/09/2020</t>
  </si>
  <si>
    <t>TT mua đồ cúng ông địa từ ngày 17/8-4/9/2020</t>
  </si>
  <si>
    <t>TT phí gửi xe văn phòng Cty T8/2020</t>
  </si>
  <si>
    <t>TT tạm ứng đợt 2 40% lắp đặt lưới sắt - Mr Giang</t>
  </si>
  <si>
    <t>5</t>
  </si>
  <si>
    <t>Shinwon</t>
  </si>
  <si>
    <t>TT nhân công thi công trần thạch cao - Mr Thường</t>
  </si>
  <si>
    <t>TT tạm ứng đơn hàng cáp quang - VNPT Anh Phi</t>
  </si>
  <si>
    <t>TT tiền thuê VP Vacons Tháng 9/2020</t>
  </si>
  <si>
    <t>TT thước Laze cho phòng thi công</t>
  </si>
  <si>
    <t>Ms Quyên TK</t>
  </si>
  <si>
    <t>Lương thợ phụ Tuần 1 Tháng 9/2020</t>
  </si>
  <si>
    <t>TT 1 máy cân bằng laser: Fukuda EK-469GJ-5 tia xanh</t>
  </si>
  <si>
    <t>Mr Hòa TC</t>
  </si>
  <si>
    <t>7</t>
  </si>
  <si>
    <t>TT Lương thợ phụ Tuần 1 Tháng 9/2020</t>
  </si>
  <si>
    <t>TT phí dự thầu hồ sơ bảo lãnh CMC 1044</t>
  </si>
  <si>
    <t>Ký quỹ dự thầu hồ sơ bảo lãnh CMC 1044</t>
  </si>
  <si>
    <t>Ký quỹ thư bảo lãnh CT DIAG Q9</t>
  </si>
  <si>
    <t>Diag Q9</t>
  </si>
  <si>
    <t>TT thay nao lụa sấy 14A HP5200</t>
  </si>
  <si>
    <t>Mr Đạm IT</t>
  </si>
  <si>
    <t>TT tiền nước Vacons mã 14131916830</t>
  </si>
  <si>
    <t>TT máy lạnh Senver VP Nam Thuận T19</t>
  </si>
  <si>
    <t>Nam Thuận T19</t>
  </si>
  <si>
    <t>Jaccs T20+21</t>
  </si>
  <si>
    <t>Mr Thành TC</t>
  </si>
  <si>
    <t>TT tiền dời đầu bao+điều khiển máy lạnh - Mr Minh</t>
  </si>
  <si>
    <t>TT bảo trì VP Tyme, HTMB T17 Centec, Nhà Ms Quỳnh - Mr Hoàng</t>
  </si>
  <si>
    <t>TT chén chụp PCCC - Mr Nam PCCC</t>
  </si>
  <si>
    <t>TT tạm ứng đợt 2 40% PCCC - Phú Hưng PCCC</t>
  </si>
  <si>
    <t>TT đơn hàng chậu rửa chén+vòi nước</t>
  </si>
  <si>
    <t>Thu tiền đợt 2 công trình  IPS</t>
  </si>
  <si>
    <t>09/09/2020</t>
  </si>
  <si>
    <t>10</t>
  </si>
  <si>
    <t>Nhiều CT</t>
  </si>
  <si>
    <t>Rút séc SHB</t>
  </si>
  <si>
    <t>Nộp tiền vào tài khoản từ SHB về Techcombank cá nhân</t>
  </si>
  <si>
    <t>TT phí dịch vụ nhập hàng T8+T9/2020</t>
  </si>
  <si>
    <t>Ms Tuyết KT</t>
  </si>
  <si>
    <t>TT taạm ứng đợt 2 40% thi công sơn - Mr Phát</t>
  </si>
  <si>
    <t>Diag</t>
  </si>
  <si>
    <t>TT tạm ứng đơợt 1 50% cung cấp &amp; thi công khung sắt - Mr Giang</t>
  </si>
  <si>
    <t>TT phí dịch vụ nộp ngân hàng từ SHB về Techcombank cá nhân</t>
  </si>
  <si>
    <t>TT hoàn trả Grab chiều về đặt cho Team đi họp dự án</t>
  </si>
  <si>
    <t>TT in ấn hồ sơ dự thầu dự án Opera 1046</t>
  </si>
  <si>
    <t>TT phí Grab chuyển khoản Tháng 8/2020</t>
  </si>
  <si>
    <t>Thu Cty BOMBUS VN TT tien theo HD 67 31 08 2020</t>
  </si>
  <si>
    <t>Thu Cty Hoàng Phúc Quốc Tế</t>
  </si>
  <si>
    <t>Thu Cty DIAG Q6 thanh toán đợt 1</t>
  </si>
  <si>
    <t>Thu hoàn tiền cọc Công Trình GUAR</t>
  </si>
  <si>
    <t>BOMBUS</t>
  </si>
  <si>
    <t>IPS</t>
  </si>
  <si>
    <t>10/09/2020</t>
  </si>
  <si>
    <t>11</t>
  </si>
  <si>
    <t>TT chi phí lắp đồng hồ điện</t>
  </si>
  <si>
    <t>Mr Khoa TC</t>
  </si>
  <si>
    <t>Kho Vacons</t>
  </si>
  <si>
    <t>TT chi phí nạp gas R32 cho máy 2HP - Mr Hoàng</t>
  </si>
  <si>
    <t>Nhà Bác Dũng</t>
  </si>
  <si>
    <t>TT tạm ứng 30% đèn - Đèn Sacota (OSC)</t>
  </si>
  <si>
    <t>Diag Q3</t>
  </si>
  <si>
    <t>TT tam ứng đơn hàng điện (Lần 3) - Ms Thư 126</t>
  </si>
  <si>
    <t>TT tam ứng đợt 2 cung cấp &amp; thi công lắp đặt ghế - Ghế Trọng Tín</t>
  </si>
  <si>
    <t>14</t>
  </si>
  <si>
    <t>TT nhập hàng dịch vụ theo 17 hợp đồng</t>
  </si>
  <si>
    <t>TT chi phí hoàn trả bảo hành 5% cho CT Publicis, Guardian, Tyme</t>
  </si>
  <si>
    <t>TT tạm ứng 30% thiết bị PCCC</t>
  </si>
  <si>
    <t xml:space="preserve">TT tạm ứng vật tư và nhân công máy lạnh </t>
  </si>
  <si>
    <t xml:space="preserve">TT thiết bị máy lạnh </t>
  </si>
  <si>
    <t>TT tạm ứng nhân công điện đợt 2</t>
  </si>
  <si>
    <t>Tạm ứng chi phí gạch men lát nền và dự phòng</t>
  </si>
  <si>
    <t>Mr Trí TC</t>
  </si>
  <si>
    <t>TT lương thợ phụ Tuần 2 Tháng 9/2020</t>
  </si>
  <si>
    <t>TT mua hoa tặng khách hàng Amanotes và SRE</t>
  </si>
  <si>
    <t>TT mua hoa tặng đối tác</t>
  </si>
  <si>
    <t>Ms Hiền KD</t>
  </si>
  <si>
    <t>TT chi phí hoàn trả bảo hành 5% cho CT Bombus</t>
  </si>
  <si>
    <t>TT phí in ấn và chuyển phát nhanh hồ sơ dự thầu CMC 1044</t>
  </si>
  <si>
    <t>Ms Thúy KD</t>
  </si>
  <si>
    <t>TT tạm ứng đợt 2 gói mộc chính+ đợt 1&amp;goiu1 PS tủ di động - Mr Lộc</t>
  </si>
  <si>
    <t>Vietcredit PS</t>
  </si>
  <si>
    <t>TT sơn nước - Mr Phát</t>
  </si>
  <si>
    <t>TT thạch cao - Mr Thường</t>
  </si>
  <si>
    <t>Thu Diag Lê Văn Việt Q9 phần còn lại</t>
  </si>
  <si>
    <t>Nộp tiền vào tài khoản từ phí dịch vụ nhập hàng</t>
  </si>
  <si>
    <t>15</t>
  </si>
  <si>
    <t>TT đặt cọc tiền xe đi Company Trip 2020 tại Vũng Tàu</t>
  </si>
  <si>
    <t>TT tam ứng đợt 1 50% thảm - Trần Nhôm T&amp;T</t>
  </si>
  <si>
    <t>TT tạm ứng đợt 1 70% thảm</t>
  </si>
  <si>
    <t>TT phí khảo sát mặt bằng ở Hà Nội - Hồ sơ 1034</t>
  </si>
  <si>
    <t>TT bút trình chiếu phòng thiết kế</t>
  </si>
  <si>
    <t>TT mua đồ dùng cho Văn Phòng</t>
  </si>
  <si>
    <t>14/09/2020</t>
  </si>
  <si>
    <t>Nam Thuận T16</t>
  </si>
  <si>
    <t>Thu Nam Thuận Tầng 16 gói Sever</t>
  </si>
  <si>
    <t>16</t>
  </si>
  <si>
    <t>TT thuế GTGT Tháng 8/2020</t>
  </si>
  <si>
    <t xml:space="preserve">TT thiệt bị PCCC </t>
  </si>
  <si>
    <t>TT đặt cọc thi công Jaccs T15</t>
  </si>
  <si>
    <t>Jaccs T15</t>
  </si>
  <si>
    <t>TT đèn trình mẫu</t>
  </si>
  <si>
    <t xml:space="preserve">TT đèn trang trí </t>
  </si>
  <si>
    <t>TT tam ứng 30% tiếp theo nhân công điện</t>
  </si>
  <si>
    <t>TT đơn hàng cáp quang</t>
  </si>
  <si>
    <t>TT Smart Tivi 4K Sasung 55 Inch UA55NU 7090KXXV</t>
  </si>
  <si>
    <t>TT tiền điện thoại của 2 số 0918971221&amp;0888011944</t>
  </si>
  <si>
    <t>16/09/2020</t>
  </si>
  <si>
    <t>TT chi phí BQL hoàn công CT Guardian</t>
  </si>
  <si>
    <t>Mr Hoàng TC</t>
  </si>
  <si>
    <t>19</t>
  </si>
  <si>
    <t>TT tạm ứng đợt 2 (30%) đơn hàng sắt  - Mr Giang</t>
  </si>
  <si>
    <t>TT tạm ứng đợt 1 (70%) nhân công tô tường - Mr Tâm cán sàn</t>
  </si>
  <si>
    <t>TT rèm - Thiên Lộc</t>
  </si>
  <si>
    <t>TT mài sàn - Mr Nam đánh sàn BT</t>
  </si>
  <si>
    <t>TT tạm ứng HTMB UOAT ( Đội tòa nhà)</t>
  </si>
  <si>
    <t>TT bể tách mở inox pantry</t>
  </si>
  <si>
    <t>TT phí điện thoại VNPT Tháng 8/2020</t>
  </si>
  <si>
    <t>Thu AQUA  hóa đơn 58</t>
  </si>
  <si>
    <t>Sếp</t>
  </si>
  <si>
    <t>Cá nhân</t>
  </si>
  <si>
    <t>Rút tiền mặt ( Chuyển cho Sếp)</t>
  </si>
  <si>
    <t>TT mua hộp bút ủng hộ trẻ em khuyết tật+hoa và trái cây cúng</t>
  </si>
  <si>
    <t>TT nhân công sơn nước vách thạch cao</t>
  </si>
  <si>
    <t>Centec T6+T7</t>
  </si>
  <si>
    <t>TT in concept gửi khách hàng (Dự án S1049)</t>
  </si>
  <si>
    <t>Mr Sáng KD</t>
  </si>
  <si>
    <t>TT mua hoa tặng UH Ofera, Beiersdorf &amp; Amanotes</t>
  </si>
  <si>
    <t>Ms Tiên KD</t>
  </si>
  <si>
    <t>TT phí ship hoa tặng khách hàng</t>
  </si>
  <si>
    <t>21</t>
  </si>
  <si>
    <t>TT vốn và lãi vay mua xe T9/2020</t>
  </si>
  <si>
    <t>TT BHXH cho người lao động T9/2020</t>
  </si>
  <si>
    <t>TT tạm ứng chi phí khách sạn cho Company Trip 2020</t>
  </si>
  <si>
    <t>TT mua nhà của Sếp T9/2020</t>
  </si>
  <si>
    <t>TT kho Vacons T9/2020</t>
  </si>
  <si>
    <t xml:space="preserve">TT đơn hàng mộc </t>
  </si>
  <si>
    <t>Jaccs Centec</t>
  </si>
  <si>
    <t>TT đơn hàng thạch cao</t>
  </si>
  <si>
    <t>TT lương thợ phụ Tuần 3 T9/2020</t>
  </si>
  <si>
    <t>21/09/2020</t>
  </si>
  <si>
    <t>Chi công đoàn Quận Bình Thạnh</t>
  </si>
  <si>
    <t>22</t>
  </si>
  <si>
    <t xml:space="preserve">Mr Hoàng máy lạnh hoàn trả 60% BTU máy lạnh </t>
  </si>
  <si>
    <t>TT mua cá cho Vacons</t>
  </si>
  <si>
    <t>TT chi phí mua đồ dùng cho Company Trip 2020</t>
  </si>
  <si>
    <t>Nộp quỹ tiền mặt từ ngân hàng SHB</t>
  </si>
  <si>
    <t>Chi tiền cho Sếp</t>
  </si>
  <si>
    <t>TT đơn hàng đèn trang trí</t>
  </si>
  <si>
    <t>Diag VP Q10</t>
  </si>
  <si>
    <t>Rút séc SHB qua quỹ tiền mặt</t>
  </si>
  <si>
    <t>Vietcredit T7</t>
  </si>
  <si>
    <t>SAIGONTECHNOLOGY HOAN TRA LAI TIEN DO KHONG CUNG UNG DUOC HANG</t>
  </si>
  <si>
    <t>THU BAO LANH DU THAU THIET KE VA THI CONG VP VIETCREDIT TANG 7</t>
  </si>
  <si>
    <t>TT nhập hàng dịch vụ theo HĐ 0112/VA-TP/HDNT</t>
  </si>
  <si>
    <t>TT nhập hàng dịch vụ theo HĐ 0112/VA-TP/HDNT - Tiến Phát</t>
  </si>
  <si>
    <t>TT đơn hàng vách ngăn compact</t>
  </si>
  <si>
    <t>23</t>
  </si>
  <si>
    <t>Nộp tiền từ Ngân Hàng SHB về Techcombank</t>
  </si>
  <si>
    <t>TT Phụ kiện Halefe - Mr Tuấn</t>
  </si>
  <si>
    <t>TT trần gỗ tiêu âm - Mr Dương</t>
  </si>
  <si>
    <t>TT in concept gửi khách hàng (Dự án K1053)</t>
  </si>
  <si>
    <t>TT đơn hàng HDMI  - Cấp ME Quốc Duy</t>
  </si>
  <si>
    <t>TT tạm ứng xả nước hệ thống chửa cháy</t>
  </si>
  <si>
    <t>TT phí dịch vụ nộp ngân hàng từ SHB về Techcombank</t>
  </si>
  <si>
    <t>Lavie</t>
  </si>
  <si>
    <t>Thu Lavie theo số HĐ 56</t>
  </si>
  <si>
    <t>Rút séc</t>
  </si>
  <si>
    <t>TT tạm ứng đợt 2 50% đơn hàng đèn  - Vnlite Tuấn Khương</t>
  </si>
  <si>
    <t>23/09/2020</t>
  </si>
  <si>
    <t>TT phúc lợi Trần Thị Mỹ Tiên phòng thiết kế năm 2019</t>
  </si>
  <si>
    <t>Phí rút séc</t>
  </si>
  <si>
    <t>28</t>
  </si>
  <si>
    <t>TT chi phí đi company trip vũng tàu ngày 24-25/09/2020</t>
  </si>
  <si>
    <t>TT tiền rác Vacons Tháng 9/2020</t>
  </si>
  <si>
    <t>TT tiền điện Vacons Tháng 9/2020</t>
  </si>
  <si>
    <t>TT tiền nhập hàng dịch vụ</t>
  </si>
  <si>
    <t>TT lương thợ phụ Tuần 4 Tháng 9/2020</t>
  </si>
  <si>
    <t>TT phụ kiện VVP - Khánh Linh</t>
  </si>
  <si>
    <t>UOA</t>
  </si>
  <si>
    <t>TT đơn hàng điện - Ms Thư</t>
  </si>
  <si>
    <t>TT vận chuyển rác, HTMB, nội thất - Mr Trường</t>
  </si>
  <si>
    <t>TT hoàn trả mặt bằng UOA đợt cuối - Minh Tuần</t>
  </si>
  <si>
    <t>TT đá - Mr Tuyền</t>
  </si>
  <si>
    <t>TT kính - Mr Trung</t>
  </si>
  <si>
    <t>Trả lãi tiền gửi</t>
  </si>
  <si>
    <t>Nạp tiền điện thoại của Sếp</t>
  </si>
  <si>
    <t>Nộp tiền tài khoản từ nhập hàng</t>
  </si>
  <si>
    <t>TT phí thư bảo lãnh Guar PCCC</t>
  </si>
  <si>
    <t>TT phí DV SMS T9/2020</t>
  </si>
  <si>
    <t>Guar PCCC</t>
  </si>
  <si>
    <t>29</t>
  </si>
  <si>
    <t>SỔ QUỸ CHI MSB</t>
  </si>
  <si>
    <t>29/09/2020</t>
  </si>
  <si>
    <t>TT bảo hành 1 năm phần mềm kế toán Simba</t>
  </si>
  <si>
    <t>TT in catalogue cho Vacons</t>
  </si>
  <si>
    <t>TT phí cước vận chuyển đợt cuối NX2064</t>
  </si>
  <si>
    <t>Mr Đoan TK</t>
  </si>
  <si>
    <t>Ms Ngọc KT</t>
  </si>
  <si>
    <t>TT bảng bút lông có chân Hàn Quốc cao cấp Gold</t>
  </si>
  <si>
    <t>Thu Nam Thuận Tầng 19 Mở Rộng theo HĐ số 0000068</t>
  </si>
  <si>
    <t>Nam Thuận T19 MR</t>
  </si>
  <si>
    <t>30</t>
  </si>
  <si>
    <t>TT đèn trang trí - Bon Mr Thịnh</t>
  </si>
  <si>
    <t>TT đèn chiếu sáng - Tuấn Khương</t>
  </si>
  <si>
    <t>Thu UOA theo HĐ số 1890-2020/HTMBQ7/VA-UOA</t>
  </si>
  <si>
    <t xml:space="preserve">Tạm ứng chi phí hồ sơ </t>
  </si>
  <si>
    <t>SRF</t>
  </si>
  <si>
    <t>TT in name card nhân viên - Toàn Diện</t>
  </si>
  <si>
    <t>TT tiền Grab đi gặp khách hàng</t>
  </si>
  <si>
    <t>NCC</t>
  </si>
  <si>
    <t>VSVP</t>
  </si>
  <si>
    <t>BH</t>
  </si>
  <si>
    <t>Gui XE</t>
  </si>
  <si>
    <t>Thuê VP</t>
  </si>
  <si>
    <t>công cụ,dụng cụ</t>
  </si>
  <si>
    <t>Lương</t>
  </si>
  <si>
    <t>Ký quỹ</t>
  </si>
  <si>
    <t>Phí ngân hàng</t>
  </si>
  <si>
    <t>Grap</t>
  </si>
  <si>
    <t>In ấn</t>
  </si>
  <si>
    <t>DL</t>
  </si>
  <si>
    <t>Đồ dùng VP</t>
  </si>
  <si>
    <t>Thuế GTGT</t>
  </si>
  <si>
    <t>Điện thoại</t>
  </si>
  <si>
    <t>Lãi vay mua xe</t>
  </si>
  <si>
    <t>Mua nhà</t>
  </si>
  <si>
    <t>Kho</t>
  </si>
  <si>
    <t>Công Đoàn</t>
  </si>
  <si>
    <t>Chi phí khác ,cúng rằm,mua cá</t>
  </si>
  <si>
    <t>Rác</t>
  </si>
  <si>
    <t>Khảo sát mặt bằng,chi phí hồ sơ</t>
  </si>
  <si>
    <t>Điện,nước VP</t>
  </si>
  <si>
    <t>Hoàn BH (Phúc Lợi)</t>
  </si>
  <si>
    <t>Phân loại</t>
  </si>
  <si>
    <t>Các loại</t>
  </si>
  <si>
    <t>Trạng thái</t>
  </si>
  <si>
    <t>Nhà Cung Cấp</t>
  </si>
  <si>
    <t>Lương thợ phụ</t>
  </si>
  <si>
    <t>BHXH</t>
  </si>
  <si>
    <t>Thuê VP Vacons</t>
  </si>
  <si>
    <t>Thuê Kho</t>
  </si>
  <si>
    <t>Internet</t>
  </si>
  <si>
    <t>Điện, Nước</t>
  </si>
  <si>
    <t>Vệ Sinh</t>
  </si>
  <si>
    <t>Gửi xe</t>
  </si>
  <si>
    <t>Grab</t>
  </si>
  <si>
    <t>CPN, hoa, quà</t>
  </si>
  <si>
    <t>Phí Ngân hàng</t>
  </si>
  <si>
    <t>GTGT</t>
  </si>
  <si>
    <t>Mua nhà của sếp</t>
  </si>
  <si>
    <t>Khác</t>
  </si>
  <si>
    <t>TỔNG CỘNG</t>
  </si>
  <si>
    <t>CÁC KHOẢN HỢP THỨC CHI PHÍ</t>
  </si>
  <si>
    <t>Ko phải CP (Sheet Hợp thức)</t>
  </si>
  <si>
    <t xml:space="preserve">               CHI KHÁC: RÚT TIỀN &amp; CÁC KHOẢN CHI ĐÃ HOÀN</t>
  </si>
  <si>
    <t>Ko phải CP (Sheet Chi khác)</t>
  </si>
  <si>
    <t>CHI CÁ NHÂN</t>
  </si>
  <si>
    <t>CHI PHÍ CÔNG TY</t>
  </si>
  <si>
    <t>NỘI DUNG</t>
  </si>
  <si>
    <t>01.08 - 04.08</t>
  </si>
  <si>
    <t>05.08 - 11.08</t>
  </si>
  <si>
    <t>12.08-18.08</t>
  </si>
  <si>
    <t>19.08-25.08</t>
  </si>
  <si>
    <t>26.08-28.08</t>
  </si>
  <si>
    <t>01.08-28.08</t>
  </si>
  <si>
    <t>GHI CHÚ</t>
  </si>
  <si>
    <t>A</t>
  </si>
  <si>
    <t>CHI PHÍ CÔNG TRÌNH</t>
  </si>
  <si>
    <t>Chi trả cho Nhà cung cấp</t>
  </si>
  <si>
    <t>TT -</t>
  </si>
  <si>
    <t>Chi chiết khấu : PANA,BUNGE,SHINWON</t>
  </si>
  <si>
    <t>Chi mua trang thiết bị vật tư (thi công phụ trách)</t>
  </si>
  <si>
    <t>Lương thợ phụ các công trình</t>
  </si>
  <si>
    <t>TT Lương thợ phụ</t>
  </si>
  <si>
    <t>CP tài chính: bảo lãnh Aqua</t>
  </si>
  <si>
    <t>Chi phí cảm ơn Localize</t>
  </si>
  <si>
    <t>B</t>
  </si>
  <si>
    <t>CHI PHÍ VĂN PHÒNG</t>
  </si>
  <si>
    <t>Lương nhân viên :chi lương T9/20 bổ sung NV Trang</t>
  </si>
  <si>
    <t>TT BHXH cho người lao động</t>
  </si>
  <si>
    <t>Thuê văn phòng: Đà nẵng(3tr960),VPC (14tr)</t>
  </si>
  <si>
    <t xml:space="preserve">TT tiền thuê VP Vacons </t>
  </si>
  <si>
    <t>Thuê kho</t>
  </si>
  <si>
    <t>TT kho Vacons</t>
  </si>
  <si>
    <t>Điện nước văn phòng</t>
  </si>
  <si>
    <t>TT tiền nước Vacons,TT tiền điện Vacons</t>
  </si>
  <si>
    <t>Điện nước kho</t>
  </si>
  <si>
    <t>Internet, gia hạn tên miền</t>
  </si>
  <si>
    <t>điện thoại</t>
  </si>
  <si>
    <t>rác</t>
  </si>
  <si>
    <t>Vệ sinh văn phòng</t>
  </si>
  <si>
    <t>vệ sinh</t>
  </si>
  <si>
    <t>Giữ xe nhân viên</t>
  </si>
  <si>
    <t>giữ xe, gửi xe</t>
  </si>
  <si>
    <t>Đồ dùng văn phòng:Ky rác, GVS, ổ khóa…</t>
  </si>
  <si>
    <t>đồ dùng văn phòng</t>
  </si>
  <si>
    <t>In ấn hồ sơ dự thầu, in bao thư, công chứng hồ sơ, in danh thiếp</t>
  </si>
  <si>
    <t>Sữa chữa máy móc, thiết bị: Thay máy lọc khí, thay mực máy in</t>
  </si>
  <si>
    <t>Sữa chữa kho, văn phòng</t>
  </si>
  <si>
    <t>Chi phi tuyển dụng nhân sự</t>
  </si>
  <si>
    <t>CP phát sinh khác:  Mua trái cây, CPN,Phí hủy HĐ, mua quà tặng đối tác,cúng rằm ,mua cá</t>
  </si>
  <si>
    <t>CPN, mua hoa, mua quà</t>
  </si>
  <si>
    <t>Sửa xe, Bảo dưỡng xe, Bảo hiểm xe</t>
  </si>
  <si>
    <t>Tiệc VP 19/8/20</t>
  </si>
  <si>
    <t>Từ thiện</t>
  </si>
  <si>
    <t xml:space="preserve">Chi phí huấn luyện , đào tạo nhân sự </t>
  </si>
  <si>
    <t>Phí ngân hàng, phí phát hành thẻ mới</t>
  </si>
  <si>
    <t>phí ngân hàng</t>
  </si>
  <si>
    <t>Lãi gốc vay mua xe T8/2020</t>
  </si>
  <si>
    <t>lãi vay  mua xe</t>
  </si>
  <si>
    <t>C</t>
  </si>
  <si>
    <t>MUA SẮM TRANG THIẾT BỊ</t>
  </si>
  <si>
    <t>Máy tính</t>
  </si>
  <si>
    <t>Công cụ, dụng Cụ: Máy lọc khí Samsung, Bàn làm việc,loa JBL……</t>
  </si>
  <si>
    <t>Khác,…</t>
  </si>
  <si>
    <t>D</t>
  </si>
  <si>
    <t>CÔNG TÁC PHÍ</t>
  </si>
  <si>
    <t>Thuê xe, xăng xe</t>
  </si>
  <si>
    <t>Khách sạn, phòng nghỉ</t>
  </si>
  <si>
    <t>Tiếp khách CT Localize…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</si>
  <si>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</si>
  <si>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</si>
  <si>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</si>
  <si>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</si>
  <si>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</si>
  <si>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</si>
  <si>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</si>
  <si>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</si>
  <si>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 xml:space="preserve">Khác </t>
  </si>
  <si>
    <t>F</t>
  </si>
  <si>
    <t>THUẾ, PHÍ, LỆ PHÍ</t>
  </si>
  <si>
    <t>Thuế môn bài</t>
  </si>
  <si>
    <t>G</t>
  </si>
  <si>
    <t>CHI KHÁC: QUẢNG BÁ THƯƠNG HIỆU</t>
  </si>
  <si>
    <t>H</t>
  </si>
  <si>
    <t>KÝ QUỸ TÒA NHÀ, ĐẶT CỌC THI CÔNG CÔNG TRÌNH</t>
  </si>
  <si>
    <t>I</t>
  </si>
  <si>
    <t>CỌC DỰ THẦU:CT Data Center Tân Thuận</t>
  </si>
  <si>
    <t>K</t>
  </si>
  <si>
    <t>CÁ NHÂN SẾP MỸ</t>
  </si>
  <si>
    <t>Vay mua nhà</t>
  </si>
  <si>
    <t>TT  mua nhà của sếp</t>
  </si>
  <si>
    <t>Mua sắm….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</si>
</sst>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74" formatCode="_(* #,##0_);_(* \(#,##0\);_(* &quot;-&quot;??_);_(@_)"/>
    <numFmt numFmtId="180" formatCode="_-* #,##0\ _₫_-;\-* #,##0\ _₫_-;_-* &quot;-&quot;??\ _₫_-;_-@_-"/>
    <numFmt numFmtId="181" formatCode="_-* #,##0.0\ _₫_-;\-* #,##0.0\ _₫_-;_-* &quot;-&quot;??\ _₫_-;_-@_-"/>
    <numFmt numFmtId="182" formatCode="_-* #,##0.0\ _₫_-;\-* #,##0.0\ _₫_-;_-* &quot;-&quot;?\ _₫_-;_-@_-"/>
  </numFmts>
  <fonts count="42" x14ac:knownFonts="1">
    <font>
      <sz val="10"/>
      <name val="Arial"/>
      <family val="2"/>
      <charset val="163"/>
    </font>
    <font>
      <sz val="10"/>
      <name val="Arial"/>
      <charset val="163"/>
    </font>
    <font>
      <sz val="12"/>
      <name val="Arial"/>
      <family val="2"/>
      <charset val="163"/>
    </font>
    <font>
      <sz val="8"/>
      <name val="Arial"/>
      <family val="2"/>
      <charset val="163"/>
    </font>
    <font>
      <b/>
      <sz val="14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4"/>
      <name val="Times New Roman"/>
      <family val="1"/>
    </font>
    <font>
      <b/>
      <sz val="10"/>
      <name val="Times New Roman"/>
      <family val="1"/>
    </font>
    <font>
      <b/>
      <sz val="12"/>
      <color rgb="FFFF0000"/>
      <name val="Times New Roman"/>
      <family val="1"/>
    </font>
    <font>
      <sz val="12"/>
      <color rgb="FF00206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4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7030A0"/>
      <name val="Arial"/>
      <family val="2"/>
    </font>
    <font>
      <sz val="10"/>
      <color theme="1"/>
      <name val="Times New Roman"/>
      <family val="1"/>
    </font>
    <font>
      <sz val="11"/>
      <color rgb="FF00B050"/>
      <name val="Times New Roman"/>
      <family val="1"/>
    </font>
    <font>
      <b/>
      <i/>
      <sz val="20"/>
      <color theme="1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sz val="13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name val="Times New Roman"/>
      <family val="1"/>
    </font>
    <font>
      <b/>
      <sz val="17"/>
      <color theme="1"/>
      <name val="Times New Roman"/>
      <family val="1"/>
    </font>
    <font>
      <b/>
      <sz val="17"/>
      <color rgb="FF000000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name val="Times New Roman"/>
      <family val="1"/>
    </font>
    <font>
      <b/>
      <sz val="15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theme="0" tint="-4.9989318521683403E-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31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ill="0" applyBorder="0" applyAlignment="0" applyProtection="0"/>
  </cellStyleXfs>
  <cellXfs count="490">
    <xf numFmtId="0" fontId="0" fillId="0" borderId="0" xfId="0"/>
    <xf numFmtId="49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3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3" fontId="4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wrapText="1"/>
      <protection locked="0"/>
    </xf>
    <xf numFmtId="49" fontId="5" fillId="3" borderId="1" xfId="0" applyNumberFormat="1" applyFont="1" applyFill="1" applyBorder="1"/>
    <xf numFmtId="0" fontId="5" fillId="0" borderId="0" xfId="0" applyFont="1"/>
    <xf numFmtId="49" fontId="6" fillId="3" borderId="1" xfId="0" applyNumberFormat="1" applyFont="1" applyFill="1" applyBorder="1" applyAlignment="1" applyProtection="1">
      <alignment horizontal="left" wrapText="1"/>
      <protection locked="0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174" fontId="6" fillId="5" borderId="3" xfId="1" applyNumberFormat="1" applyFont="1" applyFill="1" applyBorder="1"/>
    <xf numFmtId="174" fontId="5" fillId="5" borderId="3" xfId="1" applyNumberFormat="1" applyFont="1" applyFill="1" applyBorder="1"/>
    <xf numFmtId="0" fontId="5" fillId="5" borderId="4" xfId="0" applyFont="1" applyFill="1" applyBorder="1" applyAlignment="1">
      <alignment horizontal="center" vertical="center"/>
    </xf>
    <xf numFmtId="174" fontId="6" fillId="5" borderId="4" xfId="1" applyNumberFormat="1" applyFont="1" applyFill="1" applyBorder="1"/>
    <xf numFmtId="174" fontId="5" fillId="5" borderId="4" xfId="1" applyNumberFormat="1" applyFont="1" applyFill="1" applyBorder="1"/>
    <xf numFmtId="0" fontId="5" fillId="5" borderId="5" xfId="0" applyFont="1" applyFill="1" applyBorder="1" applyAlignment="1">
      <alignment horizontal="center" vertical="center"/>
    </xf>
    <xf numFmtId="174" fontId="6" fillId="5" borderId="5" xfId="1" applyNumberFormat="1" applyFont="1" applyFill="1" applyBorder="1"/>
    <xf numFmtId="174" fontId="0" fillId="0" borderId="0" xfId="0" applyNumberFormat="1" applyProtection="1">
      <protection locked="0"/>
    </xf>
    <xf numFmtId="174" fontId="5" fillId="5" borderId="5" xfId="1" applyNumberFormat="1" applyFont="1" applyFill="1" applyBorder="1"/>
    <xf numFmtId="174" fontId="5" fillId="6" borderId="1" xfId="1" applyNumberFormat="1" applyFont="1" applyFill="1" applyBorder="1"/>
    <xf numFmtId="174" fontId="6" fillId="6" borderId="1" xfId="1" applyNumberFormat="1" applyFont="1" applyFill="1" applyBorder="1"/>
    <xf numFmtId="174" fontId="5" fillId="5" borderId="6" xfId="1" applyNumberFormat="1" applyFont="1" applyFill="1" applyBorder="1"/>
    <xf numFmtId="0" fontId="8" fillId="0" borderId="0" xfId="0" applyFont="1" applyFill="1" applyProtection="1">
      <protection locked="0"/>
    </xf>
    <xf numFmtId="174" fontId="8" fillId="0" borderId="0" xfId="1" applyNumberFormat="1" applyFont="1" applyFill="1" applyProtection="1">
      <protection locked="0"/>
    </xf>
    <xf numFmtId="174" fontId="7" fillId="0" borderId="0" xfId="0" applyNumberFormat="1" applyFont="1" applyFill="1" applyProtection="1">
      <protection locked="0"/>
    </xf>
    <xf numFmtId="174" fontId="15" fillId="7" borderId="1" xfId="1" applyNumberFormat="1" applyFont="1" applyFill="1" applyBorder="1"/>
    <xf numFmtId="0" fontId="15" fillId="7" borderId="1" xfId="0" applyFont="1" applyFill="1" applyBorder="1" applyAlignment="1">
      <alignment horizontal="left" vertical="center"/>
    </xf>
    <xf numFmtId="0" fontId="7" fillId="0" borderId="0" xfId="0" applyFont="1" applyProtection="1">
      <protection locked="0"/>
    </xf>
    <xf numFmtId="0" fontId="9" fillId="0" borderId="0" xfId="0" applyFont="1" applyAlignment="1"/>
    <xf numFmtId="0" fontId="5" fillId="0" borderId="0" xfId="0" applyFont="1" applyAlignment="1">
      <alignment horizontal="right"/>
    </xf>
    <xf numFmtId="0" fontId="10" fillId="8" borderId="1" xfId="0" applyFont="1" applyFill="1" applyBorder="1" applyAlignment="1">
      <alignment horizontal="center" vertical="center"/>
    </xf>
    <xf numFmtId="174" fontId="16" fillId="0" borderId="3" xfId="1" applyNumberFormat="1" applyFont="1" applyFill="1" applyBorder="1"/>
    <xf numFmtId="174" fontId="5" fillId="0" borderId="3" xfId="1" applyNumberFormat="1" applyFont="1" applyBorder="1"/>
    <xf numFmtId="3" fontId="5" fillId="0" borderId="3" xfId="0" applyNumberFormat="1" applyFont="1" applyBorder="1" applyAlignment="1" applyProtection="1">
      <alignment horizontal="right"/>
      <protection locked="0"/>
    </xf>
    <xf numFmtId="3" fontId="17" fillId="0" borderId="3" xfId="0" applyNumberFormat="1" applyFont="1" applyFill="1" applyBorder="1"/>
    <xf numFmtId="0" fontId="5" fillId="0" borderId="3" xfId="0" applyFont="1" applyBorder="1"/>
    <xf numFmtId="3" fontId="17" fillId="0" borderId="4" xfId="0" applyNumberFormat="1" applyFont="1" applyFill="1" applyBorder="1"/>
    <xf numFmtId="3" fontId="5" fillId="0" borderId="4" xfId="0" applyNumberFormat="1" applyFont="1" applyBorder="1" applyAlignment="1" applyProtection="1">
      <alignment horizontal="right"/>
      <protection locked="0"/>
    </xf>
    <xf numFmtId="0" fontId="5" fillId="0" borderId="4" xfId="0" applyFont="1" applyBorder="1"/>
    <xf numFmtId="174" fontId="16" fillId="0" borderId="7" xfId="1" applyNumberFormat="1" applyFont="1" applyFill="1" applyBorder="1"/>
    <xf numFmtId="0" fontId="11" fillId="0" borderId="4" xfId="0" applyFont="1" applyBorder="1" applyAlignment="1" applyProtection="1">
      <alignment horizontal="left" vertical="center" wrapText="1"/>
      <protection locked="0"/>
    </xf>
    <xf numFmtId="0" fontId="5" fillId="0" borderId="7" xfId="0" applyFont="1" applyBorder="1"/>
    <xf numFmtId="3" fontId="5" fillId="0" borderId="0" xfId="0" applyNumberFormat="1" applyFont="1" applyBorder="1" applyAlignment="1" applyProtection="1">
      <alignment horizontal="right"/>
      <protection locked="0"/>
    </xf>
    <xf numFmtId="0" fontId="5" fillId="0" borderId="5" xfId="0" applyFont="1" applyBorder="1"/>
    <xf numFmtId="174" fontId="16" fillId="0" borderId="8" xfId="1" applyNumberFormat="1" applyFont="1" applyFill="1" applyBorder="1"/>
    <xf numFmtId="0" fontId="11" fillId="0" borderId="8" xfId="0" applyFont="1" applyBorder="1" applyAlignment="1" applyProtection="1">
      <alignment horizontal="left" vertical="center" wrapText="1"/>
      <protection locked="0"/>
    </xf>
    <xf numFmtId="3" fontId="5" fillId="0" borderId="9" xfId="0" applyNumberFormat="1" applyFont="1" applyBorder="1" applyAlignment="1" applyProtection="1">
      <alignment horizontal="right"/>
      <protection locked="0"/>
    </xf>
    <xf numFmtId="3" fontId="5" fillId="0" borderId="10" xfId="0" applyNumberFormat="1" applyFont="1" applyBorder="1" applyAlignment="1" applyProtection="1">
      <alignment horizontal="right"/>
      <protection locked="0"/>
    </xf>
    <xf numFmtId="3" fontId="17" fillId="0" borderId="8" xfId="0" applyNumberFormat="1" applyFont="1" applyFill="1" applyBorder="1"/>
    <xf numFmtId="0" fontId="5" fillId="0" borderId="8" xfId="0" applyFont="1" applyBorder="1"/>
    <xf numFmtId="3" fontId="16" fillId="0" borderId="3" xfId="0" applyNumberFormat="1" applyFont="1" applyFill="1" applyBorder="1"/>
    <xf numFmtId="0" fontId="5" fillId="0" borderId="0" xfId="0" applyFont="1" applyBorder="1"/>
    <xf numFmtId="3" fontId="5" fillId="0" borderId="11" xfId="0" applyNumberFormat="1" applyFont="1" applyBorder="1" applyAlignment="1" applyProtection="1">
      <alignment horizontal="right"/>
      <protection locked="0"/>
    </xf>
    <xf numFmtId="3" fontId="5" fillId="0" borderId="5" xfId="0" applyNumberFormat="1" applyFont="1" applyBorder="1" applyAlignment="1" applyProtection="1">
      <alignment horizontal="right"/>
      <protection locked="0"/>
    </xf>
    <xf numFmtId="174" fontId="5" fillId="0" borderId="8" xfId="1" applyNumberFormat="1" applyFont="1" applyBorder="1"/>
    <xf numFmtId="3" fontId="5" fillId="0" borderId="8" xfId="0" applyNumberFormat="1" applyFont="1" applyBorder="1" applyAlignment="1" applyProtection="1">
      <alignment horizontal="right"/>
      <protection locked="0"/>
    </xf>
    <xf numFmtId="0" fontId="7" fillId="0" borderId="0" xfId="0" applyFont="1"/>
    <xf numFmtId="174" fontId="5" fillId="0" borderId="4" xfId="1" applyNumberFormat="1" applyFont="1" applyBorder="1"/>
    <xf numFmtId="174" fontId="5" fillId="0" borderId="5" xfId="1" applyNumberFormat="1" applyFont="1" applyBorder="1"/>
    <xf numFmtId="174" fontId="5" fillId="0" borderId="12" xfId="1" applyNumberFormat="1" applyFont="1" applyBorder="1"/>
    <xf numFmtId="3" fontId="5" fillId="0" borderId="13" xfId="0" applyNumberFormat="1" applyFont="1" applyBorder="1" applyAlignment="1" applyProtection="1">
      <alignment horizontal="right"/>
      <protection locked="0"/>
    </xf>
    <xf numFmtId="0" fontId="0" fillId="0" borderId="0" xfId="0" applyFill="1"/>
    <xf numFmtId="3" fontId="16" fillId="0" borderId="8" xfId="0" applyNumberFormat="1" applyFont="1" applyFill="1" applyBorder="1"/>
    <xf numFmtId="3" fontId="17" fillId="0" borderId="14" xfId="0" applyNumberFormat="1" applyFont="1" applyFill="1" applyBorder="1"/>
    <xf numFmtId="3" fontId="5" fillId="0" borderId="8" xfId="0" applyNumberFormat="1" applyFont="1" applyBorder="1"/>
    <xf numFmtId="0" fontId="7" fillId="0" borderId="0" xfId="0" applyFont="1" applyFill="1"/>
    <xf numFmtId="0" fontId="5" fillId="0" borderId="6" xfId="0" applyFont="1" applyBorder="1"/>
    <xf numFmtId="0" fontId="5" fillId="8" borderId="1" xfId="0" applyFont="1" applyFill="1" applyBorder="1"/>
    <xf numFmtId="174" fontId="6" fillId="8" borderId="1" xfId="1" applyNumberFormat="1" applyFont="1" applyFill="1" applyBorder="1"/>
    <xf numFmtId="3" fontId="6" fillId="8" borderId="1" xfId="0" applyNumberFormat="1" applyFont="1" applyFill="1" applyBorder="1"/>
    <xf numFmtId="0" fontId="2" fillId="0" borderId="0" xfId="0" applyFont="1" applyAlignment="1">
      <alignment horizontal="right"/>
    </xf>
    <xf numFmtId="0" fontId="12" fillId="0" borderId="0" xfId="0" applyFont="1"/>
    <xf numFmtId="174" fontId="16" fillId="0" borderId="6" xfId="1" applyNumberFormat="1" applyFont="1" applyFill="1" applyBorder="1"/>
    <xf numFmtId="3" fontId="5" fillId="0" borderId="6" xfId="0" applyNumberFormat="1" applyFont="1" applyBorder="1" applyAlignment="1" applyProtection="1">
      <alignment horizontal="right"/>
      <protection locked="0"/>
    </xf>
    <xf numFmtId="3" fontId="16" fillId="0" borderId="6" xfId="0" applyNumberFormat="1" applyFont="1" applyFill="1" applyBorder="1"/>
    <xf numFmtId="174" fontId="5" fillId="0" borderId="6" xfId="1" applyNumberFormat="1" applyFont="1" applyBorder="1"/>
    <xf numFmtId="0" fontId="12" fillId="0" borderId="0" xfId="0" applyFont="1" applyProtection="1">
      <protection locked="0"/>
    </xf>
    <xf numFmtId="3" fontId="11" fillId="0" borderId="4" xfId="0" applyNumberFormat="1" applyFont="1" applyFill="1" applyBorder="1" applyAlignment="1" applyProtection="1">
      <alignment horizontal="right"/>
      <protection locked="0"/>
    </xf>
    <xf numFmtId="3" fontId="5" fillId="0" borderId="3" xfId="1" applyNumberFormat="1" applyFont="1" applyBorder="1"/>
    <xf numFmtId="3" fontId="5" fillId="0" borderId="6" xfId="1" applyNumberFormat="1" applyFont="1" applyBorder="1"/>
    <xf numFmtId="3" fontId="5" fillId="0" borderId="4" xfId="1" applyNumberFormat="1" applyFont="1" applyBorder="1"/>
    <xf numFmtId="3" fontId="5" fillId="0" borderId="5" xfId="1" applyNumberFormat="1" applyFont="1" applyBorder="1"/>
    <xf numFmtId="3" fontId="5" fillId="0" borderId="12" xfId="1" applyNumberFormat="1" applyFont="1" applyBorder="1"/>
    <xf numFmtId="3" fontId="5" fillId="0" borderId="6" xfId="0" applyNumberFormat="1" applyFont="1" applyBorder="1"/>
    <xf numFmtId="0" fontId="12" fillId="0" borderId="4" xfId="0" applyFont="1" applyBorder="1"/>
    <xf numFmtId="0" fontId="12" fillId="0" borderId="8" xfId="0" applyFont="1" applyBorder="1"/>
    <xf numFmtId="0" fontId="18" fillId="0" borderId="0" xfId="0" applyFont="1"/>
    <xf numFmtId="3" fontId="11" fillId="0" borderId="4" xfId="0" applyNumberFormat="1" applyFont="1" applyFill="1" applyBorder="1" applyProtection="1">
      <protection locked="0"/>
    </xf>
    <xf numFmtId="174" fontId="11" fillId="0" borderId="4" xfId="1" applyNumberFormat="1" applyFont="1" applyFill="1" applyBorder="1" applyAlignment="1">
      <alignment horizontal="right" vertical="center" wrapText="1"/>
    </xf>
    <xf numFmtId="0" fontId="14" fillId="0" borderId="0" xfId="0" applyFont="1" applyProtection="1">
      <protection locked="0"/>
    </xf>
    <xf numFmtId="0" fontId="11" fillId="0" borderId="4" xfId="0" applyFont="1" applyFill="1" applyBorder="1" applyAlignment="1" applyProtection="1">
      <alignment horizontal="left"/>
      <protection locked="0"/>
    </xf>
    <xf numFmtId="0" fontId="11" fillId="0" borderId="4" xfId="0" applyFont="1" applyFill="1" applyBorder="1" applyAlignment="1" applyProtection="1">
      <alignment horizontal="center"/>
      <protection locked="0"/>
    </xf>
    <xf numFmtId="49" fontId="11" fillId="0" borderId="11" xfId="0" applyNumberFormat="1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4" xfId="0" applyFont="1" applyFill="1" applyBorder="1" applyAlignment="1" applyProtection="1">
      <alignment horizontal="left" wrapText="1"/>
      <protection locked="0"/>
    </xf>
    <xf numFmtId="0" fontId="19" fillId="0" borderId="4" xfId="0" applyFont="1" applyFill="1" applyBorder="1" applyAlignment="1">
      <alignment vertical="center" wrapText="1"/>
    </xf>
    <xf numFmtId="3" fontId="16" fillId="9" borderId="3" xfId="0" applyNumberFormat="1" applyFont="1" applyFill="1" applyBorder="1"/>
    <xf numFmtId="0" fontId="5" fillId="9" borderId="3" xfId="0" applyFont="1" applyFill="1" applyBorder="1"/>
    <xf numFmtId="3" fontId="5" fillId="9" borderId="3" xfId="0" applyNumberFormat="1" applyFont="1" applyFill="1" applyBorder="1" applyAlignment="1" applyProtection="1">
      <alignment horizontal="right"/>
      <protection locked="0"/>
    </xf>
    <xf numFmtId="3" fontId="17" fillId="9" borderId="4" xfId="0" applyNumberFormat="1" applyFont="1" applyFill="1" applyBorder="1"/>
    <xf numFmtId="3" fontId="16" fillId="9" borderId="6" xfId="0" applyNumberFormat="1" applyFont="1" applyFill="1" applyBorder="1"/>
    <xf numFmtId="0" fontId="5" fillId="9" borderId="0" xfId="0" applyFont="1" applyFill="1" applyBorder="1"/>
    <xf numFmtId="3" fontId="5" fillId="9" borderId="6" xfId="0" applyNumberFormat="1" applyFont="1" applyFill="1" applyBorder="1" applyAlignment="1" applyProtection="1">
      <alignment horizontal="right"/>
      <protection locked="0"/>
    </xf>
    <xf numFmtId="0" fontId="5" fillId="9" borderId="6" xfId="0" applyFont="1" applyFill="1" applyBorder="1"/>
    <xf numFmtId="3" fontId="16" fillId="9" borderId="4" xfId="0" applyNumberFormat="1" applyFont="1" applyFill="1" applyBorder="1"/>
    <xf numFmtId="3" fontId="5" fillId="9" borderId="11" xfId="0" applyNumberFormat="1" applyFont="1" applyFill="1" applyBorder="1" applyAlignment="1" applyProtection="1">
      <alignment horizontal="right"/>
      <protection locked="0"/>
    </xf>
    <xf numFmtId="3" fontId="5" fillId="9" borderId="4" xfId="0" applyNumberFormat="1" applyFont="1" applyFill="1" applyBorder="1" applyAlignment="1" applyProtection="1">
      <alignment horizontal="right"/>
      <protection locked="0"/>
    </xf>
    <xf numFmtId="0" fontId="5" fillId="9" borderId="4" xfId="0" applyFont="1" applyFill="1" applyBorder="1"/>
    <xf numFmtId="3" fontId="16" fillId="9" borderId="5" xfId="0" applyNumberFormat="1" applyFont="1" applyFill="1" applyBorder="1"/>
    <xf numFmtId="0" fontId="11" fillId="9" borderId="4" xfId="0" applyFont="1" applyFill="1" applyBorder="1" applyAlignment="1" applyProtection="1">
      <alignment horizontal="left" vertical="center" wrapText="1"/>
      <protection locked="0"/>
    </xf>
    <xf numFmtId="3" fontId="5" fillId="9" borderId="0" xfId="0" applyNumberFormat="1" applyFont="1" applyFill="1" applyBorder="1" applyAlignment="1" applyProtection="1">
      <alignment horizontal="right"/>
      <protection locked="0"/>
    </xf>
    <xf numFmtId="3" fontId="5" fillId="9" borderId="5" xfId="0" applyNumberFormat="1" applyFont="1" applyFill="1" applyBorder="1" applyAlignment="1" applyProtection="1">
      <alignment horizontal="right"/>
      <protection locked="0"/>
    </xf>
    <xf numFmtId="0" fontId="5" fillId="9" borderId="5" xfId="0" applyFont="1" applyFill="1" applyBorder="1"/>
    <xf numFmtId="3" fontId="16" fillId="9" borderId="8" xfId="0" applyNumberFormat="1" applyFont="1" applyFill="1" applyBorder="1"/>
    <xf numFmtId="0" fontId="11" fillId="9" borderId="8" xfId="0" applyFont="1" applyFill="1" applyBorder="1" applyAlignment="1" applyProtection="1">
      <alignment horizontal="left" vertical="center" wrapText="1"/>
      <protection locked="0"/>
    </xf>
    <xf numFmtId="0" fontId="5" fillId="9" borderId="8" xfId="0" applyFont="1" applyFill="1" applyBorder="1"/>
    <xf numFmtId="3" fontId="5" fillId="9" borderId="8" xfId="0" applyNumberFormat="1" applyFont="1" applyFill="1" applyBorder="1" applyAlignment="1" applyProtection="1">
      <alignment horizontal="right"/>
      <protection locked="0"/>
    </xf>
    <xf numFmtId="174" fontId="5" fillId="9" borderId="3" xfId="1" applyNumberFormat="1" applyFont="1" applyFill="1" applyBorder="1"/>
    <xf numFmtId="3" fontId="17" fillId="9" borderId="3" xfId="0" applyNumberFormat="1" applyFont="1" applyFill="1" applyBorder="1"/>
    <xf numFmtId="174" fontId="5" fillId="9" borderId="6" xfId="1" applyNumberFormat="1" applyFont="1" applyFill="1" applyBorder="1"/>
    <xf numFmtId="174" fontId="5" fillId="9" borderId="4" xfId="1" applyNumberFormat="1" applyFont="1" applyFill="1" applyBorder="1" applyAlignment="1">
      <alignment horizontal="right"/>
    </xf>
    <xf numFmtId="3" fontId="5" fillId="9" borderId="15" xfId="0" applyNumberFormat="1" applyFont="1" applyFill="1" applyBorder="1" applyAlignment="1" applyProtection="1">
      <alignment horizontal="right"/>
      <protection locked="0"/>
    </xf>
    <xf numFmtId="174" fontId="5" fillId="9" borderId="0" xfId="1" applyNumberFormat="1" applyFont="1" applyFill="1" applyBorder="1" applyAlignment="1">
      <alignment horizontal="right"/>
    </xf>
    <xf numFmtId="174" fontId="5" fillId="9" borderId="16" xfId="1" applyNumberFormat="1" applyFont="1" applyFill="1" applyBorder="1"/>
    <xf numFmtId="3" fontId="5" fillId="9" borderId="17" xfId="0" applyNumberFormat="1" applyFont="1" applyFill="1" applyBorder="1" applyAlignment="1" applyProtection="1">
      <alignment horizontal="right"/>
      <protection locked="0"/>
    </xf>
    <xf numFmtId="3" fontId="5" fillId="9" borderId="12" xfId="0" applyNumberFormat="1" applyFont="1" applyFill="1" applyBorder="1" applyAlignment="1" applyProtection="1">
      <alignment horizontal="right"/>
      <protection locked="0"/>
    </xf>
    <xf numFmtId="174" fontId="5" fillId="9" borderId="8" xfId="1" applyNumberFormat="1" applyFont="1" applyFill="1" applyBorder="1"/>
    <xf numFmtId="3" fontId="17" fillId="9" borderId="8" xfId="0" applyNumberFormat="1" applyFont="1" applyFill="1" applyBorder="1"/>
    <xf numFmtId="174" fontId="5" fillId="9" borderId="4" xfId="1" applyNumberFormat="1" applyFont="1" applyFill="1" applyBorder="1"/>
    <xf numFmtId="3" fontId="5" fillId="9" borderId="3" xfId="0" applyNumberFormat="1" applyFont="1" applyFill="1" applyBorder="1"/>
    <xf numFmtId="3" fontId="5" fillId="9" borderId="3" xfId="1" applyNumberFormat="1" applyFont="1" applyFill="1" applyBorder="1"/>
    <xf numFmtId="3" fontId="5" fillId="9" borderId="6" xfId="0" applyNumberFormat="1" applyFont="1" applyFill="1" applyBorder="1"/>
    <xf numFmtId="3" fontId="5" fillId="9" borderId="16" xfId="1" applyNumberFormat="1" applyFont="1" applyFill="1" applyBorder="1"/>
    <xf numFmtId="3" fontId="5" fillId="9" borderId="4" xfId="1" applyNumberFormat="1" applyFont="1" applyFill="1" applyBorder="1"/>
    <xf numFmtId="3" fontId="5" fillId="9" borderId="5" xfId="0" applyNumberFormat="1" applyFont="1" applyFill="1" applyBorder="1"/>
    <xf numFmtId="3" fontId="5" fillId="9" borderId="8" xfId="1" applyNumberFormat="1" applyFont="1" applyFill="1" applyBorder="1"/>
    <xf numFmtId="3" fontId="5" fillId="0" borderId="4" xfId="0" applyNumberFormat="1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11" fillId="0" borderId="6" xfId="0" applyFont="1" applyFill="1" applyBorder="1" applyAlignment="1" applyProtection="1">
      <alignment horizontal="left"/>
      <protection locked="0"/>
    </xf>
    <xf numFmtId="0" fontId="12" fillId="0" borderId="0" xfId="0" applyFont="1" applyAlignment="1">
      <alignment horizontal="left"/>
    </xf>
    <xf numFmtId="0" fontId="5" fillId="0" borderId="4" xfId="0" applyFont="1" applyFill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11" fillId="0" borderId="8" xfId="0" applyFont="1" applyFill="1" applyBorder="1" applyAlignment="1" applyProtection="1">
      <alignment horizontal="left" wrapText="1"/>
      <protection locked="0"/>
    </xf>
    <xf numFmtId="3" fontId="11" fillId="0" borderId="8" xfId="0" applyNumberFormat="1" applyFont="1" applyFill="1" applyBorder="1" applyAlignment="1" applyProtection="1">
      <alignment horizontal="right"/>
      <protection locked="0"/>
    </xf>
    <xf numFmtId="174" fontId="17" fillId="0" borderId="7" xfId="1" applyNumberFormat="1" applyFont="1" applyFill="1" applyBorder="1" applyAlignment="1">
      <alignment horizontal="center" vertical="center"/>
    </xf>
    <xf numFmtId="174" fontId="5" fillId="0" borderId="7" xfId="1" applyNumberFormat="1" applyFont="1" applyFill="1" applyBorder="1" applyAlignment="1">
      <alignment horizontal="right" vertical="center"/>
    </xf>
    <xf numFmtId="174" fontId="17" fillId="0" borderId="7" xfId="0" applyNumberFormat="1" applyFont="1" applyFill="1" applyBorder="1" applyAlignment="1">
      <alignment horizontal="center" vertical="center"/>
    </xf>
    <xf numFmtId="3" fontId="5" fillId="0" borderId="3" xfId="0" applyNumberFormat="1" applyFont="1" applyBorder="1"/>
    <xf numFmtId="49" fontId="11" fillId="0" borderId="11" xfId="0" applyNumberFormat="1" applyFont="1" applyFill="1" applyBorder="1" applyAlignment="1" applyProtection="1">
      <alignment horizontal="center" vertical="center"/>
      <protection locked="0"/>
    </xf>
    <xf numFmtId="0" fontId="11" fillId="0" borderId="4" xfId="0" applyFont="1" applyFill="1" applyBorder="1" applyAlignment="1" applyProtection="1">
      <alignment horizontal="left" vertical="center" wrapText="1"/>
      <protection locked="0"/>
    </xf>
    <xf numFmtId="3" fontId="11" fillId="0" borderId="4" xfId="0" applyNumberFormat="1" applyFont="1" applyFill="1" applyBorder="1" applyAlignment="1" applyProtection="1">
      <alignment horizontal="right" vertical="center"/>
      <protection locked="0"/>
    </xf>
    <xf numFmtId="0" fontId="11" fillId="0" borderId="4" xfId="0" applyFont="1" applyFill="1" applyBorder="1" applyAlignment="1" applyProtection="1">
      <alignment horizontal="center" vertical="center"/>
      <protection locked="0"/>
    </xf>
    <xf numFmtId="0" fontId="11" fillId="0" borderId="4" xfId="0" applyFont="1" applyFill="1" applyBorder="1" applyAlignment="1" applyProtection="1">
      <alignment horizontal="left" vertical="center"/>
      <protection locked="0"/>
    </xf>
    <xf numFmtId="0" fontId="5" fillId="0" borderId="4" xfId="0" applyFont="1" applyFill="1" applyBorder="1" applyAlignment="1" applyProtection="1">
      <alignment horizontal="left" vertical="center"/>
      <protection locked="0"/>
    </xf>
    <xf numFmtId="0" fontId="12" fillId="0" borderId="0" xfId="0" applyFont="1" applyAlignment="1" applyProtection="1">
      <alignment vertical="center"/>
      <protection locked="0"/>
    </xf>
    <xf numFmtId="3" fontId="15" fillId="7" borderId="1" xfId="0" applyNumberFormat="1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74" fontId="6" fillId="5" borderId="4" xfId="1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174" fontId="15" fillId="5" borderId="4" xfId="1" applyNumberFormat="1" applyFont="1" applyFill="1" applyBorder="1" applyAlignment="1">
      <alignment horizontal="center" vertical="center"/>
    </xf>
    <xf numFmtId="0" fontId="11" fillId="0" borderId="8" xfId="0" applyFont="1" applyBorder="1"/>
    <xf numFmtId="0" fontId="11" fillId="0" borderId="8" xfId="0" applyFont="1" applyFill="1" applyBorder="1" applyAlignment="1" applyProtection="1">
      <alignment horizontal="left"/>
      <protection locked="0"/>
    </xf>
    <xf numFmtId="0" fontId="0" fillId="0" borderId="4" xfId="0" applyBorder="1"/>
    <xf numFmtId="0" fontId="0" fillId="0" borderId="8" xfId="0" applyBorder="1"/>
    <xf numFmtId="0" fontId="9" fillId="0" borderId="0" xfId="0" applyFont="1" applyBorder="1" applyAlignment="1">
      <alignment horizontal="center"/>
    </xf>
    <xf numFmtId="0" fontId="12" fillId="0" borderId="4" xfId="0" applyFont="1" applyFill="1" applyBorder="1" applyAlignment="1" applyProtection="1">
      <alignment horizontal="left"/>
      <protection locked="0"/>
    </xf>
    <xf numFmtId="3" fontId="5" fillId="9" borderId="8" xfId="0" applyNumberFormat="1" applyFont="1" applyFill="1" applyBorder="1"/>
    <xf numFmtId="3" fontId="5" fillId="9" borderId="4" xfId="0" applyNumberFormat="1" applyFont="1" applyFill="1" applyBorder="1"/>
    <xf numFmtId="0" fontId="12" fillId="0" borderId="3" xfId="0" applyFont="1" applyBorder="1" applyProtection="1">
      <protection locked="0"/>
    </xf>
    <xf numFmtId="0" fontId="12" fillId="0" borderId="4" xfId="0" applyFont="1" applyBorder="1" applyProtection="1">
      <protection locked="0"/>
    </xf>
    <xf numFmtId="0" fontId="12" fillId="0" borderId="4" xfId="0" applyFont="1" applyBorder="1" applyAlignment="1" applyProtection="1">
      <alignment vertical="center"/>
      <protection locked="0"/>
    </xf>
    <xf numFmtId="174" fontId="17" fillId="0" borderId="8" xfId="1" applyNumberFormat="1" applyFont="1" applyFill="1" applyBorder="1" applyAlignment="1">
      <alignment horizontal="center" vertical="center"/>
    </xf>
    <xf numFmtId="174" fontId="5" fillId="0" borderId="8" xfId="1" applyNumberFormat="1" applyFont="1" applyFill="1" applyBorder="1" applyAlignment="1">
      <alignment horizontal="right" vertical="center"/>
    </xf>
    <xf numFmtId="174" fontId="17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174" fontId="17" fillId="0" borderId="18" xfId="1" applyNumberFormat="1" applyFont="1" applyFill="1" applyBorder="1" applyAlignment="1">
      <alignment horizontal="center" vertical="center"/>
    </xf>
    <xf numFmtId="174" fontId="5" fillId="0" borderId="18" xfId="1" applyNumberFormat="1" applyFont="1" applyFill="1" applyBorder="1" applyAlignment="1">
      <alignment horizontal="right" vertical="center"/>
    </xf>
    <xf numFmtId="174" fontId="17" fillId="0" borderId="18" xfId="0" applyNumberFormat="1" applyFont="1" applyFill="1" applyBorder="1" applyAlignment="1">
      <alignment horizontal="center" vertical="center"/>
    </xf>
    <xf numFmtId="0" fontId="20" fillId="0" borderId="18" xfId="0" applyFont="1" applyFill="1" applyBorder="1"/>
    <xf numFmtId="0" fontId="5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center"/>
    </xf>
    <xf numFmtId="174" fontId="21" fillId="0" borderId="7" xfId="1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174" fontId="13" fillId="0" borderId="7" xfId="1" applyNumberFormat="1" applyFont="1" applyFill="1" applyBorder="1" applyAlignment="1">
      <alignment horizontal="right" vertical="center"/>
    </xf>
    <xf numFmtId="174" fontId="21" fillId="0" borderId="7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174" fontId="21" fillId="4" borderId="3" xfId="1" applyNumberFormat="1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174" fontId="13" fillId="4" borderId="3" xfId="1" applyNumberFormat="1" applyFont="1" applyFill="1" applyBorder="1" applyAlignment="1">
      <alignment horizontal="right" vertical="center"/>
    </xf>
    <xf numFmtId="174" fontId="21" fillId="4" borderId="3" xfId="0" applyNumberFormat="1" applyFont="1" applyFill="1" applyBorder="1" applyAlignment="1">
      <alignment horizontal="center" vertical="center"/>
    </xf>
    <xf numFmtId="174" fontId="17" fillId="4" borderId="3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74" fontId="5" fillId="4" borderId="3" xfId="1" applyNumberFormat="1" applyFont="1" applyFill="1" applyBorder="1" applyAlignment="1">
      <alignment horizontal="right" vertical="center"/>
    </xf>
    <xf numFmtId="174" fontId="17" fillId="4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/>
    <xf numFmtId="174" fontId="17" fillId="4" borderId="3" xfId="0" applyNumberFormat="1" applyFont="1" applyFill="1" applyBorder="1"/>
    <xf numFmtId="0" fontId="18" fillId="4" borderId="3" xfId="0" applyFont="1" applyFill="1" applyBorder="1"/>
    <xf numFmtId="174" fontId="5" fillId="4" borderId="3" xfId="0" applyNumberFormat="1" applyFont="1" applyFill="1" applyBorder="1" applyAlignment="1">
      <alignment horizontal="right" vertical="center"/>
    </xf>
    <xf numFmtId="0" fontId="11" fillId="0" borderId="6" xfId="0" applyFont="1" applyFill="1" applyBorder="1" applyAlignment="1" applyProtection="1">
      <alignment horizontal="center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2" fillId="4" borderId="3" xfId="0" applyFont="1" applyFill="1" applyBorder="1"/>
    <xf numFmtId="0" fontId="11" fillId="0" borderId="8" xfId="0" applyFont="1" applyFill="1" applyBorder="1" applyAlignment="1" applyProtection="1">
      <alignment horizontal="left" vertical="center" wrapText="1"/>
      <protection locked="0"/>
    </xf>
    <xf numFmtId="3" fontId="11" fillId="0" borderId="8" xfId="0" applyNumberFormat="1" applyFont="1" applyFill="1" applyBorder="1" applyAlignment="1" applyProtection="1">
      <alignment horizontal="right" vertical="center"/>
      <protection locked="0"/>
    </xf>
    <xf numFmtId="0" fontId="12" fillId="0" borderId="8" xfId="0" applyFont="1" applyBorder="1" applyAlignment="1">
      <alignment vertical="center"/>
    </xf>
    <xf numFmtId="0" fontId="14" fillId="0" borderId="0" xfId="0" applyFont="1"/>
    <xf numFmtId="0" fontId="12" fillId="0" borderId="8" xfId="0" applyFont="1" applyFill="1" applyBorder="1" applyAlignment="1" applyProtection="1">
      <alignment horizontal="left"/>
      <protection locked="0"/>
    </xf>
    <xf numFmtId="0" fontId="12" fillId="0" borderId="5" xfId="0" applyFont="1" applyBorder="1"/>
    <xf numFmtId="3" fontId="11" fillId="0" borderId="5" xfId="0" applyNumberFormat="1" applyFont="1" applyFill="1" applyBorder="1" applyAlignment="1" applyProtection="1">
      <alignment horizontal="right"/>
      <protection locked="0"/>
    </xf>
    <xf numFmtId="3" fontId="11" fillId="0" borderId="8" xfId="0" applyNumberFormat="1" applyFont="1" applyFill="1" applyBorder="1" applyProtection="1">
      <protection locked="0"/>
    </xf>
    <xf numFmtId="3" fontId="11" fillId="10" borderId="4" xfId="0" applyNumberFormat="1" applyFont="1" applyFill="1" applyBorder="1" applyAlignment="1" applyProtection="1">
      <alignment horizontal="right"/>
      <protection locked="0"/>
    </xf>
    <xf numFmtId="3" fontId="11" fillId="10" borderId="4" xfId="0" applyNumberFormat="1" applyFont="1" applyFill="1" applyBorder="1" applyProtection="1">
      <protection locked="0"/>
    </xf>
    <xf numFmtId="3" fontId="12" fillId="0" borderId="0" xfId="0" applyNumberFormat="1" applyFont="1" applyProtection="1">
      <protection locked="0"/>
    </xf>
    <xf numFmtId="0" fontId="11" fillId="10" borderId="4" xfId="0" applyFont="1" applyFill="1" applyBorder="1" applyAlignment="1" applyProtection="1">
      <alignment horizontal="left"/>
      <protection locked="0"/>
    </xf>
    <xf numFmtId="0" fontId="11" fillId="10" borderId="4" xfId="0" applyFont="1" applyFill="1" applyBorder="1" applyAlignment="1" applyProtection="1">
      <alignment horizontal="left" wrapText="1"/>
      <protection locked="0"/>
    </xf>
    <xf numFmtId="0" fontId="11" fillId="10" borderId="4" xfId="0" applyFont="1" applyFill="1" applyBorder="1" applyAlignment="1" applyProtection="1">
      <alignment horizontal="left" vertical="center" wrapText="1"/>
      <protection locked="0"/>
    </xf>
    <xf numFmtId="3" fontId="11" fillId="10" borderId="4" xfId="0" applyNumberFormat="1" applyFont="1" applyFill="1" applyBorder="1" applyAlignment="1" applyProtection="1">
      <alignment horizontal="right" vertical="center"/>
      <protection locked="0"/>
    </xf>
    <xf numFmtId="0" fontId="11" fillId="10" borderId="5" xfId="0" applyFont="1" applyFill="1" applyBorder="1" applyAlignment="1" applyProtection="1">
      <alignment horizontal="left" wrapText="1"/>
      <protection locked="0"/>
    </xf>
    <xf numFmtId="174" fontId="5" fillId="10" borderId="4" xfId="1" applyNumberFormat="1" applyFont="1" applyFill="1" applyBorder="1" applyAlignment="1">
      <alignment horizontal="right" vertical="center"/>
    </xf>
    <xf numFmtId="0" fontId="22" fillId="0" borderId="4" xfId="0" applyFont="1" applyFill="1" applyBorder="1" applyAlignment="1" applyProtection="1">
      <alignment horizontal="left" wrapText="1"/>
      <protection locked="0"/>
    </xf>
    <xf numFmtId="3" fontId="22" fillId="0" borderId="4" xfId="0" applyNumberFormat="1" applyFont="1" applyFill="1" applyBorder="1" applyAlignment="1" applyProtection="1">
      <alignment horizontal="right"/>
      <protection locked="0"/>
    </xf>
    <xf numFmtId="0" fontId="22" fillId="0" borderId="4" xfId="0" applyFont="1" applyFill="1" applyBorder="1" applyAlignment="1" applyProtection="1">
      <alignment horizontal="left"/>
      <protection locked="0"/>
    </xf>
    <xf numFmtId="3" fontId="22" fillId="0" borderId="4" xfId="0" applyNumberFormat="1" applyFont="1" applyFill="1" applyBorder="1" applyProtection="1">
      <protection locked="0"/>
    </xf>
    <xf numFmtId="3" fontId="2" fillId="10" borderId="0" xfId="0" applyNumberFormat="1" applyFont="1" applyFill="1" applyProtection="1">
      <protection locked="0"/>
    </xf>
    <xf numFmtId="3" fontId="11" fillId="11" borderId="4" xfId="0" applyNumberFormat="1" applyFont="1" applyFill="1" applyBorder="1" applyAlignment="1" applyProtection="1">
      <alignment horizontal="right"/>
      <protection locked="0"/>
    </xf>
    <xf numFmtId="3" fontId="12" fillId="10" borderId="0" xfId="0" applyNumberFormat="1" applyFont="1" applyFill="1" applyProtection="1">
      <protection locked="0"/>
    </xf>
    <xf numFmtId="0" fontId="11" fillId="12" borderId="4" xfId="0" applyFont="1" applyFill="1" applyBorder="1" applyAlignment="1" applyProtection="1">
      <alignment horizontal="left"/>
      <protection locked="0"/>
    </xf>
    <xf numFmtId="3" fontId="11" fillId="12" borderId="4" xfId="0" applyNumberFormat="1" applyFont="1" applyFill="1" applyBorder="1" applyAlignment="1" applyProtection="1">
      <alignment horizontal="right"/>
      <protection locked="0"/>
    </xf>
    <xf numFmtId="0" fontId="11" fillId="12" borderId="4" xfId="0" applyFont="1" applyFill="1" applyBorder="1" applyAlignment="1" applyProtection="1">
      <alignment horizontal="left" wrapText="1"/>
      <protection locked="0"/>
    </xf>
    <xf numFmtId="3" fontId="12" fillId="12" borderId="0" xfId="0" applyNumberFormat="1" applyFont="1" applyFill="1" applyProtection="1">
      <protection locked="0"/>
    </xf>
    <xf numFmtId="3" fontId="11" fillId="13" borderId="4" xfId="0" applyNumberFormat="1" applyFont="1" applyFill="1" applyBorder="1" applyAlignment="1" applyProtection="1">
      <alignment horizontal="right"/>
      <protection locked="0"/>
    </xf>
    <xf numFmtId="0" fontId="11" fillId="14" borderId="4" xfId="0" applyFont="1" applyFill="1" applyBorder="1" applyAlignment="1" applyProtection="1">
      <alignment horizontal="left"/>
      <protection locked="0"/>
    </xf>
    <xf numFmtId="3" fontId="11" fillId="14" borderId="4" xfId="0" applyNumberFormat="1" applyFont="1" applyFill="1" applyBorder="1" applyAlignment="1" applyProtection="1">
      <alignment horizontal="right"/>
      <protection locked="0"/>
    </xf>
    <xf numFmtId="0" fontId="11" fillId="14" borderId="4" xfId="0" applyFont="1" applyFill="1" applyBorder="1" applyAlignment="1" applyProtection="1">
      <alignment horizontal="left" wrapText="1"/>
      <protection locked="0"/>
    </xf>
    <xf numFmtId="3" fontId="12" fillId="14" borderId="0" xfId="0" applyNumberFormat="1" applyFont="1" applyFill="1" applyProtection="1">
      <protection locked="0"/>
    </xf>
    <xf numFmtId="0" fontId="12" fillId="13" borderId="0" xfId="0" applyFont="1" applyFill="1" applyProtection="1">
      <protection locked="0"/>
    </xf>
    <xf numFmtId="3" fontId="14" fillId="0" borderId="0" xfId="0" applyNumberFormat="1" applyFont="1" applyProtection="1">
      <protection locked="0"/>
    </xf>
    <xf numFmtId="174" fontId="1" fillId="0" borderId="0" xfId="1" applyNumberFormat="1" applyProtection="1">
      <protection locked="0"/>
    </xf>
    <xf numFmtId="0" fontId="12" fillId="12" borderId="4" xfId="0" applyFont="1" applyFill="1" applyBorder="1" applyAlignment="1" applyProtection="1">
      <alignment horizontal="left"/>
      <protection locked="0"/>
    </xf>
    <xf numFmtId="0" fontId="12" fillId="10" borderId="4" xfId="0" applyFont="1" applyFill="1" applyBorder="1" applyAlignment="1" applyProtection="1">
      <alignment horizontal="left"/>
      <protection locked="0"/>
    </xf>
    <xf numFmtId="0" fontId="11" fillId="13" borderId="4" xfId="0" applyFont="1" applyFill="1" applyBorder="1" applyAlignment="1" applyProtection="1">
      <alignment horizontal="left" wrapText="1"/>
      <protection locked="0"/>
    </xf>
    <xf numFmtId="0" fontId="11" fillId="13" borderId="4" xfId="0" applyFont="1" applyFill="1" applyBorder="1" applyAlignment="1" applyProtection="1">
      <alignment horizontal="left"/>
      <protection locked="0"/>
    </xf>
    <xf numFmtId="3" fontId="18" fillId="13" borderId="4" xfId="0" applyNumberFormat="1" applyFont="1" applyFill="1" applyBorder="1" applyAlignment="1" applyProtection="1">
      <alignment horizontal="right"/>
      <protection locked="0"/>
    </xf>
    <xf numFmtId="0" fontId="11" fillId="16" borderId="4" xfId="0" applyFont="1" applyFill="1" applyBorder="1" applyAlignment="1" applyProtection="1">
      <alignment horizontal="left" wrapText="1"/>
      <protection locked="0"/>
    </xf>
    <xf numFmtId="0" fontId="11" fillId="17" borderId="4" xfId="0" applyFont="1" applyFill="1" applyBorder="1" applyAlignment="1" applyProtection="1">
      <alignment horizontal="left" wrapText="1"/>
      <protection locked="0"/>
    </xf>
    <xf numFmtId="0" fontId="11" fillId="18" borderId="4" xfId="0" applyFont="1" applyFill="1" applyBorder="1" applyAlignment="1" applyProtection="1">
      <alignment horizontal="left" wrapText="1"/>
      <protection locked="0"/>
    </xf>
    <xf numFmtId="3" fontId="11" fillId="18" borderId="4" xfId="0" applyNumberFormat="1" applyFont="1" applyFill="1" applyBorder="1" applyAlignment="1" applyProtection="1">
      <alignment horizontal="right"/>
      <protection locked="0"/>
    </xf>
    <xf numFmtId="3" fontId="12" fillId="18" borderId="0" xfId="0" applyNumberFormat="1" applyFont="1" applyFill="1" applyProtection="1">
      <protection locked="0"/>
    </xf>
    <xf numFmtId="0" fontId="11" fillId="19" borderId="4" xfId="0" applyFont="1" applyFill="1" applyBorder="1" applyAlignment="1" applyProtection="1">
      <alignment horizontal="left" wrapText="1"/>
      <protection locked="0"/>
    </xf>
    <xf numFmtId="3" fontId="11" fillId="19" borderId="4" xfId="0" applyNumberFormat="1" applyFont="1" applyFill="1" applyBorder="1" applyAlignment="1" applyProtection="1">
      <alignment horizontal="right"/>
      <protection locked="0"/>
    </xf>
    <xf numFmtId="0" fontId="11" fillId="19" borderId="4" xfId="0" applyFont="1" applyFill="1" applyBorder="1" applyAlignment="1" applyProtection="1">
      <alignment horizontal="left"/>
      <protection locked="0"/>
    </xf>
    <xf numFmtId="3" fontId="12" fillId="19" borderId="0" xfId="0" applyNumberFormat="1" applyFont="1" applyFill="1" applyProtection="1">
      <protection locked="0"/>
    </xf>
    <xf numFmtId="3" fontId="11" fillId="19" borderId="4" xfId="0" applyNumberFormat="1" applyFont="1" applyFill="1" applyBorder="1" applyProtection="1">
      <protection locked="0"/>
    </xf>
    <xf numFmtId="3" fontId="12" fillId="20" borderId="0" xfId="0" applyNumberFormat="1" applyFont="1" applyFill="1" applyProtection="1">
      <protection locked="0"/>
    </xf>
    <xf numFmtId="0" fontId="11" fillId="20" borderId="4" xfId="0" applyFont="1" applyFill="1" applyBorder="1" applyAlignment="1" applyProtection="1">
      <alignment horizontal="left" wrapText="1"/>
      <protection locked="0"/>
    </xf>
    <xf numFmtId="3" fontId="11" fillId="20" borderId="4" xfId="0" applyNumberFormat="1" applyFont="1" applyFill="1" applyBorder="1" applyAlignment="1" applyProtection="1">
      <alignment horizontal="right"/>
      <protection locked="0"/>
    </xf>
    <xf numFmtId="0" fontId="11" fillId="20" borderId="4" xfId="0" applyFont="1" applyFill="1" applyBorder="1" applyAlignment="1" applyProtection="1">
      <alignment horizontal="left"/>
      <protection locked="0"/>
    </xf>
    <xf numFmtId="3" fontId="12" fillId="17" borderId="0" xfId="0" applyNumberFormat="1" applyFont="1" applyFill="1" applyProtection="1">
      <protection locked="0"/>
    </xf>
    <xf numFmtId="3" fontId="12" fillId="21" borderId="0" xfId="0" applyNumberFormat="1" applyFont="1" applyFill="1" applyProtection="1">
      <protection locked="0"/>
    </xf>
    <xf numFmtId="0" fontId="11" fillId="21" borderId="4" xfId="0" applyFont="1" applyFill="1" applyBorder="1" applyAlignment="1" applyProtection="1">
      <alignment horizontal="left" wrapText="1"/>
      <protection locked="0"/>
    </xf>
    <xf numFmtId="3" fontId="11" fillId="21" borderId="4" xfId="0" applyNumberFormat="1" applyFont="1" applyFill="1" applyBorder="1" applyAlignment="1" applyProtection="1">
      <alignment horizontal="right"/>
      <protection locked="0"/>
    </xf>
    <xf numFmtId="3" fontId="11" fillId="22" borderId="4" xfId="0" applyNumberFormat="1" applyFont="1" applyFill="1" applyBorder="1" applyAlignment="1" applyProtection="1">
      <alignment horizontal="right"/>
      <protection locked="0"/>
    </xf>
    <xf numFmtId="0" fontId="18" fillId="22" borderId="4" xfId="0" applyFont="1" applyFill="1" applyBorder="1" applyAlignment="1" applyProtection="1">
      <alignment horizontal="left" wrapText="1"/>
      <protection locked="0"/>
    </xf>
    <xf numFmtId="3" fontId="18" fillId="22" borderId="4" xfId="0" applyNumberFormat="1" applyFont="1" applyFill="1" applyBorder="1" applyAlignment="1" applyProtection="1">
      <alignment horizontal="right"/>
      <protection locked="0"/>
    </xf>
    <xf numFmtId="3" fontId="24" fillId="22" borderId="0" xfId="0" applyNumberFormat="1" applyFont="1" applyFill="1" applyProtection="1">
      <protection locked="0"/>
    </xf>
    <xf numFmtId="0" fontId="11" fillId="22" borderId="4" xfId="0" applyFont="1" applyFill="1" applyBorder="1" applyAlignment="1" applyProtection="1">
      <alignment horizontal="left"/>
      <protection locked="0"/>
    </xf>
    <xf numFmtId="0" fontId="11" fillId="23" borderId="4" xfId="0" applyFont="1" applyFill="1" applyBorder="1" applyAlignment="1" applyProtection="1">
      <alignment horizontal="left" wrapText="1"/>
      <protection locked="0"/>
    </xf>
    <xf numFmtId="3" fontId="11" fillId="23" borderId="4" xfId="0" applyNumberFormat="1" applyFont="1" applyFill="1" applyBorder="1" applyAlignment="1" applyProtection="1">
      <alignment horizontal="right"/>
      <protection locked="0"/>
    </xf>
    <xf numFmtId="0" fontId="11" fillId="23" borderId="4" xfId="0" applyFont="1" applyFill="1" applyBorder="1" applyAlignment="1" applyProtection="1">
      <alignment horizontal="left"/>
      <protection locked="0"/>
    </xf>
    <xf numFmtId="0" fontId="19" fillId="23" borderId="4" xfId="0" applyFont="1" applyFill="1" applyBorder="1" applyAlignment="1">
      <alignment vertical="center" wrapText="1"/>
    </xf>
    <xf numFmtId="174" fontId="11" fillId="23" borderId="4" xfId="1" applyNumberFormat="1" applyFont="1" applyFill="1" applyBorder="1" applyAlignment="1">
      <alignment horizontal="right" vertical="center" wrapText="1"/>
    </xf>
    <xf numFmtId="3" fontId="12" fillId="23" borderId="0" xfId="0" applyNumberFormat="1" applyFont="1" applyFill="1" applyProtection="1">
      <protection locked="0"/>
    </xf>
    <xf numFmtId="0" fontId="11" fillId="24" borderId="4" xfId="0" applyFont="1" applyFill="1" applyBorder="1" applyAlignment="1" applyProtection="1">
      <alignment horizontal="left" wrapText="1"/>
      <protection locked="0"/>
    </xf>
    <xf numFmtId="3" fontId="11" fillId="24" borderId="4" xfId="0" applyNumberFormat="1" applyFont="1" applyFill="1" applyBorder="1" applyAlignment="1" applyProtection="1">
      <alignment horizontal="right"/>
      <protection locked="0"/>
    </xf>
    <xf numFmtId="0" fontId="11" fillId="24" borderId="4" xfId="0" applyFont="1" applyFill="1" applyBorder="1" applyAlignment="1" applyProtection="1">
      <alignment horizontal="left"/>
      <protection locked="0"/>
    </xf>
    <xf numFmtId="3" fontId="11" fillId="24" borderId="4" xfId="0" applyNumberFormat="1" applyFont="1" applyFill="1" applyBorder="1" applyProtection="1">
      <protection locked="0"/>
    </xf>
    <xf numFmtId="3" fontId="12" fillId="24" borderId="0" xfId="0" applyNumberFormat="1" applyFont="1" applyFill="1" applyProtection="1">
      <protection locked="0"/>
    </xf>
    <xf numFmtId="0" fontId="11" fillId="6" borderId="4" xfId="0" applyFont="1" applyFill="1" applyBorder="1" applyAlignment="1" applyProtection="1">
      <alignment horizontal="left" wrapText="1"/>
      <protection locked="0"/>
    </xf>
    <xf numFmtId="3" fontId="11" fillId="6" borderId="4" xfId="0" applyNumberFormat="1" applyFont="1" applyFill="1" applyBorder="1" applyAlignment="1" applyProtection="1">
      <alignment horizontal="right"/>
      <protection locked="0"/>
    </xf>
    <xf numFmtId="0" fontId="11" fillId="6" borderId="4" xfId="0" applyFont="1" applyFill="1" applyBorder="1" applyAlignment="1" applyProtection="1">
      <alignment horizontal="left"/>
      <protection locked="0"/>
    </xf>
    <xf numFmtId="3" fontId="11" fillId="6" borderId="4" xfId="0" applyNumberFormat="1" applyFont="1" applyFill="1" applyBorder="1" applyProtection="1">
      <protection locked="0"/>
    </xf>
    <xf numFmtId="3" fontId="12" fillId="6" borderId="0" xfId="0" applyNumberFormat="1" applyFont="1" applyFill="1" applyProtection="1">
      <protection locked="0"/>
    </xf>
    <xf numFmtId="0" fontId="11" fillId="21" borderId="4" xfId="0" applyFont="1" applyFill="1" applyBorder="1" applyAlignment="1" applyProtection="1">
      <alignment horizontal="left" vertical="center" wrapText="1"/>
      <protection locked="0"/>
    </xf>
    <xf numFmtId="3" fontId="11" fillId="21" borderId="4" xfId="0" applyNumberFormat="1" applyFont="1" applyFill="1" applyBorder="1" applyAlignment="1" applyProtection="1">
      <alignment horizontal="right" vertical="center"/>
      <protection locked="0"/>
    </xf>
    <xf numFmtId="0" fontId="11" fillId="21" borderId="4" xfId="0" applyFont="1" applyFill="1" applyBorder="1" applyAlignment="1" applyProtection="1">
      <alignment horizontal="left"/>
      <protection locked="0"/>
    </xf>
    <xf numFmtId="3" fontId="12" fillId="25" borderId="0" xfId="0" applyNumberFormat="1" applyFont="1" applyFill="1" applyProtection="1">
      <protection locked="0"/>
    </xf>
    <xf numFmtId="3" fontId="12" fillId="26" borderId="0" xfId="0" applyNumberFormat="1" applyFont="1" applyFill="1" applyProtection="1">
      <protection locked="0"/>
    </xf>
    <xf numFmtId="0" fontId="11" fillId="26" borderId="4" xfId="0" applyFont="1" applyFill="1" applyBorder="1" applyAlignment="1" applyProtection="1">
      <alignment horizontal="left" wrapText="1"/>
      <protection locked="0"/>
    </xf>
    <xf numFmtId="3" fontId="11" fillId="26" borderId="4" xfId="0" applyNumberFormat="1" applyFont="1" applyFill="1" applyBorder="1" applyAlignment="1" applyProtection="1">
      <alignment horizontal="right"/>
      <protection locked="0"/>
    </xf>
    <xf numFmtId="3" fontId="12" fillId="9" borderId="0" xfId="0" applyNumberFormat="1" applyFont="1" applyFill="1" applyProtection="1">
      <protection locked="0"/>
    </xf>
    <xf numFmtId="3" fontId="11" fillId="9" borderId="4" xfId="0" applyNumberFormat="1" applyFont="1" applyFill="1" applyBorder="1" applyAlignment="1" applyProtection="1">
      <alignment horizontal="right" vertical="center"/>
      <protection locked="0"/>
    </xf>
    <xf numFmtId="3" fontId="12" fillId="27" borderId="0" xfId="0" applyNumberFormat="1" applyFont="1" applyFill="1" applyProtection="1">
      <protection locked="0"/>
    </xf>
    <xf numFmtId="0" fontId="11" fillId="27" borderId="4" xfId="0" applyFont="1" applyFill="1" applyBorder="1" applyAlignment="1" applyProtection="1">
      <alignment horizontal="left" wrapText="1"/>
      <protection locked="0"/>
    </xf>
    <xf numFmtId="3" fontId="11" fillId="27" borderId="4" xfId="0" applyNumberFormat="1" applyFont="1" applyFill="1" applyBorder="1" applyAlignment="1" applyProtection="1">
      <alignment horizontal="right"/>
      <protection locked="0"/>
    </xf>
    <xf numFmtId="0" fontId="11" fillId="27" borderId="4" xfId="0" applyFont="1" applyFill="1" applyBorder="1" applyAlignment="1" applyProtection="1">
      <alignment horizontal="left"/>
      <protection locked="0"/>
    </xf>
    <xf numFmtId="3" fontId="12" fillId="16" borderId="0" xfId="0" applyNumberFormat="1" applyFont="1" applyFill="1" applyProtection="1">
      <protection locked="0"/>
    </xf>
    <xf numFmtId="3" fontId="11" fillId="16" borderId="4" xfId="0" applyNumberFormat="1" applyFont="1" applyFill="1" applyBorder="1" applyAlignment="1" applyProtection="1">
      <alignment horizontal="right"/>
      <protection locked="0"/>
    </xf>
    <xf numFmtId="3" fontId="11" fillId="17" borderId="4" xfId="0" applyNumberFormat="1" applyFont="1" applyFill="1" applyBorder="1" applyAlignment="1" applyProtection="1">
      <alignment horizontal="right"/>
      <protection locked="0"/>
    </xf>
    <xf numFmtId="0" fontId="25" fillId="0" borderId="4" xfId="0" applyFont="1" applyFill="1" applyBorder="1" applyAlignment="1" applyProtection="1">
      <alignment horizontal="left" wrapText="1"/>
      <protection locked="0"/>
    </xf>
    <xf numFmtId="3" fontId="25" fillId="0" borderId="4" xfId="0" applyNumberFormat="1" applyFont="1" applyFill="1" applyBorder="1" applyAlignment="1" applyProtection="1">
      <alignment horizontal="right"/>
      <protection locked="0"/>
    </xf>
    <xf numFmtId="0" fontId="25" fillId="0" borderId="4" xfId="0" applyFont="1" applyFill="1" applyBorder="1" applyAlignment="1" applyProtection="1">
      <alignment horizontal="left"/>
      <protection locked="0"/>
    </xf>
    <xf numFmtId="0" fontId="11" fillId="24" borderId="4" xfId="0" applyFont="1" applyFill="1" applyBorder="1" applyAlignment="1" applyProtection="1">
      <alignment horizontal="left" vertical="center" wrapText="1"/>
      <protection locked="0"/>
    </xf>
    <xf numFmtId="3" fontId="11" fillId="24" borderId="4" xfId="0" applyNumberFormat="1" applyFont="1" applyFill="1" applyBorder="1" applyAlignment="1" applyProtection="1">
      <alignment horizontal="right" vertical="center"/>
      <protection locked="0"/>
    </xf>
    <xf numFmtId="174" fontId="7" fillId="0" borderId="0" xfId="1" applyNumberFormat="1" applyFont="1" applyProtection="1">
      <protection locked="0"/>
    </xf>
    <xf numFmtId="0" fontId="6" fillId="8" borderId="2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23" fillId="7" borderId="0" xfId="0" applyFont="1" applyFill="1" applyAlignment="1" applyProtection="1">
      <alignment horizontal="center"/>
      <protection locked="0"/>
    </xf>
    <xf numFmtId="0" fontId="6" fillId="8" borderId="19" xfId="0" applyFont="1" applyFill="1" applyBorder="1" applyAlignment="1">
      <alignment horizontal="center"/>
    </xf>
    <xf numFmtId="0" fontId="6" fillId="8" borderId="20" xfId="0" applyFont="1" applyFill="1" applyBorder="1" applyAlignment="1">
      <alignment horizontal="center"/>
    </xf>
    <xf numFmtId="0" fontId="6" fillId="8" borderId="2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6" fillId="6" borderId="22" xfId="0" applyFont="1" applyFill="1" applyBorder="1" applyAlignment="1" applyProtection="1">
      <alignment horizontal="center" wrapText="1"/>
      <protection locked="0"/>
    </xf>
    <xf numFmtId="0" fontId="6" fillId="6" borderId="23" xfId="0" applyFont="1" applyFill="1" applyBorder="1" applyAlignment="1" applyProtection="1">
      <alignment horizontal="center" wrapText="1"/>
      <protection locked="0"/>
    </xf>
    <xf numFmtId="0" fontId="6" fillId="15" borderId="24" xfId="0" applyFont="1" applyFill="1" applyBorder="1" applyAlignment="1">
      <alignment horizontal="center" vertical="center"/>
    </xf>
    <xf numFmtId="49" fontId="6" fillId="15" borderId="25" xfId="0" applyNumberFormat="1" applyFont="1" applyFill="1" applyBorder="1" applyAlignment="1">
      <alignment horizontal="center" vertical="center"/>
    </xf>
    <xf numFmtId="49" fontId="6" fillId="15" borderId="26" xfId="0" applyNumberFormat="1" applyFont="1" applyFill="1" applyBorder="1" applyAlignment="1">
      <alignment horizontal="center" vertical="center"/>
    </xf>
    <xf numFmtId="49" fontId="6" fillId="15" borderId="27" xfId="0" applyNumberFormat="1" applyFont="1" applyFill="1" applyBorder="1" applyAlignment="1">
      <alignment horizontal="center" vertical="center"/>
    </xf>
    <xf numFmtId="0" fontId="6" fillId="15" borderId="27" xfId="0" applyFont="1" applyFill="1" applyBorder="1" applyAlignment="1">
      <alignment horizontal="center" vertical="center"/>
    </xf>
    <xf numFmtId="3" fontId="6" fillId="15" borderId="27" xfId="0" applyNumberFormat="1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14" fontId="5" fillId="9" borderId="2" xfId="0" applyNumberFormat="1" applyFont="1" applyFill="1" applyBorder="1" applyAlignment="1">
      <alignment horizontal="center" vertical="center"/>
    </xf>
    <xf numFmtId="0" fontId="11" fillId="9" borderId="31" xfId="0" applyFont="1" applyFill="1" applyBorder="1" applyAlignment="1" applyProtection="1">
      <alignment horizontal="left" wrapText="1"/>
      <protection locked="0"/>
    </xf>
    <xf numFmtId="0" fontId="11" fillId="9" borderId="32" xfId="0" applyFont="1" applyFill="1" applyBorder="1" applyAlignment="1" applyProtection="1">
      <alignment horizontal="left" wrapText="1"/>
      <protection locked="0"/>
    </xf>
    <xf numFmtId="0" fontId="11" fillId="9" borderId="33" xfId="0" applyFont="1" applyFill="1" applyBorder="1" applyAlignment="1" applyProtection="1">
      <alignment horizontal="left" wrapText="1"/>
      <protection locked="0"/>
    </xf>
    <xf numFmtId="0" fontId="11" fillId="9" borderId="34" xfId="0" applyFont="1" applyFill="1" applyBorder="1" applyAlignment="1" applyProtection="1">
      <alignment horizontal="left" wrapText="1"/>
      <protection locked="0"/>
    </xf>
    <xf numFmtId="0" fontId="11" fillId="9" borderId="35" xfId="0" applyFont="1" applyFill="1" applyBorder="1" applyAlignment="1" applyProtection="1">
      <alignment horizontal="left" vertical="center" wrapText="1"/>
      <protection locked="0"/>
    </xf>
    <xf numFmtId="0" fontId="11" fillId="9" borderId="22" xfId="0" applyFont="1" applyFill="1" applyBorder="1" applyAlignment="1" applyProtection="1">
      <alignment horizontal="left" vertical="center" wrapText="1"/>
      <protection locked="0"/>
    </xf>
    <xf numFmtId="3" fontId="15" fillId="8" borderId="19" xfId="0" applyNumberFormat="1" applyFont="1" applyFill="1" applyBorder="1" applyAlignment="1">
      <alignment horizontal="center"/>
    </xf>
    <xf numFmtId="3" fontId="15" fillId="8" borderId="21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49" fontId="5" fillId="0" borderId="28" xfId="0" applyNumberFormat="1" applyFont="1" applyBorder="1" applyAlignment="1" applyProtection="1">
      <alignment horizontal="center" vertical="center"/>
      <protection locked="0"/>
    </xf>
    <xf numFmtId="49" fontId="5" fillId="0" borderId="29" xfId="0" applyNumberFormat="1" applyFont="1" applyBorder="1" applyAlignment="1" applyProtection="1">
      <alignment horizontal="center" vertical="center"/>
      <protection locked="0"/>
    </xf>
    <xf numFmtId="49" fontId="5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left" wrapText="1"/>
      <protection locked="0"/>
    </xf>
    <xf numFmtId="0" fontId="11" fillId="0" borderId="32" xfId="0" applyFont="1" applyBorder="1" applyAlignment="1" applyProtection="1">
      <alignment horizontal="left" wrapText="1"/>
      <protection locked="0"/>
    </xf>
    <xf numFmtId="0" fontId="11" fillId="0" borderId="33" xfId="0" applyFont="1" applyBorder="1" applyAlignment="1" applyProtection="1">
      <alignment horizontal="left" wrapText="1"/>
      <protection locked="0"/>
    </xf>
    <xf numFmtId="0" fontId="11" fillId="0" borderId="34" xfId="0" applyFont="1" applyBorder="1" applyAlignment="1" applyProtection="1">
      <alignment horizontal="left" wrapText="1"/>
      <protection locked="0"/>
    </xf>
    <xf numFmtId="0" fontId="11" fillId="0" borderId="35" xfId="0" applyFont="1" applyBorder="1" applyAlignment="1" applyProtection="1">
      <alignment horizontal="left" vertical="center" wrapText="1"/>
      <protection locked="0"/>
    </xf>
    <xf numFmtId="0" fontId="11" fillId="0" borderId="22" xfId="0" applyFont="1" applyBorder="1" applyAlignment="1" applyProtection="1">
      <alignment horizontal="left" vertical="center" wrapText="1"/>
      <protection locked="0"/>
    </xf>
    <xf numFmtId="0" fontId="9" fillId="0" borderId="0" xfId="0" applyFont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 wrapText="1"/>
    </xf>
    <xf numFmtId="0" fontId="10" fillId="8" borderId="18" xfId="0" applyFont="1" applyFill="1" applyBorder="1" applyAlignment="1">
      <alignment horizontal="center" vertical="center"/>
    </xf>
    <xf numFmtId="0" fontId="10" fillId="8" borderId="36" xfId="0" applyFont="1" applyFill="1" applyBorder="1" applyAlignment="1">
      <alignment horizontal="center" vertical="center"/>
    </xf>
    <xf numFmtId="0" fontId="10" fillId="8" borderId="28" xfId="0" applyFont="1" applyFill="1" applyBorder="1" applyAlignment="1">
      <alignment horizontal="center" vertical="center"/>
    </xf>
    <xf numFmtId="0" fontId="10" fillId="8" borderId="22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49" fontId="5" fillId="0" borderId="2" xfId="0" applyNumberFormat="1" applyFont="1" applyBorder="1" applyAlignment="1" applyProtection="1">
      <alignment horizontal="center" vertical="center"/>
      <protection locked="0"/>
    </xf>
    <xf numFmtId="49" fontId="5" fillId="0" borderId="7" xfId="0" applyNumberFormat="1" applyFont="1" applyBorder="1" applyAlignment="1" applyProtection="1">
      <alignment horizontal="center" vertical="center"/>
      <protection locked="0"/>
    </xf>
    <xf numFmtId="49" fontId="5" fillId="0" borderId="18" xfId="0" applyNumberFormat="1" applyFont="1" applyBorder="1" applyAlignment="1" applyProtection="1">
      <alignment horizontal="center" vertical="center"/>
      <protection locked="0"/>
    </xf>
    <xf numFmtId="49" fontId="5" fillId="9" borderId="2" xfId="0" applyNumberFormat="1" applyFont="1" applyFill="1" applyBorder="1" applyAlignment="1" applyProtection="1">
      <alignment horizontal="center" vertical="center"/>
      <protection locked="0"/>
    </xf>
    <xf numFmtId="49" fontId="5" fillId="9" borderId="7" xfId="0" applyNumberFormat="1" applyFont="1" applyFill="1" applyBorder="1" applyAlignment="1" applyProtection="1">
      <alignment horizontal="center" vertical="center"/>
      <protection locked="0"/>
    </xf>
    <xf numFmtId="49" fontId="5" fillId="9" borderId="18" xfId="0" applyNumberFormat="1" applyFont="1" applyFill="1" applyBorder="1" applyAlignment="1" applyProtection="1">
      <alignment horizontal="center" vertical="center"/>
      <protection locked="0"/>
    </xf>
    <xf numFmtId="14" fontId="5" fillId="0" borderId="2" xfId="0" applyNumberFormat="1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 wrapText="1"/>
    </xf>
    <xf numFmtId="0" fontId="10" fillId="8" borderId="19" xfId="0" applyFont="1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14" fontId="5" fillId="0" borderId="18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0" fillId="8" borderId="29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6" fillId="0" borderId="1" xfId="0" applyFont="1" applyBorder="1"/>
    <xf numFmtId="0" fontId="12" fillId="0" borderId="1" xfId="0" applyFont="1" applyBorder="1" applyProtection="1">
      <protection locked="0"/>
    </xf>
    <xf numFmtId="0" fontId="12" fillId="0" borderId="1" xfId="0" applyFont="1" applyBorder="1" applyAlignment="1" applyProtection="1">
      <alignment vertical="center"/>
      <protection locked="0"/>
    </xf>
    <xf numFmtId="0" fontId="26" fillId="0" borderId="36" xfId="0" applyFont="1" applyBorder="1" applyAlignment="1">
      <alignment horizontal="center"/>
    </xf>
    <xf numFmtId="0" fontId="27" fillId="6" borderId="1" xfId="0" applyFont="1" applyFill="1" applyBorder="1" applyAlignment="1">
      <alignment horizontal="right" wrapText="1"/>
    </xf>
    <xf numFmtId="180" fontId="27" fillId="6" borderId="1" xfId="1" quotePrefix="1" applyNumberFormat="1" applyFont="1" applyFill="1" applyBorder="1" applyAlignment="1">
      <alignment wrapText="1"/>
    </xf>
    <xf numFmtId="0" fontId="28" fillId="0" borderId="28" xfId="0" applyFont="1" applyBorder="1" applyAlignment="1"/>
    <xf numFmtId="181" fontId="28" fillId="0" borderId="0" xfId="1" applyNumberFormat="1" applyFont="1" applyAlignment="1"/>
    <xf numFmtId="0" fontId="28" fillId="0" borderId="0" xfId="0" applyFont="1" applyAlignment="1"/>
    <xf numFmtId="0" fontId="29" fillId="0" borderId="0" xfId="0" applyFont="1" applyAlignment="1"/>
    <xf numFmtId="0" fontId="26" fillId="0" borderId="37" xfId="0" applyFont="1" applyBorder="1" applyAlignment="1">
      <alignment horizontal="center"/>
    </xf>
    <xf numFmtId="0" fontId="30" fillId="0" borderId="0" xfId="0" applyFont="1" applyBorder="1" applyAlignment="1">
      <alignment horizontal="right" wrapText="1"/>
    </xf>
    <xf numFmtId="180" fontId="30" fillId="0" borderId="29" xfId="1" applyNumberFormat="1" applyFont="1" applyBorder="1" applyAlignment="1">
      <alignment wrapText="1"/>
    </xf>
    <xf numFmtId="180" fontId="30" fillId="0" borderId="7" xfId="1" applyNumberFormat="1" applyFont="1" applyBorder="1" applyAlignment="1">
      <alignment wrapText="1"/>
    </xf>
    <xf numFmtId="180" fontId="30" fillId="0" borderId="2" xfId="1" applyNumberFormat="1" applyFont="1" applyBorder="1" applyAlignment="1">
      <alignment wrapText="1"/>
    </xf>
    <xf numFmtId="180" fontId="27" fillId="0" borderId="29" xfId="1" applyNumberFormat="1" applyFont="1" applyBorder="1" applyAlignment="1">
      <alignment wrapText="1"/>
    </xf>
    <xf numFmtId="0" fontId="31" fillId="0" borderId="29" xfId="0" applyFont="1" applyBorder="1" applyAlignment="1"/>
    <xf numFmtId="0" fontId="30" fillId="0" borderId="37" xfId="0" applyFont="1" applyBorder="1" applyAlignment="1">
      <alignment horizontal="right" wrapText="1"/>
    </xf>
    <xf numFmtId="0" fontId="30" fillId="0" borderId="0" xfId="0" applyFont="1" applyBorder="1" applyAlignment="1">
      <alignment horizontal="right" wrapText="1"/>
    </xf>
    <xf numFmtId="0" fontId="28" fillId="0" borderId="37" xfId="0" applyFont="1" applyBorder="1" applyAlignment="1">
      <alignment horizontal="center"/>
    </xf>
    <xf numFmtId="0" fontId="27" fillId="0" borderId="0" xfId="0" applyFont="1" applyFill="1" applyBorder="1" applyAlignment="1">
      <alignment horizontal="right" wrapText="1"/>
    </xf>
    <xf numFmtId="180" fontId="27" fillId="0" borderId="29" xfId="1" quotePrefix="1" applyNumberFormat="1" applyFont="1" applyFill="1" applyBorder="1" applyAlignment="1">
      <alignment wrapText="1"/>
    </xf>
    <xf numFmtId="180" fontId="27" fillId="0" borderId="7" xfId="1" quotePrefix="1" applyNumberFormat="1" applyFont="1" applyFill="1" applyBorder="1" applyAlignment="1">
      <alignment wrapText="1"/>
    </xf>
    <xf numFmtId="0" fontId="28" fillId="0" borderId="29" xfId="0" applyFont="1" applyBorder="1" applyAlignment="1"/>
    <xf numFmtId="0" fontId="28" fillId="0" borderId="22" xfId="0" applyFont="1" applyBorder="1" applyAlignment="1">
      <alignment horizontal="center"/>
    </xf>
    <xf numFmtId="0" fontId="32" fillId="0" borderId="23" xfId="0" applyFont="1" applyFill="1" applyBorder="1" applyAlignment="1">
      <alignment horizontal="right" wrapText="1"/>
    </xf>
    <xf numFmtId="180" fontId="32" fillId="0" borderId="30" xfId="1" quotePrefix="1" applyNumberFormat="1" applyFont="1" applyFill="1" applyBorder="1" applyAlignment="1">
      <alignment wrapText="1"/>
    </xf>
    <xf numFmtId="180" fontId="32" fillId="0" borderId="18" xfId="1" quotePrefix="1" applyNumberFormat="1" applyFont="1" applyFill="1" applyBorder="1" applyAlignment="1">
      <alignment wrapText="1"/>
    </xf>
    <xf numFmtId="180" fontId="28" fillId="0" borderId="30" xfId="0" quotePrefix="1" applyNumberFormat="1" applyFont="1" applyBorder="1" applyAlignment="1"/>
    <xf numFmtId="0" fontId="33" fillId="28" borderId="38" xfId="0" applyFont="1" applyFill="1" applyBorder="1" applyAlignment="1">
      <alignment horizontal="center" vertical="center"/>
    </xf>
    <xf numFmtId="0" fontId="33" fillId="28" borderId="39" xfId="0" applyFont="1" applyFill="1" applyBorder="1" applyAlignment="1">
      <alignment horizontal="center" vertical="center" wrapText="1"/>
    </xf>
    <xf numFmtId="180" fontId="34" fillId="28" borderId="40" xfId="1" applyNumberFormat="1" applyFont="1" applyFill="1" applyBorder="1" applyAlignment="1">
      <alignment horizontal="center" vertical="center"/>
    </xf>
    <xf numFmtId="180" fontId="34" fillId="28" borderId="41" xfId="1" applyNumberFormat="1" applyFont="1" applyFill="1" applyBorder="1" applyAlignment="1">
      <alignment horizontal="center" vertical="center"/>
    </xf>
    <xf numFmtId="180" fontId="34" fillId="28" borderId="42" xfId="1" applyNumberFormat="1" applyFont="1" applyFill="1" applyBorder="1" applyAlignment="1">
      <alignment horizontal="center" vertical="center"/>
    </xf>
    <xf numFmtId="180" fontId="18" fillId="0" borderId="0" xfId="1" applyNumberFormat="1" applyFont="1" applyAlignment="1">
      <alignment vertical="center"/>
    </xf>
    <xf numFmtId="180" fontId="18" fillId="0" borderId="0" xfId="0" applyNumberFormat="1" applyFont="1" applyAlignment="1">
      <alignment vertical="center"/>
    </xf>
    <xf numFmtId="0" fontId="35" fillId="0" borderId="0" xfId="0" applyFont="1" applyAlignment="1">
      <alignment vertical="center"/>
    </xf>
    <xf numFmtId="0" fontId="36" fillId="29" borderId="38" xfId="0" applyFont="1" applyFill="1" applyBorder="1" applyAlignment="1">
      <alignment horizontal="center"/>
    </xf>
    <xf numFmtId="0" fontId="36" fillId="29" borderId="42" xfId="0" applyFont="1" applyFill="1" applyBorder="1" applyAlignment="1">
      <alignment horizontal="left" wrapText="1"/>
    </xf>
    <xf numFmtId="180" fontId="36" fillId="29" borderId="40" xfId="1" applyNumberFormat="1" applyFont="1" applyFill="1" applyBorder="1" applyAlignment="1">
      <alignment horizontal="left" wrapText="1"/>
    </xf>
    <xf numFmtId="180" fontId="36" fillId="29" borderId="42" xfId="1" applyNumberFormat="1" applyFont="1" applyFill="1" applyBorder="1" applyAlignment="1">
      <alignment horizontal="left" wrapText="1"/>
    </xf>
    <xf numFmtId="0" fontId="28" fillId="0" borderId="43" xfId="0" applyFont="1" applyBorder="1" applyAlignment="1">
      <alignment horizontal="center"/>
    </xf>
    <xf numFmtId="0" fontId="28" fillId="0" borderId="44" xfId="0" applyFont="1" applyBorder="1" applyAlignment="1">
      <alignment horizontal="left" wrapText="1"/>
    </xf>
    <xf numFmtId="180" fontId="28" fillId="0" borderId="29" xfId="1" applyNumberFormat="1" applyFont="1" applyBorder="1" applyAlignment="1">
      <alignment horizontal="left" wrapText="1"/>
    </xf>
    <xf numFmtId="180" fontId="37" fillId="0" borderId="29" xfId="1" applyNumberFormat="1" applyFont="1" applyBorder="1" applyAlignment="1">
      <alignment horizontal="left" wrapText="1"/>
    </xf>
    <xf numFmtId="180" fontId="28" fillId="0" borderId="45" xfId="1" applyNumberFormat="1" applyFont="1" applyBorder="1" applyAlignment="1">
      <alignment horizontal="left" wrapText="1"/>
    </xf>
    <xf numFmtId="180" fontId="28" fillId="0" borderId="44" xfId="1" applyNumberFormat="1" applyFont="1" applyBorder="1" applyAlignment="1">
      <alignment horizontal="left" wrapText="1"/>
    </xf>
    <xf numFmtId="180" fontId="28" fillId="0" borderId="7" xfId="1" applyNumberFormat="1" applyFont="1" applyBorder="1" applyAlignment="1">
      <alignment horizontal="left" wrapText="1"/>
    </xf>
    <xf numFmtId="182" fontId="28" fillId="0" borderId="0" xfId="0" applyNumberFormat="1" applyFont="1" applyAlignment="1"/>
    <xf numFmtId="0" fontId="28" fillId="0" borderId="44" xfId="0" applyFont="1" applyBorder="1" applyAlignment="1">
      <alignment horizontal="left"/>
    </xf>
    <xf numFmtId="180" fontId="28" fillId="0" borderId="29" xfId="1" applyNumberFormat="1" applyFont="1" applyFill="1" applyBorder="1" applyAlignment="1">
      <alignment horizontal="left" wrapText="1"/>
    </xf>
    <xf numFmtId="180" fontId="28" fillId="0" borderId="44" xfId="1" applyNumberFormat="1" applyFont="1" applyFill="1" applyBorder="1" applyAlignment="1">
      <alignment horizontal="left" wrapText="1"/>
    </xf>
    <xf numFmtId="0" fontId="36" fillId="29" borderId="46" xfId="0" applyFont="1" applyFill="1" applyBorder="1" applyAlignment="1">
      <alignment horizontal="center"/>
    </xf>
    <xf numFmtId="0" fontId="36" fillId="29" borderId="47" xfId="0" applyFont="1" applyFill="1" applyBorder="1" applyAlignment="1">
      <alignment horizontal="left" wrapText="1"/>
    </xf>
    <xf numFmtId="180" fontId="36" fillId="29" borderId="48" xfId="1" applyNumberFormat="1" applyFont="1" applyFill="1" applyBorder="1" applyAlignment="1">
      <alignment horizontal="left" wrapText="1"/>
    </xf>
    <xf numFmtId="180" fontId="36" fillId="29" borderId="1" xfId="1" applyNumberFormat="1" applyFont="1" applyFill="1" applyBorder="1" applyAlignment="1">
      <alignment horizontal="left" wrapText="1"/>
    </xf>
    <xf numFmtId="180" fontId="38" fillId="29" borderId="1" xfId="1" applyNumberFormat="1" applyFont="1" applyFill="1" applyBorder="1" applyAlignment="1">
      <alignment horizontal="left" wrapText="1"/>
    </xf>
    <xf numFmtId="180" fontId="36" fillId="29" borderId="47" xfId="1" applyNumberFormat="1" applyFont="1" applyFill="1" applyBorder="1" applyAlignment="1">
      <alignment horizontal="left" wrapText="1"/>
    </xf>
    <xf numFmtId="181" fontId="36" fillId="0" borderId="0" xfId="1" applyNumberFormat="1" applyFont="1" applyAlignment="1"/>
    <xf numFmtId="0" fontId="36" fillId="0" borderId="0" xfId="0" applyFont="1" applyAlignment="1"/>
    <xf numFmtId="0" fontId="28" fillId="0" borderId="44" xfId="0" applyFont="1" applyBorder="1" applyAlignment="1">
      <alignment wrapText="1"/>
    </xf>
    <xf numFmtId="180" fontId="28" fillId="0" borderId="29" xfId="1" applyNumberFormat="1" applyFont="1" applyFill="1" applyBorder="1" applyAlignment="1">
      <alignment horizontal="right" wrapText="1"/>
    </xf>
    <xf numFmtId="180" fontId="28" fillId="0" borderId="44" xfId="1" applyNumberFormat="1" applyFont="1" applyFill="1" applyBorder="1" applyAlignment="1">
      <alignment horizontal="right" wrapText="1"/>
    </xf>
    <xf numFmtId="180" fontId="28" fillId="0" borderId="29" xfId="1" applyNumberFormat="1" applyFont="1" applyFill="1" applyBorder="1" applyAlignment="1">
      <alignment horizontal="right"/>
    </xf>
    <xf numFmtId="181" fontId="30" fillId="0" borderId="0" xfId="1" applyNumberFormat="1" applyFont="1" applyAlignment="1"/>
    <xf numFmtId="0" fontId="30" fillId="0" borderId="0" xfId="0" applyFont="1" applyAlignment="1"/>
    <xf numFmtId="180" fontId="28" fillId="0" borderId="29" xfId="1" applyNumberFormat="1" applyFont="1" applyBorder="1" applyAlignment="1">
      <alignment horizontal="left"/>
    </xf>
    <xf numFmtId="180" fontId="28" fillId="0" borderId="44" xfId="1" applyNumberFormat="1" applyFont="1" applyBorder="1" applyAlignment="1">
      <alignment horizontal="left"/>
    </xf>
    <xf numFmtId="181" fontId="39" fillId="0" borderId="0" xfId="1" applyNumberFormat="1" applyFont="1" applyAlignment="1"/>
    <xf numFmtId="0" fontId="39" fillId="0" borderId="0" xfId="0" applyFont="1" applyAlignment="1"/>
    <xf numFmtId="0" fontId="30" fillId="29" borderId="46" xfId="0" applyFont="1" applyFill="1" applyBorder="1" applyAlignment="1">
      <alignment horizontal="center"/>
    </xf>
    <xf numFmtId="0" fontId="30" fillId="29" borderId="47" xfId="0" applyFont="1" applyFill="1" applyBorder="1" applyAlignment="1">
      <alignment horizontal="left" wrapText="1"/>
    </xf>
    <xf numFmtId="180" fontId="30" fillId="29" borderId="48" xfId="1" applyNumberFormat="1" applyFont="1" applyFill="1" applyBorder="1" applyAlignment="1">
      <alignment horizontal="left" wrapText="1"/>
    </xf>
    <xf numFmtId="180" fontId="30" fillId="29" borderId="47" xfId="1" applyNumberFormat="1" applyFont="1" applyFill="1" applyBorder="1" applyAlignment="1">
      <alignment horizontal="left" wrapText="1"/>
    </xf>
    <xf numFmtId="180" fontId="18" fillId="0" borderId="7" xfId="1" applyNumberFormat="1" applyFont="1" applyBorder="1"/>
    <xf numFmtId="0" fontId="40" fillId="30" borderId="38" xfId="0" applyFont="1" applyFill="1" applyBorder="1" applyAlignment="1">
      <alignment horizontal="center"/>
    </xf>
    <xf numFmtId="0" fontId="40" fillId="30" borderId="42" xfId="0" applyFont="1" applyFill="1" applyBorder="1" applyAlignment="1">
      <alignment horizontal="left" wrapText="1"/>
    </xf>
    <xf numFmtId="180" fontId="40" fillId="30" borderId="40" xfId="1" applyNumberFormat="1" applyFont="1" applyFill="1" applyBorder="1" applyAlignment="1">
      <alignment horizontal="left" wrapText="1"/>
    </xf>
    <xf numFmtId="180" fontId="40" fillId="30" borderId="42" xfId="1" applyNumberFormat="1" applyFont="1" applyFill="1" applyBorder="1" applyAlignment="1">
      <alignment horizontal="left" wrapText="1"/>
    </xf>
    <xf numFmtId="0" fontId="40" fillId="30" borderId="46" xfId="0" applyFont="1" applyFill="1" applyBorder="1" applyAlignment="1">
      <alignment horizontal="center" vertical="center"/>
    </xf>
    <xf numFmtId="0" fontId="40" fillId="30" borderId="47" xfId="0" applyFont="1" applyFill="1" applyBorder="1" applyAlignment="1">
      <alignment horizontal="left" wrapText="1"/>
    </xf>
    <xf numFmtId="180" fontId="40" fillId="30" borderId="48" xfId="1" applyNumberFormat="1" applyFont="1" applyFill="1" applyBorder="1" applyAlignment="1">
      <alignment horizontal="left" wrapText="1"/>
    </xf>
    <xf numFmtId="180" fontId="40" fillId="30" borderId="47" xfId="1" applyNumberFormat="1" applyFont="1" applyFill="1" applyBorder="1" applyAlignment="1">
      <alignment horizontal="left" wrapText="1"/>
    </xf>
    <xf numFmtId="0" fontId="29" fillId="0" borderId="0" xfId="0" applyFont="1" applyFill="1" applyAlignment="1"/>
    <xf numFmtId="0" fontId="40" fillId="30" borderId="49" xfId="0" applyFont="1" applyFill="1" applyBorder="1" applyAlignment="1">
      <alignment horizontal="center"/>
    </xf>
    <xf numFmtId="0" fontId="40" fillId="30" borderId="50" xfId="0" applyFont="1" applyFill="1" applyBorder="1" applyAlignment="1">
      <alignment horizontal="left" wrapText="1"/>
    </xf>
    <xf numFmtId="180" fontId="40" fillId="30" borderId="30" xfId="1" applyNumberFormat="1" applyFont="1" applyFill="1" applyBorder="1" applyAlignment="1">
      <alignment horizontal="left" wrapText="1"/>
    </xf>
    <xf numFmtId="180" fontId="40" fillId="30" borderId="29" xfId="1" applyNumberFormat="1" applyFont="1" applyFill="1" applyBorder="1" applyAlignment="1">
      <alignment horizontal="left" wrapText="1"/>
    </xf>
    <xf numFmtId="0" fontId="28" fillId="0" borderId="0" xfId="0" applyFont="1" applyBorder="1" applyAlignment="1"/>
    <xf numFmtId="0" fontId="40" fillId="30" borderId="51" xfId="0" applyFont="1" applyFill="1" applyBorder="1" applyAlignment="1">
      <alignment horizontal="center"/>
    </xf>
    <xf numFmtId="0" fontId="40" fillId="30" borderId="52" xfId="0" applyFont="1" applyFill="1" applyBorder="1" applyAlignment="1">
      <alignment horizontal="left" wrapText="1"/>
    </xf>
    <xf numFmtId="180" fontId="40" fillId="30" borderId="53" xfId="1" applyNumberFormat="1" applyFont="1" applyFill="1" applyBorder="1" applyAlignment="1">
      <alignment horizontal="left" wrapText="1"/>
    </xf>
    <xf numFmtId="180" fontId="36" fillId="29" borderId="54" xfId="1" applyNumberFormat="1" applyFont="1" applyFill="1" applyBorder="1" applyAlignment="1">
      <alignment horizontal="left" wrapText="1"/>
    </xf>
    <xf numFmtId="0" fontId="41" fillId="0" borderId="38" xfId="0" applyFont="1" applyFill="1" applyBorder="1" applyAlignment="1">
      <alignment horizontal="center"/>
    </xf>
    <xf numFmtId="0" fontId="41" fillId="0" borderId="42" xfId="0" applyFont="1" applyFill="1" applyBorder="1" applyAlignment="1">
      <alignment horizontal="left" wrapText="1"/>
    </xf>
    <xf numFmtId="180" fontId="41" fillId="0" borderId="40" xfId="1" applyNumberFormat="1" applyFont="1" applyFill="1" applyBorder="1" applyAlignment="1">
      <alignment horizontal="left" wrapText="1"/>
    </xf>
    <xf numFmtId="180" fontId="28" fillId="0" borderId="1" xfId="1" applyNumberFormat="1" applyFont="1" applyBorder="1" applyAlignment="1">
      <alignment horizontal="left" wrapText="1"/>
    </xf>
    <xf numFmtId="180" fontId="41" fillId="0" borderId="42" xfId="1" applyNumberFormat="1" applyFont="1" applyFill="1" applyBorder="1" applyAlignment="1">
      <alignment horizontal="left" wrapText="1"/>
    </xf>
    <xf numFmtId="0" fontId="41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left" wrapText="1"/>
    </xf>
    <xf numFmtId="180" fontId="41" fillId="0" borderId="30" xfId="1" applyNumberFormat="1" applyFont="1" applyFill="1" applyBorder="1" applyAlignment="1">
      <alignment horizontal="left" wrapText="1"/>
    </xf>
    <xf numFmtId="180" fontId="41" fillId="0" borderId="29" xfId="1" applyNumberFormat="1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12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9524</xdr:colOff>
      <xdr:row>4</xdr:row>
      <xdr:rowOff>209549</xdr:rowOff>
    </xdr:to>
    <xdr:sp macro="" textlink="" fLocksText="0">
      <xdr:nvSpPr>
        <xdr:cNvPr id="13313" name="Rectangl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0" y="9525"/>
          <a:ext cx="1334741" cy="10614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560">
          <a:solidFill>
            <a:srgbClr val="385D8A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17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QUẢN LÝ THU CHI VACONS</a:t>
          </a:r>
          <a:endParaRPr lang="en-US" sz="12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sz="1200" b="1" i="1" u="none" strike="noStrike" baseline="0">
            <a:solidFill>
              <a:srgbClr val="FFFF00"/>
            </a:solidFill>
            <a:latin typeface="Arial (Body)"/>
            <a:cs typeface="Arial"/>
          </a:endParaRPr>
        </a:p>
      </xdr:txBody>
    </xdr:sp>
    <xdr:clientData/>
  </xdr:twoCellAnchor>
  <xdr:twoCellAnchor>
    <xdr:from>
      <xdr:col>1</xdr:col>
      <xdr:colOff>342900</xdr:colOff>
      <xdr:row>4</xdr:row>
      <xdr:rowOff>0</xdr:rowOff>
    </xdr:from>
    <xdr:to>
      <xdr:col>1</xdr:col>
      <xdr:colOff>495300</xdr:colOff>
      <xdr:row>4</xdr:row>
      <xdr:rowOff>114300</xdr:rowOff>
    </xdr:to>
    <xdr:sp macro="" textlink="">
      <xdr:nvSpPr>
        <xdr:cNvPr id="17" name="5-Point Star 16">
          <a:extLst>
            <a:ext uri="{FF2B5EF4-FFF2-40B4-BE49-F238E27FC236}"/>
          </a:extLst>
        </xdr:cNvPr>
        <xdr:cNvSpPr/>
      </xdr:nvSpPr>
      <xdr:spPr bwMode="auto">
        <a:xfrm>
          <a:off x="809625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133351</xdr:colOff>
      <xdr:row>4</xdr:row>
      <xdr:rowOff>0</xdr:rowOff>
    </xdr:from>
    <xdr:to>
      <xdr:col>1</xdr:col>
      <xdr:colOff>285751</xdr:colOff>
      <xdr:row>4</xdr:row>
      <xdr:rowOff>114300</xdr:rowOff>
    </xdr:to>
    <xdr:sp macro="" textlink="">
      <xdr:nvSpPr>
        <xdr:cNvPr id="19" name="5-Point Star 18">
          <a:extLst>
            <a:ext uri="{FF2B5EF4-FFF2-40B4-BE49-F238E27FC236}"/>
          </a:extLst>
        </xdr:cNvPr>
        <xdr:cNvSpPr/>
      </xdr:nvSpPr>
      <xdr:spPr bwMode="auto">
        <a:xfrm>
          <a:off x="60007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390526</xdr:colOff>
      <xdr:row>4</xdr:row>
      <xdr:rowOff>0</xdr:rowOff>
    </xdr:from>
    <xdr:to>
      <xdr:col>1</xdr:col>
      <xdr:colOff>76201</xdr:colOff>
      <xdr:row>4</xdr:row>
      <xdr:rowOff>114300</xdr:rowOff>
    </xdr:to>
    <xdr:sp macro="" textlink="">
      <xdr:nvSpPr>
        <xdr:cNvPr id="20" name="5-Point Star 19">
          <a:extLst>
            <a:ext uri="{FF2B5EF4-FFF2-40B4-BE49-F238E27FC236}"/>
          </a:extLst>
        </xdr:cNvPr>
        <xdr:cNvSpPr/>
      </xdr:nvSpPr>
      <xdr:spPr bwMode="auto">
        <a:xfrm>
          <a:off x="39052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228600</xdr:colOff>
      <xdr:row>3</xdr:row>
      <xdr:rowOff>219075</xdr:rowOff>
    </xdr:from>
    <xdr:to>
      <xdr:col>0</xdr:col>
      <xdr:colOff>381000</xdr:colOff>
      <xdr:row>4</xdr:row>
      <xdr:rowOff>123825</xdr:rowOff>
    </xdr:to>
    <xdr:sp macro="" textlink="">
      <xdr:nvSpPr>
        <xdr:cNvPr id="6" name="5-Point Star 16">
          <a:extLst>
            <a:ext uri="{FF2B5EF4-FFF2-40B4-BE49-F238E27FC236}"/>
          </a:extLst>
        </xdr:cNvPr>
        <xdr:cNvSpPr/>
      </xdr:nvSpPr>
      <xdr:spPr bwMode="auto">
        <a:xfrm>
          <a:off x="228600" y="847725"/>
          <a:ext cx="152400" cy="1333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523875</xdr:colOff>
      <xdr:row>3</xdr:row>
      <xdr:rowOff>228599</xdr:rowOff>
    </xdr:from>
    <xdr:to>
      <xdr:col>1</xdr:col>
      <xdr:colOff>685800</xdr:colOff>
      <xdr:row>4</xdr:row>
      <xdr:rowOff>123824</xdr:rowOff>
    </xdr:to>
    <xdr:sp macro="" textlink="">
      <xdr:nvSpPr>
        <xdr:cNvPr id="7" name="5-Point Star 16">
          <a:extLst>
            <a:ext uri="{FF2B5EF4-FFF2-40B4-BE49-F238E27FC236}"/>
          </a:extLst>
        </xdr:cNvPr>
        <xdr:cNvSpPr/>
      </xdr:nvSpPr>
      <xdr:spPr bwMode="auto">
        <a:xfrm>
          <a:off x="990600" y="857249"/>
          <a:ext cx="161925" cy="123825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3</xdr:col>
      <xdr:colOff>266700</xdr:colOff>
      <xdr:row>2</xdr:row>
      <xdr:rowOff>161925</xdr:rowOff>
    </xdr:to>
    <xdr:pic>
      <xdr:nvPicPr>
        <xdr:cNvPr id="94417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8100"/>
          <a:ext cx="24860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0</xdr:rowOff>
    </xdr:from>
    <xdr:to>
      <xdr:col>3</xdr:col>
      <xdr:colOff>171450</xdr:colOff>
      <xdr:row>2</xdr:row>
      <xdr:rowOff>161925</xdr:rowOff>
    </xdr:to>
    <xdr:pic>
      <xdr:nvPicPr>
        <xdr:cNvPr id="94315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0"/>
          <a:ext cx="27146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628650</xdr:colOff>
      <xdr:row>2</xdr:row>
      <xdr:rowOff>142875</xdr:rowOff>
    </xdr:to>
    <xdr:pic>
      <xdr:nvPicPr>
        <xdr:cNvPr id="9421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32670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0</xdr:rowOff>
    </xdr:from>
    <xdr:to>
      <xdr:col>2</xdr:col>
      <xdr:colOff>1228725</xdr:colOff>
      <xdr:row>2</xdr:row>
      <xdr:rowOff>142875</xdr:rowOff>
    </xdr:to>
    <xdr:pic>
      <xdr:nvPicPr>
        <xdr:cNvPr id="94520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23907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3</xdr:col>
      <xdr:colOff>19050</xdr:colOff>
      <xdr:row>2</xdr:row>
      <xdr:rowOff>161925</xdr:rowOff>
    </xdr:to>
    <xdr:pic>
      <xdr:nvPicPr>
        <xdr:cNvPr id="9398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23717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47625</xdr:rowOff>
    </xdr:from>
    <xdr:to>
      <xdr:col>2</xdr:col>
      <xdr:colOff>857250</xdr:colOff>
      <xdr:row>2</xdr:row>
      <xdr:rowOff>209550</xdr:rowOff>
    </xdr:to>
    <xdr:pic>
      <xdr:nvPicPr>
        <xdr:cNvPr id="9313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7625"/>
          <a:ext cx="22860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F33" sqref="F33"/>
    </sheetView>
  </sheetViews>
  <sheetFormatPr defaultRowHeight="12.75" x14ac:dyDescent="0.2"/>
  <cols>
    <col min="1" max="1" width="9.5703125" style="5" customWidth="1"/>
    <col min="2" max="2" width="17.85546875" style="5" customWidth="1"/>
    <col min="3" max="3" width="17.5703125" style="5" customWidth="1"/>
    <col min="4" max="4" width="16" style="5" customWidth="1"/>
    <col min="5" max="5" width="16.85546875" style="5" customWidth="1"/>
    <col min="6" max="6" width="17.85546875" style="5" customWidth="1"/>
    <col min="7" max="7" width="16.7109375" style="5" customWidth="1"/>
    <col min="8" max="8" width="17.28515625" style="5" customWidth="1"/>
    <col min="9" max="9" width="17" style="5" customWidth="1"/>
    <col min="10" max="10" width="16.7109375" style="5" customWidth="1"/>
    <col min="11" max="11" width="16.5703125" style="5" customWidth="1"/>
    <col min="12" max="12" width="16.28515625" style="5" customWidth="1"/>
    <col min="13" max="13" width="17.28515625" style="5" customWidth="1"/>
    <col min="14" max="16384" width="9.140625" style="5"/>
  </cols>
  <sheetData>
    <row r="1" spans="1:13" x14ac:dyDescent="0.2">
      <c r="A1" s="313" t="s">
        <v>14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</row>
    <row r="2" spans="1:13" ht="15.75" x14ac:dyDescent="0.25">
      <c r="A2" s="311" t="s">
        <v>2</v>
      </c>
      <c r="B2" s="311" t="s">
        <v>55</v>
      </c>
      <c r="C2" s="311" t="s">
        <v>56</v>
      </c>
      <c r="D2" s="314" t="s">
        <v>12</v>
      </c>
      <c r="E2" s="315"/>
      <c r="F2" s="315"/>
      <c r="G2" s="315"/>
      <c r="H2" s="315"/>
      <c r="I2" s="315" t="s">
        <v>13</v>
      </c>
      <c r="J2" s="315"/>
      <c r="K2" s="315"/>
      <c r="L2" s="315"/>
      <c r="M2" s="316"/>
    </row>
    <row r="3" spans="1:13" ht="15.75" x14ac:dyDescent="0.2">
      <c r="A3" s="312"/>
      <c r="B3" s="312"/>
      <c r="C3" s="312"/>
      <c r="D3" s="12" t="s">
        <v>9</v>
      </c>
      <c r="E3" s="12" t="s">
        <v>10</v>
      </c>
      <c r="F3" s="12" t="s">
        <v>11</v>
      </c>
      <c r="G3" s="12" t="s">
        <v>17</v>
      </c>
      <c r="H3" s="14" t="s">
        <v>15</v>
      </c>
      <c r="I3" s="12" t="s">
        <v>9</v>
      </c>
      <c r="J3" s="12" t="s">
        <v>10</v>
      </c>
      <c r="K3" s="12" t="s">
        <v>11</v>
      </c>
      <c r="L3" s="12" t="s">
        <v>17</v>
      </c>
      <c r="M3" s="13" t="s">
        <v>16</v>
      </c>
    </row>
    <row r="4" spans="1:13" ht="15.75" x14ac:dyDescent="0.25">
      <c r="A4" s="15">
        <v>1</v>
      </c>
      <c r="B4" s="162"/>
      <c r="C4" s="16">
        <f t="shared" ref="C4:C15" si="0">ROUND(B4+H4-M4,2)</f>
        <v>0</v>
      </c>
      <c r="D4" s="17">
        <f>SUMPRODUCT(('Chi tiết'!$B$8:$B$2780="1")*('Chi tiết'!$C$8:$C$2780="+ttcb")*('Chi tiết'!$E$8:$E$2780))</f>
        <v>0</v>
      </c>
      <c r="E4" s="17">
        <f>SUMPRODUCT(('Chi tiết'!$B$8:$B$2780="1")*('Chi tiết'!$C$8:$C$2780="+tvtb")*('Chi tiết'!$E$8:$E$2780))</f>
        <v>0</v>
      </c>
      <c r="F4" s="17">
        <f>SUMPRODUCT(('Chi tiết'!$B$8:$B$2780="1")*('Chi tiết'!$C$8:$C$2780="+tshb")*('Chi tiết'!$E$8:$E$2780))</f>
        <v>0</v>
      </c>
      <c r="G4" s="17">
        <f>SUMPRODUCT(('Chi tiết'!$B$8:$B$2780="1")*('Chi tiết'!$C$8:$C$2780="+ttm")*('Chi tiết'!$E$8:$E$2780))</f>
        <v>0</v>
      </c>
      <c r="H4" s="16">
        <f>SUM(D4:G4)</f>
        <v>0</v>
      </c>
      <c r="I4" s="17">
        <f>SUMPRODUCT(('Chi tiết'!$B$8:$B$2780="1")*('Chi tiết'!$C$8:$C$2780="-ctcb")*('Chi tiết'!$E$8:$E$2780))</f>
        <v>0</v>
      </c>
      <c r="J4" s="17">
        <f>SUMPRODUCT(('Chi tiết'!$B$8:$B$2780="1")*('Chi tiết'!$C$8:$C$2780="-cvtb")*('Chi tiết'!$E$8:$E$2780))</f>
        <v>0</v>
      </c>
      <c r="K4" s="17">
        <f>SUMPRODUCT(('Chi tiết'!$B$8:$B$2780="1")*('Chi tiết'!$C$8:$C$2780="-cshb")*('Chi tiết'!$E$8:$E$2780))</f>
        <v>0</v>
      </c>
      <c r="L4" s="17">
        <f>SUMPRODUCT(('Chi tiết'!$B$8:$B$2780="1")*('Chi tiết'!$C$8:$C$2780="-ctm")*('Chi tiết'!$E$8:$E$2780))</f>
        <v>0</v>
      </c>
      <c r="M4" s="16">
        <f t="shared" ref="M4:M15" si="1">SUM(I4:L4)</f>
        <v>0</v>
      </c>
    </row>
    <row r="5" spans="1:13" ht="15.75" x14ac:dyDescent="0.25">
      <c r="A5" s="18">
        <v>2</v>
      </c>
      <c r="B5" s="163"/>
      <c r="C5" s="19">
        <f t="shared" si="0"/>
        <v>0</v>
      </c>
      <c r="D5" s="20">
        <f>SUMPRODUCT(('Chi tiết'!$B$8:$B$2780="2")*('Chi tiết'!$C$8:$C$2780="+ttcb")*('Chi tiết'!$E$8:$E$2780))</f>
        <v>0</v>
      </c>
      <c r="E5" s="27">
        <f>SUMPRODUCT(('Chi tiết'!$B$8:$B$2780="2")*('Chi tiết'!$C$8:$C$2780="+tvtb")*('Chi tiết'!$E$8:$E$2780))</f>
        <v>0</v>
      </c>
      <c r="F5" s="20">
        <f>SUMPRODUCT(('Chi tiết'!$B$8:$B$2780="2")*('Chi tiết'!$C$8:$C$2780="+tshb")*('Chi tiết'!$E$8:$E$2780))</f>
        <v>0</v>
      </c>
      <c r="G5" s="20">
        <f>SUMPRODUCT(('Chi tiết'!$B$8:$B$2780="2")*('Chi tiết'!$C$8:$C$2780="+ttm")*('Chi tiết'!$E$8:$E$2780))</f>
        <v>0</v>
      </c>
      <c r="H5" s="19">
        <f t="shared" ref="H5:H16" si="2">SUM(D5:G5)</f>
        <v>0</v>
      </c>
      <c r="I5" s="20">
        <f>SUMPRODUCT(('Chi tiết'!$B$8:$B$2780="2")*('Chi tiết'!$C$8:$C$2780="-ctcb")*('Chi tiết'!$E$8:$E$2780))</f>
        <v>0</v>
      </c>
      <c r="J5" s="20">
        <f>SUMPRODUCT(('Chi tiết'!$B$8:$B$2780="2")*('Chi tiết'!$C$8:$C$2780="-cvtb")*('Chi tiết'!$E$8:$E$2780))</f>
        <v>0</v>
      </c>
      <c r="K5" s="20">
        <f>SUMPRODUCT(('Chi tiết'!$B$8:$B$2780="2")*('Chi tiết'!$C$8:$C$2780="-cshb")*('Chi tiết'!$E$8:$E$2780))</f>
        <v>0</v>
      </c>
      <c r="L5" s="20">
        <f>SUMPRODUCT(('Chi tiết'!$B$8:$B$2780="2")*('Chi tiết'!$C$8:$C$2780="-ctm")*('Chi tiết'!$E$8:$E$2780))</f>
        <v>0</v>
      </c>
      <c r="M5" s="19">
        <f t="shared" si="1"/>
        <v>0</v>
      </c>
    </row>
    <row r="6" spans="1:13" ht="15.75" x14ac:dyDescent="0.25">
      <c r="A6" s="18">
        <v>3</v>
      </c>
      <c r="B6" s="163"/>
      <c r="C6" s="19">
        <f t="shared" si="0"/>
        <v>0</v>
      </c>
      <c r="D6" s="20">
        <f>SUMPRODUCT(('Chi tiết'!$B$8:$B$2780="3")*('Chi tiết'!$C$8:$C$2780="+ttcb")*('Chi tiết'!$E$8:$E$2780))</f>
        <v>0</v>
      </c>
      <c r="E6" s="20">
        <f>SUMPRODUCT(('Chi tiết'!$B$8:$B$2780="3")*('Chi tiết'!$C$8:$C$2780="+tvtb")*('Chi tiết'!$E$8:$E$2780))</f>
        <v>0</v>
      </c>
      <c r="F6" s="20">
        <f>SUMPRODUCT(('Chi tiết'!$B$8:$B$2780="3")*('Chi tiết'!$C$8:$C$2780="+tshb")*('Chi tiết'!$E$8:$E$2780))</f>
        <v>0</v>
      </c>
      <c r="G6" s="20">
        <f>SUMPRODUCT(('Chi tiết'!$B$8:$B$2780="3")*('Chi tiết'!$C$8:$C$2780="+ttm")*('Chi tiết'!$E$8:$E$2780))</f>
        <v>0</v>
      </c>
      <c r="H6" s="19">
        <f t="shared" si="2"/>
        <v>0</v>
      </c>
      <c r="I6" s="20">
        <f>SUMPRODUCT(('Chi tiết'!$B$8:$B$2780="3")*('Chi tiết'!$C$8:$C$2780="-ctcb")*('Chi tiết'!$E$8:$E$2780))</f>
        <v>0</v>
      </c>
      <c r="J6" s="20">
        <f>SUMPRODUCT(('Chi tiết'!$B$8:$B$2780="3")*('Chi tiết'!$C$8:$C$2780="-cvtb")*('Chi tiết'!$E$8:$E$2780))</f>
        <v>0</v>
      </c>
      <c r="K6" s="20">
        <f>SUMPRODUCT(('Chi tiết'!$B$8:$B$2780="3")*('Chi tiết'!$C$8:$C$2780="-cshb")*('Chi tiết'!$E$8:$E$2780))</f>
        <v>0</v>
      </c>
      <c r="L6" s="20">
        <f>SUMPRODUCT(('Chi tiết'!$B$8:$B$2780="3")*('Chi tiết'!$C$8:$C$2780="-ctm")*('Chi tiết'!$E$8:$E$2780))</f>
        <v>0</v>
      </c>
      <c r="M6" s="19">
        <f t="shared" si="1"/>
        <v>0</v>
      </c>
    </row>
    <row r="7" spans="1:13" ht="15.75" x14ac:dyDescent="0.25">
      <c r="A7" s="18">
        <v>4</v>
      </c>
      <c r="B7" s="163"/>
      <c r="C7" s="19">
        <f t="shared" si="0"/>
        <v>0</v>
      </c>
      <c r="D7" s="20">
        <f>SUMPRODUCT(('Chi tiết'!$B$8:$B$2780="4")*('Chi tiết'!$C$8:$C$2780="+ttcb")*('Chi tiết'!$E$8:$E$2780))</f>
        <v>0</v>
      </c>
      <c r="E7" s="20">
        <f>SUMPRODUCT(('Chi tiết'!$B$8:$B$2780="4")*('Chi tiết'!$C$8:$C$2780="+tvtb")*('Chi tiết'!$E$8:$E$2780))</f>
        <v>0</v>
      </c>
      <c r="F7" s="20">
        <f>SUMPRODUCT(('Chi tiết'!$B$8:$B$2780="4")*('Chi tiết'!$C$8:$C$2780="+tshb")*('Chi tiết'!$E$8:$E$2780))</f>
        <v>0</v>
      </c>
      <c r="G7" s="20">
        <f>SUMPRODUCT(('Chi tiết'!$B$8:$B$2780="4")*('Chi tiết'!$C$8:$C$2780="+ttm")*('Chi tiết'!$E$8:$E$2780))</f>
        <v>0</v>
      </c>
      <c r="H7" s="19">
        <f t="shared" si="2"/>
        <v>0</v>
      </c>
      <c r="I7" s="20">
        <f>SUMPRODUCT(('Chi tiết'!$B$8:$B$2780="4")*('Chi tiết'!$C$8:$C$2780="-ctcb")*('Chi tiết'!$E$8:$E$2780))</f>
        <v>0</v>
      </c>
      <c r="J7" s="20">
        <f>SUMPRODUCT(('Chi tiết'!$B$8:$B$2780="4")*('Chi tiết'!$C$8:$C$2780="-cvtb")*('Chi tiết'!$E$8:$E$2780))</f>
        <v>0</v>
      </c>
      <c r="K7" s="20">
        <f>SUMPRODUCT(('Chi tiết'!$B$8:$B$2780="4")*('Chi tiết'!$C$8:$C$2780="-cshb")*('Chi tiết'!$E$8:$E$2780))</f>
        <v>0</v>
      </c>
      <c r="L7" s="20">
        <f>SUMPRODUCT(('Chi tiết'!$B$8:$B$2780="4")*('Chi tiết'!$C$8:$C$2780="-ctm")*('Chi tiết'!$E$8:$E$2780))</f>
        <v>0</v>
      </c>
      <c r="M7" s="19">
        <f t="shared" si="1"/>
        <v>0</v>
      </c>
    </row>
    <row r="8" spans="1:13" ht="15.75" x14ac:dyDescent="0.25">
      <c r="A8" s="18">
        <v>5</v>
      </c>
      <c r="B8" s="163"/>
      <c r="C8" s="19">
        <f t="shared" si="0"/>
        <v>0</v>
      </c>
      <c r="D8" s="20">
        <f>SUMPRODUCT(('Chi tiết'!$B$8:$B$2780="5")*('Chi tiết'!$C$8:$C$2780="+ttcb")*('Chi tiết'!$E$8:$E$2780))</f>
        <v>0</v>
      </c>
      <c r="E8" s="20">
        <f>SUMPRODUCT(('Chi tiết'!$B$8:$B$2780="5")*('Chi tiết'!$C$8:$C$2780="+tvtb")*('Chi tiết'!$E$8:$E$2780))</f>
        <v>0</v>
      </c>
      <c r="F8" s="20">
        <f>SUMPRODUCT(('Chi tiết'!$B$8:$B$2780="5")*('Chi tiết'!$C$8:$C$2780="+tshb")*('Chi tiết'!$E$8:$E$2780))</f>
        <v>0</v>
      </c>
      <c r="G8" s="20">
        <f>SUMPRODUCT(('Chi tiết'!$B$8:$B$2780="5")*('Chi tiết'!$C$8:$C$2780="+ttm")*('Chi tiết'!$E$8:$E$2780))</f>
        <v>0</v>
      </c>
      <c r="H8" s="19">
        <f t="shared" si="2"/>
        <v>0</v>
      </c>
      <c r="I8" s="20">
        <f>SUMPRODUCT(('Chi tiết'!$B$8:$B$2780="5")*('Chi tiết'!$C$8:$C$2780="-ctcb")*('Chi tiết'!$E$8:$E$2780))</f>
        <v>0</v>
      </c>
      <c r="J8" s="20">
        <f>SUMPRODUCT(('Chi tiết'!$B$8:$B$2780="5")*('Chi tiết'!$C$8:$C$2780="-cvtb")*('Chi tiết'!$E$8:$E$2780))</f>
        <v>0</v>
      </c>
      <c r="K8" s="20">
        <f>SUMPRODUCT(('Chi tiết'!$B$8:$B$2780="5")*('Chi tiết'!$C$8:$C$2780="-cshb")*('Chi tiết'!$E$8:$E$2780))</f>
        <v>0</v>
      </c>
      <c r="L8" s="20">
        <f>SUMPRODUCT(('Chi tiết'!$B$8:$B$2780="5")*('Chi tiết'!$C$8:$C$2780="-ctm")*('Chi tiết'!$E$8:$E$2780))</f>
        <v>0</v>
      </c>
      <c r="M8" s="19">
        <f t="shared" si="1"/>
        <v>0</v>
      </c>
    </row>
    <row r="9" spans="1:13" ht="15.75" x14ac:dyDescent="0.25">
      <c r="A9" s="18">
        <v>6</v>
      </c>
      <c r="B9" s="163"/>
      <c r="C9" s="19">
        <f t="shared" si="0"/>
        <v>0</v>
      </c>
      <c r="D9" s="20">
        <f>SUMPRODUCT(('Chi tiết'!$B$8:$B$2780="6")*('Chi tiết'!$C$8:$C$2780="+ttcb")*('Chi tiết'!$E$8:$E$2780))</f>
        <v>0</v>
      </c>
      <c r="E9" s="20">
        <f>SUMPRODUCT(('Chi tiết'!$B$8:$B$2780="6")*('Chi tiết'!$C$8:$C$2780="+tvtb")*('Chi tiết'!$E$8:$E$2780))</f>
        <v>0</v>
      </c>
      <c r="F9" s="20">
        <f>SUMPRODUCT(('Chi tiết'!$B$8:$B$2780="6")*('Chi tiết'!$C$8:$C$2780="+tshb")*('Chi tiết'!$E$8:$E$2780))</f>
        <v>0</v>
      </c>
      <c r="G9" s="20">
        <f>SUMPRODUCT(('Chi tiết'!$B$8:$B$2780="6")*('Chi tiết'!$C$8:$C$2780="+ttm")*('Chi tiết'!$E$8:$E$2780))</f>
        <v>0</v>
      </c>
      <c r="H9" s="19">
        <f t="shared" si="2"/>
        <v>0</v>
      </c>
      <c r="I9" s="20">
        <f>SUMPRODUCT(('Chi tiết'!$B$8:$B$2780="6")*('Chi tiết'!$C$8:$C$2780="-ctcb")*('Chi tiết'!$E$8:$E$2780))</f>
        <v>0</v>
      </c>
      <c r="J9" s="20">
        <f>SUMPRODUCT(('Chi tiết'!$B$8:$B$2780="6")*('Chi tiết'!$C$8:$C$2780="-cvtb")*('Chi tiết'!$E$8:$E$2780))</f>
        <v>0</v>
      </c>
      <c r="K9" s="20">
        <f>SUMPRODUCT(('Chi tiết'!$B$8:$B$2780="6")*('Chi tiết'!$C$8:$C$2780="-cshb")*('Chi tiết'!$E$8:$E$2780))</f>
        <v>0</v>
      </c>
      <c r="L9" s="20">
        <f>SUMPRODUCT(('Chi tiết'!$B$8:$B$2780="6")*('Chi tiết'!$C$8:$C$2780="-ctm")*('Chi tiết'!$E$8:$E$2780))</f>
        <v>0</v>
      </c>
      <c r="M9" s="19">
        <f t="shared" si="1"/>
        <v>0</v>
      </c>
    </row>
    <row r="10" spans="1:13" ht="15.75" x14ac:dyDescent="0.25">
      <c r="A10" s="18">
        <v>7</v>
      </c>
      <c r="B10" s="164"/>
      <c r="C10" s="19">
        <f t="shared" si="0"/>
        <v>0</v>
      </c>
      <c r="D10" s="20">
        <f>SUMPRODUCT(('Chi tiết'!$B$8:$B$2780="7")*('Chi tiết'!$C$8:$C$2780="+ttcb")*('Chi tiết'!$E$8:$E$2780))</f>
        <v>0</v>
      </c>
      <c r="E10" s="20">
        <f>SUMPRODUCT(('Chi tiết'!$B$8:$B$2780="7")*('Chi tiết'!$C$8:$C$2780="+tvtb")*('Chi tiết'!$E$8:$E$2780))</f>
        <v>0</v>
      </c>
      <c r="F10" s="20">
        <f>SUMPRODUCT(('Chi tiết'!$B$8:$B$2780="7")*('Chi tiết'!$C$8:$C$2780="+tshb")*('Chi tiết'!$E$8:$E$2780))</f>
        <v>0</v>
      </c>
      <c r="G10" s="20">
        <f>SUMPRODUCT(('Chi tiết'!$B$8:$B$2780="7")*('Chi tiết'!$C$8:$C$2780="+ttm")*('Chi tiết'!$E$8:$E$2780))</f>
        <v>0</v>
      </c>
      <c r="H10" s="19">
        <f t="shared" si="2"/>
        <v>0</v>
      </c>
      <c r="I10" s="20">
        <f>SUMPRODUCT(('Chi tiết'!$B$8:$B$2780="7")*('Chi tiết'!$C$8:$C$2780="-ctcb")*('Chi tiết'!$E$8:$E$2780))</f>
        <v>0</v>
      </c>
      <c r="J10" s="20">
        <f>SUMPRODUCT(('Chi tiết'!$B$8:$B$2780="7")*('Chi tiết'!$C$8:$C$2780="-cvtb")*('Chi tiết'!$E$8:$E$2780))</f>
        <v>0</v>
      </c>
      <c r="K10" s="20">
        <f>SUMPRODUCT(('Chi tiết'!$B$8:$B$2780="7")*('Chi tiết'!$C$8:$C$2780="-cshb")*('Chi tiết'!$E$8:$E$2780))</f>
        <v>0</v>
      </c>
      <c r="L10" s="20">
        <f>SUMPRODUCT(('Chi tiết'!$B$8:$B$2780="7")*('Chi tiết'!$C$8:$C$2780="-ctm")*('Chi tiết'!$E$8:$E$2780))</f>
        <v>0</v>
      </c>
      <c r="M10" s="19">
        <f t="shared" si="1"/>
        <v>0</v>
      </c>
    </row>
    <row r="11" spans="1:13" ht="15.75" x14ac:dyDescent="0.25">
      <c r="A11" s="18">
        <v>8</v>
      </c>
      <c r="B11" s="166"/>
      <c r="C11" s="19">
        <f t="shared" si="0"/>
        <v>0</v>
      </c>
      <c r="D11" s="20">
        <f>SUMPRODUCT(('Chi tiết'!$B$8:$B$2780="8")*('Chi tiết'!$C$8:$C$2780="+ttcb")*('Chi tiết'!$E$8:$E$2780))</f>
        <v>0</v>
      </c>
      <c r="E11" s="20">
        <f>SUMPRODUCT(('Chi tiết'!$B$8:$B$2780="8")*('Chi tiết'!$C$8:$C$2780="+tvtb")*('Chi tiết'!$E$8:$E$2780))</f>
        <v>0</v>
      </c>
      <c r="F11" s="20">
        <f>SUMPRODUCT(('Chi tiết'!$B$8:$B$2780="8")*('Chi tiết'!$C$8:$C$2780="+tshb")*('Chi tiết'!$E$8:$E$2780))</f>
        <v>0</v>
      </c>
      <c r="G11" s="20">
        <f>SUMPRODUCT(('Chi tiết'!$B$8:$B$2780="8")*('Chi tiết'!$C$8:$C$2780="+ttm")*('Chi tiết'!$E$8:$E$2780))</f>
        <v>0</v>
      </c>
      <c r="H11" s="19">
        <f t="shared" si="2"/>
        <v>0</v>
      </c>
      <c r="I11" s="20">
        <f>SUMPRODUCT(('Chi tiết'!$B$8:$B$2780="8")*('Chi tiết'!$C$8:$C$2780="-ctcb")*('Chi tiết'!$E$8:$E$2780))</f>
        <v>0</v>
      </c>
      <c r="J11" s="20">
        <f>SUMPRODUCT(('Chi tiết'!$B$8:$B$2780="8")*('Chi tiết'!$C$8:$C$2780="-cvtb")*('Chi tiết'!$E$8:$E$2780))</f>
        <v>0</v>
      </c>
      <c r="K11" s="20">
        <f>SUMPRODUCT(('Chi tiết'!$B$8:$B$2780="8")*('Chi tiết'!$C$8:$C$2780="-cshb")*('Chi tiết'!$E$8:$E$2780))</f>
        <v>0</v>
      </c>
      <c r="L11" s="20">
        <f>SUMPRODUCT(('Chi tiết'!$B$8:$B$2780="8")*('Chi tiết'!$C$8:$C$2780="-ctm")*('Chi tiết'!$E$8:$E$2780))</f>
        <v>0</v>
      </c>
      <c r="M11" s="19">
        <f t="shared" si="1"/>
        <v>0</v>
      </c>
    </row>
    <row r="12" spans="1:13" ht="15.75" x14ac:dyDescent="0.25">
      <c r="A12" s="18">
        <v>9</v>
      </c>
      <c r="B12" s="166">
        <v>2450125790</v>
      </c>
      <c r="C12" s="19">
        <f t="shared" si="0"/>
        <v>2338693372</v>
      </c>
      <c r="D12" s="20">
        <f>SUMPRODUCT(('Chi tiết'!$B$8:$B$2780="9")*('Chi tiết'!$C$8:$C$2780="+ttcb")*('Chi tiết'!$E$8:$E$2780))</f>
        <v>3387017372</v>
      </c>
      <c r="E12" s="20">
        <f>SUMPRODUCT(('Chi tiết'!$B$8:$B$2780="9")*('Chi tiết'!$C$8:$C$2780="+tvtb")*('Chi tiết'!$E$8:$E$2780))</f>
        <v>2159102380</v>
      </c>
      <c r="F12" s="20">
        <f>SUMPRODUCT(('Chi tiết'!$B$8:$B$2780="9")*('Chi tiết'!$C$8:$C$2780="+tshb")*('Chi tiết'!$E$8:$E$2780))</f>
        <v>1375157628</v>
      </c>
      <c r="G12" s="20">
        <f>SUMPRODUCT(('Chi tiết'!$B$8:$B$2780="9")*('Chi tiết'!$C$8:$C$2780="+ttm")*('Chi tiết'!$E$8:$E$2780))</f>
        <v>114100000</v>
      </c>
      <c r="H12" s="19">
        <f t="shared" si="2"/>
        <v>7035377380</v>
      </c>
      <c r="I12" s="20">
        <f>SUMPRODUCT(('Chi tiết'!$B$8:$B$2780="9")*('Chi tiết'!$C$8:$C$2780="-ctcb")*('Chi tiết'!$E$8:$E$2780))</f>
        <v>2070166388</v>
      </c>
      <c r="J12" s="20">
        <f>SUMPRODUCT(('Chi tiết'!$B$8:$B$2780="9")*('Chi tiết'!$C$8:$C$2780="-cvtb")*('Chi tiết'!$E$8:$E$2780))</f>
        <v>3164628560</v>
      </c>
      <c r="K12" s="20">
        <f>SUMPRODUCT(('Chi tiết'!$B$8:$B$2780="9")*('Chi tiết'!$C$8:$C$2780="-cshb")*('Chi tiết'!$E$8:$E$2780))</f>
        <v>1791833000</v>
      </c>
      <c r="L12" s="20">
        <f>SUMPRODUCT(('Chi tiết'!$B$8:$B$2780="9")*('Chi tiết'!$C$8:$C$2780="-ctm")*('Chi tiết'!$E$8:$E$2780))</f>
        <v>120181850</v>
      </c>
      <c r="M12" s="19">
        <f t="shared" si="1"/>
        <v>7146809798</v>
      </c>
    </row>
    <row r="13" spans="1:13" ht="15.75" x14ac:dyDescent="0.25">
      <c r="A13" s="18">
        <v>10</v>
      </c>
      <c r="B13" s="163"/>
      <c r="C13" s="19">
        <f t="shared" si="0"/>
        <v>0</v>
      </c>
      <c r="D13" s="20">
        <f>SUMPRODUCT(('Chi tiết'!$B$8:$B$2780="10")*('Chi tiết'!$C$8:$C$2780="+ttcb")*('Chi tiết'!$E$8:$E$2780))</f>
        <v>0</v>
      </c>
      <c r="E13" s="20">
        <f>SUMPRODUCT(('Chi tiết'!$B$8:$B$2780="10")*('Chi tiết'!$C$8:$C$2780="+tvtb")*('Chi tiết'!$E$8:$E$2780))</f>
        <v>0</v>
      </c>
      <c r="F13" s="20">
        <f>SUMPRODUCT(('Chi tiết'!$B$8:$B$2780="10")*('Chi tiết'!$C$8:$C$2780="+tshb")*('Chi tiết'!$E$8:$E$2780))</f>
        <v>0</v>
      </c>
      <c r="G13" s="20">
        <f>SUMPRODUCT(('Chi tiết'!$B$8:$B$2780="10")*('Chi tiết'!$C$8:$C$2780="+ttm")*('Chi tiết'!$E$8:$E$2780))</f>
        <v>0</v>
      </c>
      <c r="H13" s="19">
        <f t="shared" si="2"/>
        <v>0</v>
      </c>
      <c r="I13" s="20">
        <f>SUMPRODUCT(('Chi tiết'!$B$8:$B$2780="10")*('Chi tiết'!$C$8:$C$2780="-ctcb")*('Chi tiết'!$E$8:$E$2780))</f>
        <v>0</v>
      </c>
      <c r="J13" s="20">
        <f>SUMPRODUCT(('Chi tiết'!$B$8:$B$2780="10")*('Chi tiết'!$C$8:$C$2780="-cvtb")*('Chi tiết'!$E$8:$E$2780))</f>
        <v>0</v>
      </c>
      <c r="K13" s="20">
        <f>SUMPRODUCT(('Chi tiết'!$B$8:$B$2780="10")*('Chi tiết'!$C$8:$C$2780="-cshb")*('Chi tiết'!$E$8:$E$2780))</f>
        <v>0</v>
      </c>
      <c r="L13" s="20">
        <f>SUMPRODUCT(('Chi tiết'!$B$8:$B$2780="10")*('Chi tiết'!$C$8:$C$2780="-ctm")*('Chi tiết'!$E$8:$E$2780))</f>
        <v>0</v>
      </c>
      <c r="M13" s="19">
        <f t="shared" si="1"/>
        <v>0</v>
      </c>
    </row>
    <row r="14" spans="1:13" ht="15.75" x14ac:dyDescent="0.25">
      <c r="A14" s="18">
        <v>11</v>
      </c>
      <c r="B14" s="163"/>
      <c r="C14" s="19">
        <f t="shared" si="0"/>
        <v>0</v>
      </c>
      <c r="D14" s="20">
        <f>SUMPRODUCT(('Chi tiết'!$B$8:$B$2780="11")*('Chi tiết'!$C$8:$C$2780="+ttcb")*('Chi tiết'!$E$8:$E$2780))</f>
        <v>0</v>
      </c>
      <c r="E14" s="20">
        <f>SUMPRODUCT(('Chi tiết'!$B$8:$B$2780="11")*('Chi tiết'!$C$8:$C$2780="+tvtb")*('Chi tiết'!$E$8:$E$2780))</f>
        <v>0</v>
      </c>
      <c r="F14" s="20">
        <f>SUMPRODUCT(('Chi tiết'!$B$8:$B$2780="11")*('Chi tiết'!$C$8:$C$2780="+shb")*('Chi tiết'!$E$8:$E$2780))</f>
        <v>0</v>
      </c>
      <c r="G14" s="20">
        <f>SUMPRODUCT(('Chi tiết'!$B$8:$B$2780="11")*('Chi tiết'!$C$8:$C$2780="+ttm")*('Chi tiết'!$E$8:$E$2780))</f>
        <v>0</v>
      </c>
      <c r="H14" s="19">
        <f t="shared" si="2"/>
        <v>0</v>
      </c>
      <c r="I14" s="20">
        <f>SUMPRODUCT(('Chi tiết'!$B$8:$B$2780="11")*('Chi tiết'!$C$8:$C$2780="-ctcb")*('Chi tiết'!$E$8:$E$2780))</f>
        <v>0</v>
      </c>
      <c r="J14" s="20">
        <f>SUMPRODUCT(('Chi tiết'!$B$8:$B$2780="11")*('Chi tiết'!$C$8:$C$2780="-cvtb")*('Chi tiết'!$E$8:$E$2780))</f>
        <v>0</v>
      </c>
      <c r="K14" s="20">
        <f>SUMPRODUCT(('Chi tiết'!$B$8:$B$2780="11")*('Chi tiết'!$C$8:$C$2780="-cshb")*('Chi tiết'!$E$8:$E$2780))</f>
        <v>0</v>
      </c>
      <c r="L14" s="20">
        <f>SUMPRODUCT(('Chi tiết'!$B$8:$B$2780="11")*('Chi tiết'!$C$8:$C$2780="-ctm")*('Chi tiết'!$E$8:$E$2780))</f>
        <v>0</v>
      </c>
      <c r="M14" s="19">
        <f t="shared" si="1"/>
        <v>0</v>
      </c>
    </row>
    <row r="15" spans="1:13" ht="15.75" x14ac:dyDescent="0.25">
      <c r="A15" s="21">
        <v>12</v>
      </c>
      <c r="B15" s="165"/>
      <c r="C15" s="19">
        <f t="shared" si="0"/>
        <v>0</v>
      </c>
      <c r="D15" s="24">
        <f>SUMPRODUCT(('Chi tiết'!$B$8:$B$2780="12")*('Chi tiết'!$C$8:$C$2780="+ttcb")*('Chi tiết'!$E$8:$E$2780))</f>
        <v>0</v>
      </c>
      <c r="E15" s="24">
        <f>SUMPRODUCT(('Chi tiết'!$B$8:$B$2780="12")*('Chi tiết'!$C$8:$C$2780="+tvtb")*('Chi tiết'!$E$8:$E$2780))</f>
        <v>0</v>
      </c>
      <c r="F15" s="24">
        <f>SUMPRODUCT(('Chi tiết'!$B$8:$B$2780="12")*('Chi tiết'!$C$8:$C$2780="+shb")*('Chi tiết'!$E$8:$E$2780))</f>
        <v>0</v>
      </c>
      <c r="G15" s="24">
        <f>SUMPRODUCT(('Chi tiết'!$B$8:$B$2780="12")*('Chi tiết'!$C$8:$C$2780="+ttm")*('Chi tiết'!$E$8:$E$2780))</f>
        <v>0</v>
      </c>
      <c r="H15" s="22">
        <f t="shared" si="2"/>
        <v>0</v>
      </c>
      <c r="I15" s="24">
        <f>SUMPRODUCT(('Chi tiết'!$B$8:$B$2780="12")*('Chi tiết'!$C$8:$C$2780="-ctcb")*('Chi tiết'!$E$8:$E$2780))</f>
        <v>0</v>
      </c>
      <c r="J15" s="24">
        <f>SUMPRODUCT(('Chi tiết'!$B$8:$B$2780="12")*('Chi tiết'!$C$8:$C$2780="-cvtb")*('Chi tiết'!$E$8:$E$2780))</f>
        <v>0</v>
      </c>
      <c r="K15" s="24">
        <f>SUMPRODUCT(('Chi tiết'!$B$8:$B$2780="12")*('Chi tiết'!$C$8:$C$2780="-cshb")*('Chi tiết'!$E$8:$E$2780))</f>
        <v>0</v>
      </c>
      <c r="L15" s="24">
        <f>SUMPRODUCT(('Chi tiết'!$B$8:$B$2780="12")*('Chi tiết'!$C$8:$C$2780="-ctm")*('Chi tiết'!$E$8:$E$2780))</f>
        <v>0</v>
      </c>
      <c r="M15" s="22">
        <f t="shared" si="1"/>
        <v>0</v>
      </c>
    </row>
    <row r="16" spans="1:13" ht="15.75" x14ac:dyDescent="0.25">
      <c r="A16" s="32" t="s">
        <v>6</v>
      </c>
      <c r="B16" s="161">
        <f t="shared" ref="B16:G16" si="3">SUM(B4:B15)</f>
        <v>2450125790</v>
      </c>
      <c r="C16" s="31">
        <f t="shared" si="3"/>
        <v>2338693372</v>
      </c>
      <c r="D16" s="25">
        <f t="shared" si="3"/>
        <v>3387017372</v>
      </c>
      <c r="E16" s="25">
        <f t="shared" si="3"/>
        <v>2159102380</v>
      </c>
      <c r="F16" s="25">
        <f t="shared" si="3"/>
        <v>1375157628</v>
      </c>
      <c r="G16" s="25">
        <f t="shared" si="3"/>
        <v>114100000</v>
      </c>
      <c r="H16" s="26">
        <f t="shared" si="2"/>
        <v>7035377380</v>
      </c>
      <c r="I16" s="25">
        <f>SUM(I4:I15)</f>
        <v>2070166388</v>
      </c>
      <c r="J16" s="25">
        <f>SUM(J4:J15)</f>
        <v>3164628560</v>
      </c>
      <c r="K16" s="25">
        <f>SUM(K4:K15)</f>
        <v>1791833000</v>
      </c>
      <c r="L16" s="25">
        <f>SUM(L4:L15)</f>
        <v>120181850</v>
      </c>
      <c r="M16" s="26">
        <f>SUM(M4:M15)</f>
        <v>7146809798</v>
      </c>
    </row>
    <row r="17" spans="5:10" x14ac:dyDescent="0.2">
      <c r="E17" s="23"/>
      <c r="F17" s="23"/>
      <c r="G17" s="23"/>
      <c r="I17" s="23"/>
    </row>
    <row r="18" spans="5:10" x14ac:dyDescent="0.2">
      <c r="E18" s="29"/>
      <c r="F18" s="28"/>
      <c r="G18" s="28"/>
      <c r="I18" s="23"/>
      <c r="J18" s="23"/>
    </row>
    <row r="19" spans="5:10" x14ac:dyDescent="0.2">
      <c r="E19" s="30"/>
      <c r="G19" s="23"/>
    </row>
    <row r="20" spans="5:10" x14ac:dyDescent="0.2">
      <c r="E20" s="23"/>
    </row>
    <row r="21" spans="5:10" x14ac:dyDescent="0.2">
      <c r="E21" s="23"/>
      <c r="H21" s="23"/>
    </row>
    <row r="22" spans="5:10" x14ac:dyDescent="0.2">
      <c r="J22" s="23"/>
    </row>
    <row r="30" spans="5:10" x14ac:dyDescent="0.2">
      <c r="F30" s="5" t="s">
        <v>57</v>
      </c>
    </row>
    <row r="31" spans="5:10" x14ac:dyDescent="0.2">
      <c r="F31" s="33"/>
    </row>
  </sheetData>
  <mergeCells count="6">
    <mergeCell ref="A2:A3"/>
    <mergeCell ref="C2:C3"/>
    <mergeCell ref="A1:M1"/>
    <mergeCell ref="D2:H2"/>
    <mergeCell ref="I2:M2"/>
    <mergeCell ref="B2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6"/>
  <sheetViews>
    <sheetView topLeftCell="B1" zoomScale="115" zoomScaleNormal="115" workbookViewId="0">
      <pane ySplit="7" topLeftCell="A8" activePane="bottomLeft" state="frozen"/>
      <selection pane="bottomLeft" activeCell="D10" sqref="D10"/>
    </sheetView>
  </sheetViews>
  <sheetFormatPr defaultRowHeight="15.75" x14ac:dyDescent="0.25"/>
  <cols>
    <col min="1" max="1" width="7" style="1" customWidth="1"/>
    <col min="2" max="2" width="12.85546875" style="1" bestFit="1" customWidth="1"/>
    <col min="3" max="3" width="19" style="1" customWidth="1"/>
    <col min="4" max="4" width="57.140625" style="2" customWidth="1"/>
    <col min="5" max="5" width="19.5703125" style="3" customWidth="1"/>
    <col min="6" max="6" width="14.28515625" style="4" hidden="1" customWidth="1"/>
    <col min="7" max="7" width="16.7109375" style="2" hidden="1" customWidth="1"/>
    <col min="8" max="8" width="19.42578125" style="147" hidden="1" customWidth="1"/>
    <col min="9" max="9" width="18.85546875" style="5" hidden="1" customWidth="1"/>
    <col min="10" max="10" width="10.85546875" style="5" hidden="1" customWidth="1"/>
    <col min="11" max="11" width="13.7109375" style="5" hidden="1" customWidth="1"/>
    <col min="12" max="12" width="0" style="5" hidden="1" customWidth="1"/>
    <col min="13" max="14" width="9.5703125" style="5" hidden="1" customWidth="1"/>
    <col min="15" max="17" width="0" style="5" hidden="1" customWidth="1"/>
    <col min="18" max="18" width="12" style="5" hidden="1" customWidth="1"/>
    <col min="19" max="21" width="0" style="5" hidden="1" customWidth="1"/>
    <col min="22" max="22" width="8.140625" style="5" hidden="1" customWidth="1"/>
    <col min="23" max="23" width="0" style="5" hidden="1" customWidth="1"/>
    <col min="24" max="24" width="9.140625" style="5" hidden="1" customWidth="1"/>
    <col min="25" max="25" width="0" style="5" hidden="1" customWidth="1"/>
    <col min="26" max="26" width="10.5703125" style="5" hidden="1" customWidth="1"/>
    <col min="27" max="33" width="0" style="5" hidden="1" customWidth="1"/>
    <col min="34" max="34" width="18.28515625" style="5" hidden="1" customWidth="1"/>
    <col min="35" max="35" width="13.140625" style="5" hidden="1" customWidth="1"/>
    <col min="36" max="36" width="13" style="5" hidden="1" customWidth="1"/>
    <col min="37" max="37" width="19.140625" style="5" customWidth="1"/>
    <col min="38" max="38" width="12.28515625" style="5" customWidth="1"/>
    <col min="39" max="39" width="16.7109375" style="5" customWidth="1"/>
    <col min="40" max="16384" width="9.140625" style="5"/>
  </cols>
  <sheetData>
    <row r="1" spans="1:39" customFormat="1" ht="18" x14ac:dyDescent="0.25">
      <c r="A1" s="6"/>
      <c r="B1" s="6"/>
      <c r="C1" s="321" t="s">
        <v>4</v>
      </c>
      <c r="D1" s="322"/>
      <c r="E1" s="322"/>
      <c r="F1" s="322"/>
      <c r="G1" s="143"/>
      <c r="H1" s="145"/>
      <c r="I1">
        <v>642</v>
      </c>
    </row>
    <row r="2" spans="1:39" customFormat="1" ht="18" x14ac:dyDescent="0.25">
      <c r="A2" s="6"/>
      <c r="B2" s="6"/>
      <c r="C2" s="10" t="s">
        <v>32</v>
      </c>
      <c r="D2" s="7" t="s">
        <v>36</v>
      </c>
      <c r="E2" s="10" t="s">
        <v>40</v>
      </c>
      <c r="F2" s="7" t="s">
        <v>44</v>
      </c>
      <c r="G2" s="143"/>
      <c r="H2" s="145"/>
    </row>
    <row r="3" spans="1:39" customFormat="1" ht="18" x14ac:dyDescent="0.25">
      <c r="A3" s="6"/>
      <c r="B3" s="6"/>
      <c r="C3" s="10" t="s">
        <v>33</v>
      </c>
      <c r="D3" s="7" t="s">
        <v>37</v>
      </c>
      <c r="E3" s="11" t="s">
        <v>42</v>
      </c>
      <c r="F3" s="8" t="s">
        <v>45</v>
      </c>
      <c r="G3" s="143"/>
      <c r="H3" s="145"/>
    </row>
    <row r="4" spans="1:39" customFormat="1" ht="18" x14ac:dyDescent="0.25">
      <c r="A4" s="6"/>
      <c r="B4" s="6"/>
      <c r="C4" s="10" t="s">
        <v>34</v>
      </c>
      <c r="D4" s="7" t="s">
        <v>38</v>
      </c>
      <c r="E4" s="11" t="s">
        <v>41</v>
      </c>
      <c r="F4" s="8" t="s">
        <v>46</v>
      </c>
      <c r="G4" s="143"/>
      <c r="H4" s="145"/>
    </row>
    <row r="5" spans="1:39" customFormat="1" ht="18" x14ac:dyDescent="0.25">
      <c r="A5" s="6"/>
      <c r="B5" s="6"/>
      <c r="C5" s="10" t="s">
        <v>35</v>
      </c>
      <c r="D5" s="7" t="s">
        <v>39</v>
      </c>
      <c r="E5" s="10" t="s">
        <v>43</v>
      </c>
      <c r="F5" s="7" t="s">
        <v>47</v>
      </c>
      <c r="G5" s="143"/>
      <c r="H5" s="145"/>
    </row>
    <row r="6" spans="1:39" customFormat="1" ht="12.75" x14ac:dyDescent="0.2">
      <c r="A6" s="326" t="s">
        <v>0</v>
      </c>
      <c r="B6" s="324" t="s">
        <v>2</v>
      </c>
      <c r="C6" s="326" t="s">
        <v>3</v>
      </c>
      <c r="D6" s="327" t="s">
        <v>7</v>
      </c>
      <c r="E6" s="328" t="s">
        <v>1</v>
      </c>
      <c r="F6" s="323" t="s">
        <v>50</v>
      </c>
      <c r="G6" s="311" t="s">
        <v>8</v>
      </c>
      <c r="H6" s="319" t="s">
        <v>48</v>
      </c>
      <c r="I6" s="317" t="s">
        <v>5</v>
      </c>
      <c r="J6" t="s">
        <v>298</v>
      </c>
      <c r="K6" t="s">
        <v>317</v>
      </c>
      <c r="L6" t="s">
        <v>299</v>
      </c>
      <c r="M6" t="s">
        <v>300</v>
      </c>
      <c r="N6" t="s">
        <v>321</v>
      </c>
      <c r="O6" t="s">
        <v>301</v>
      </c>
      <c r="P6" t="s">
        <v>302</v>
      </c>
      <c r="Q6" t="s">
        <v>303</v>
      </c>
      <c r="R6" t="s">
        <v>304</v>
      </c>
      <c r="S6" t="s">
        <v>305</v>
      </c>
      <c r="T6" t="s">
        <v>320</v>
      </c>
      <c r="U6" t="s">
        <v>306</v>
      </c>
      <c r="V6" t="s">
        <v>307</v>
      </c>
      <c r="W6" t="s">
        <v>308</v>
      </c>
      <c r="X6" t="s">
        <v>309</v>
      </c>
      <c r="Y6" t="s">
        <v>319</v>
      </c>
      <c r="Z6" t="s">
        <v>310</v>
      </c>
      <c r="AA6" t="s">
        <v>311</v>
      </c>
      <c r="AB6" t="s">
        <v>312</v>
      </c>
      <c r="AC6" t="s">
        <v>313</v>
      </c>
      <c r="AD6" t="s">
        <v>314</v>
      </c>
      <c r="AE6" t="s">
        <v>315</v>
      </c>
      <c r="AF6" t="s">
        <v>316</v>
      </c>
      <c r="AG6" t="s">
        <v>318</v>
      </c>
    </row>
    <row r="7" spans="1:39" s="9" customFormat="1" x14ac:dyDescent="0.25">
      <c r="A7" s="326"/>
      <c r="B7" s="325"/>
      <c r="C7" s="324"/>
      <c r="D7" s="327"/>
      <c r="E7" s="328"/>
      <c r="F7" s="323"/>
      <c r="G7" s="312"/>
      <c r="H7" s="320"/>
      <c r="I7" s="318"/>
      <c r="AK7" s="388" t="s">
        <v>322</v>
      </c>
      <c r="AL7" s="388" t="s">
        <v>324</v>
      </c>
      <c r="AM7" s="388" t="s">
        <v>323</v>
      </c>
    </row>
    <row r="8" spans="1:39" s="82" customFormat="1" x14ac:dyDescent="0.25">
      <c r="A8" s="98" t="s">
        <v>49</v>
      </c>
      <c r="B8" s="98" t="s">
        <v>61</v>
      </c>
      <c r="C8" s="98" t="s">
        <v>44</v>
      </c>
      <c r="D8" s="220" t="s">
        <v>64</v>
      </c>
      <c r="E8" s="217">
        <v>3240000</v>
      </c>
      <c r="F8" s="97" t="s">
        <v>51</v>
      </c>
      <c r="G8" s="96" t="s">
        <v>59</v>
      </c>
      <c r="H8" s="146" t="s">
        <v>58</v>
      </c>
      <c r="I8" s="175"/>
      <c r="J8" s="232">
        <f>E8+E9+E17+E19+E24+E25+E26+E35+E36+E37+E38+E39+E40++E44+E45+E46+E52+E53+E54+E55+E56+E57+E59+E60+E61+E62+E66+E67+E71+E74+E73+E75+E77+E78+E84+E85+E86+E87+E88+E89+E92+E93+E94+E95+E96+E97+E99+E103+E112+E113+E122+E125+E126+E128+E129+E131+E132+E134+E143+E145+E146+E147+E148+E149+E150+E156+E163+E166</f>
        <v>2331978706</v>
      </c>
      <c r="K8" s="236">
        <f>+E10+E16+E22+E117+E69+E101+E102+E104+E70</f>
        <v>4778000</v>
      </c>
      <c r="L8" s="241">
        <f>+E11+E20</f>
        <v>4149360</v>
      </c>
      <c r="M8" s="219">
        <f>E108</f>
        <v>41529600</v>
      </c>
      <c r="N8" s="219">
        <f>E21+E133</f>
        <v>102600000</v>
      </c>
      <c r="O8" s="254">
        <f>+E23</f>
        <v>1820000</v>
      </c>
      <c r="P8" s="219">
        <f>+E27</f>
        <v>14000000</v>
      </c>
      <c r="Q8" s="258">
        <f>+E28+E29+E33+E81+E90+E158+E160</f>
        <v>15831000</v>
      </c>
      <c r="R8" s="260">
        <f>+E30+E68+E114+E144</f>
        <v>19124000</v>
      </c>
      <c r="S8" s="265">
        <f>+E31+E32</f>
        <v>83726351</v>
      </c>
      <c r="T8" s="271">
        <f>+E34+E141</f>
        <v>11595299</v>
      </c>
      <c r="U8" s="278">
        <f>+E47+E135+E138+E154+E155</f>
        <v>1212000</v>
      </c>
      <c r="V8" s="283">
        <f>+E48+E50+E169</f>
        <v>9216000</v>
      </c>
      <c r="W8" s="288">
        <f>E49+E72+E100+E130+E157+E168</f>
        <v>7568000</v>
      </c>
      <c r="X8" s="265">
        <f>E76+E109+E139+E118</f>
        <v>73032850</v>
      </c>
      <c r="Y8" s="292">
        <f>+E80+E167</f>
        <v>3500000</v>
      </c>
      <c r="Z8" s="293">
        <f>+E82</f>
        <v>1003000</v>
      </c>
      <c r="AA8" s="296">
        <f>+E83</f>
        <v>20328864</v>
      </c>
      <c r="AB8" s="298">
        <f>+E91+E105+E153</f>
        <v>6798971</v>
      </c>
      <c r="AC8" s="302">
        <f>+E107</f>
        <v>16535405</v>
      </c>
      <c r="AD8" s="264">
        <f>+E110</f>
        <v>28000000</v>
      </c>
      <c r="AE8" s="219">
        <f>+E111</f>
        <v>6000000</v>
      </c>
      <c r="AF8" s="219">
        <f>E115</f>
        <v>500000</v>
      </c>
      <c r="AG8" s="219">
        <f>E140</f>
        <v>100000</v>
      </c>
      <c r="AH8" s="244">
        <f>800000000+1790000000+55000000</f>
        <v>2645000000</v>
      </c>
      <c r="AI8" s="243">
        <f>SUM(J8:AH8)</f>
        <v>5449927406</v>
      </c>
      <c r="AK8" s="389" t="s">
        <v>325</v>
      </c>
      <c r="AL8" s="389"/>
      <c r="AM8" s="389" t="s">
        <v>325</v>
      </c>
    </row>
    <row r="9" spans="1:39" s="82" customFormat="1" x14ac:dyDescent="0.25">
      <c r="A9" s="98" t="s">
        <v>49</v>
      </c>
      <c r="B9" s="98" t="s">
        <v>61</v>
      </c>
      <c r="C9" s="98" t="s">
        <v>45</v>
      </c>
      <c r="D9" s="220" t="s">
        <v>62</v>
      </c>
      <c r="E9" s="217">
        <v>9900000</v>
      </c>
      <c r="F9" s="97" t="s">
        <v>53</v>
      </c>
      <c r="G9" s="96" t="s">
        <v>59</v>
      </c>
      <c r="H9" s="146" t="s">
        <v>58</v>
      </c>
      <c r="I9" s="176"/>
      <c r="M9" s="242"/>
      <c r="N9" s="242"/>
      <c r="AI9" s="219">
        <f>E173</f>
        <v>26667491964</v>
      </c>
      <c r="AK9" s="389" t="s">
        <v>308</v>
      </c>
      <c r="AL9" s="389"/>
      <c r="AM9" s="389" t="s">
        <v>326</v>
      </c>
    </row>
    <row r="10" spans="1:39" s="82" customFormat="1" x14ac:dyDescent="0.25">
      <c r="A10" s="98" t="s">
        <v>49</v>
      </c>
      <c r="B10" s="98" t="s">
        <v>61</v>
      </c>
      <c r="C10" s="98" t="s">
        <v>47</v>
      </c>
      <c r="D10" s="233" t="s">
        <v>63</v>
      </c>
      <c r="E10" s="234">
        <v>1782000</v>
      </c>
      <c r="F10" s="97" t="s">
        <v>52</v>
      </c>
      <c r="G10" s="96" t="s">
        <v>54</v>
      </c>
      <c r="H10" s="146" t="s">
        <v>66</v>
      </c>
      <c r="I10" s="176"/>
      <c r="AI10" s="219">
        <f>AI8-AI9</f>
        <v>-21217564558</v>
      </c>
      <c r="AK10" s="389" t="s">
        <v>335</v>
      </c>
      <c r="AL10" s="389"/>
      <c r="AM10" s="389" t="s">
        <v>327</v>
      </c>
    </row>
    <row r="11" spans="1:39" s="82" customFormat="1" x14ac:dyDescent="0.25">
      <c r="A11" s="98" t="s">
        <v>49</v>
      </c>
      <c r="B11" s="98" t="s">
        <v>61</v>
      </c>
      <c r="C11" s="98" t="s">
        <v>47</v>
      </c>
      <c r="D11" s="238" t="s">
        <v>70</v>
      </c>
      <c r="E11" s="239">
        <v>500000</v>
      </c>
      <c r="F11" s="97" t="s">
        <v>52</v>
      </c>
      <c r="G11" s="96" t="s">
        <v>54</v>
      </c>
      <c r="H11" s="146" t="s">
        <v>66</v>
      </c>
      <c r="I11" s="176"/>
      <c r="AK11" s="389" t="s">
        <v>335</v>
      </c>
      <c r="AL11" s="389"/>
      <c r="AM11" s="389" t="s">
        <v>328</v>
      </c>
    </row>
    <row r="12" spans="1:39" s="82" customFormat="1" ht="15" x14ac:dyDescent="0.25">
      <c r="A12" s="98" t="s">
        <v>49</v>
      </c>
      <c r="B12" s="98" t="s">
        <v>61</v>
      </c>
      <c r="C12" s="98" t="s">
        <v>38</v>
      </c>
      <c r="D12" s="96" t="s">
        <v>138</v>
      </c>
      <c r="E12" s="83">
        <v>120000000</v>
      </c>
      <c r="F12" s="97" t="s">
        <v>11</v>
      </c>
      <c r="G12" s="96"/>
      <c r="H12" s="96" t="s">
        <v>67</v>
      </c>
      <c r="I12" s="176"/>
      <c r="AK12" s="389" t="s">
        <v>339</v>
      </c>
      <c r="AL12" s="389"/>
      <c r="AM12" s="389" t="s">
        <v>329</v>
      </c>
    </row>
    <row r="13" spans="1:39" s="82" customFormat="1" x14ac:dyDescent="0.25">
      <c r="A13" s="98" t="s">
        <v>49</v>
      </c>
      <c r="B13" s="98" t="s">
        <v>61</v>
      </c>
      <c r="C13" s="98" t="s">
        <v>38</v>
      </c>
      <c r="D13" s="187" t="s">
        <v>69</v>
      </c>
      <c r="E13" s="83">
        <v>221221</v>
      </c>
      <c r="F13" s="97" t="s">
        <v>11</v>
      </c>
      <c r="G13" s="144"/>
      <c r="H13" s="142" t="s">
        <v>66</v>
      </c>
      <c r="I13" s="176"/>
      <c r="AK13" s="389" t="s">
        <v>339</v>
      </c>
      <c r="AL13" s="389"/>
      <c r="AM13" s="389" t="s">
        <v>330</v>
      </c>
    </row>
    <row r="14" spans="1:39" s="82" customFormat="1" x14ac:dyDescent="0.25">
      <c r="A14" s="98" t="s">
        <v>71</v>
      </c>
      <c r="B14" s="98" t="s">
        <v>61</v>
      </c>
      <c r="C14" s="98" t="s">
        <v>38</v>
      </c>
      <c r="D14" s="100" t="s">
        <v>136</v>
      </c>
      <c r="E14" s="83">
        <v>300000000</v>
      </c>
      <c r="F14" s="97" t="s">
        <v>11</v>
      </c>
      <c r="G14" s="144"/>
      <c r="H14" s="142" t="s">
        <v>73</v>
      </c>
      <c r="I14" s="176"/>
      <c r="AK14" s="389" t="s">
        <v>339</v>
      </c>
      <c r="AL14" s="389"/>
      <c r="AM14" s="389" t="s">
        <v>312</v>
      </c>
    </row>
    <row r="15" spans="1:39" s="82" customFormat="1" x14ac:dyDescent="0.25">
      <c r="A15" s="98" t="s">
        <v>71</v>
      </c>
      <c r="B15" s="98" t="s">
        <v>61</v>
      </c>
      <c r="C15" s="98" t="s">
        <v>38</v>
      </c>
      <c r="D15" s="100" t="s">
        <v>137</v>
      </c>
      <c r="E15" s="83">
        <v>480151370</v>
      </c>
      <c r="F15" s="97" t="s">
        <v>11</v>
      </c>
      <c r="G15" s="144"/>
      <c r="H15" s="146" t="s">
        <v>87</v>
      </c>
      <c r="I15" s="176"/>
      <c r="AK15" s="389" t="s">
        <v>339</v>
      </c>
      <c r="AL15" s="389"/>
      <c r="AM15" s="389" t="s">
        <v>331</v>
      </c>
    </row>
    <row r="16" spans="1:39" s="82" customFormat="1" x14ac:dyDescent="0.25">
      <c r="A16" s="98" t="s">
        <v>71</v>
      </c>
      <c r="B16" s="98" t="s">
        <v>61</v>
      </c>
      <c r="C16" s="98" t="s">
        <v>47</v>
      </c>
      <c r="D16" s="235" t="s">
        <v>75</v>
      </c>
      <c r="E16" s="234">
        <v>215000</v>
      </c>
      <c r="F16" s="99" t="s">
        <v>52</v>
      </c>
      <c r="G16" s="144"/>
      <c r="H16" s="146" t="s">
        <v>66</v>
      </c>
      <c r="I16" s="176"/>
      <c r="AK16" s="389" t="s">
        <v>339</v>
      </c>
      <c r="AL16" s="389"/>
      <c r="AM16" s="389" t="s">
        <v>318</v>
      </c>
    </row>
    <row r="17" spans="1:39" s="82" customFormat="1" x14ac:dyDescent="0.25">
      <c r="A17" s="98" t="s">
        <v>71</v>
      </c>
      <c r="B17" s="98" t="s">
        <v>61</v>
      </c>
      <c r="C17" s="98" t="s">
        <v>44</v>
      </c>
      <c r="D17" s="221" t="s">
        <v>79</v>
      </c>
      <c r="E17" s="217">
        <v>72000000</v>
      </c>
      <c r="F17" s="99" t="s">
        <v>51</v>
      </c>
      <c r="G17" s="144"/>
      <c r="H17" s="146" t="s">
        <v>58</v>
      </c>
      <c r="I17" s="176"/>
      <c r="AH17" s="244">
        <v>1000000000</v>
      </c>
      <c r="AK17" s="389" t="s">
        <v>339</v>
      </c>
      <c r="AL17" s="389"/>
      <c r="AM17" s="389" t="s">
        <v>332</v>
      </c>
    </row>
    <row r="18" spans="1:39" s="82" customFormat="1" ht="17.25" customHeight="1" x14ac:dyDescent="0.25">
      <c r="A18" s="98" t="s">
        <v>78</v>
      </c>
      <c r="B18" s="98" t="s">
        <v>61</v>
      </c>
      <c r="C18" s="98" t="s">
        <v>37</v>
      </c>
      <c r="D18" s="100" t="s">
        <v>81</v>
      </c>
      <c r="E18" s="83">
        <v>212948417</v>
      </c>
      <c r="F18" s="99" t="s">
        <v>53</v>
      </c>
      <c r="G18" s="144"/>
      <c r="H18" s="146" t="s">
        <v>80</v>
      </c>
      <c r="I18" s="176"/>
      <c r="AH18" s="82">
        <v>800000000</v>
      </c>
      <c r="AK18" s="389" t="s">
        <v>339</v>
      </c>
      <c r="AL18" s="389"/>
      <c r="AM18" s="389" t="s">
        <v>333</v>
      </c>
    </row>
    <row r="19" spans="1:39" s="82" customFormat="1" x14ac:dyDescent="0.25">
      <c r="A19" s="98" t="s">
        <v>78</v>
      </c>
      <c r="B19" s="98" t="s">
        <v>61</v>
      </c>
      <c r="C19" s="98" t="s">
        <v>45</v>
      </c>
      <c r="D19" s="221" t="s">
        <v>82</v>
      </c>
      <c r="E19" s="217">
        <v>147217488</v>
      </c>
      <c r="F19" s="99" t="s">
        <v>53</v>
      </c>
      <c r="G19" s="144" t="s">
        <v>83</v>
      </c>
      <c r="H19" s="146" t="s">
        <v>58</v>
      </c>
      <c r="I19" s="176"/>
      <c r="AH19" s="244">
        <v>100000000</v>
      </c>
      <c r="AK19" s="389" t="s">
        <v>339</v>
      </c>
      <c r="AL19" s="389"/>
      <c r="AM19" s="389" t="s">
        <v>310</v>
      </c>
    </row>
    <row r="20" spans="1:39" s="82" customFormat="1" x14ac:dyDescent="0.25">
      <c r="A20" s="98" t="s">
        <v>78</v>
      </c>
      <c r="B20" s="98" t="s">
        <v>61</v>
      </c>
      <c r="C20" s="98" t="s">
        <v>45</v>
      </c>
      <c r="D20" s="240" t="s">
        <v>84</v>
      </c>
      <c r="E20" s="239">
        <v>3649360</v>
      </c>
      <c r="F20" s="99" t="s">
        <v>53</v>
      </c>
      <c r="G20" s="144" t="s">
        <v>54</v>
      </c>
      <c r="H20" s="142" t="s">
        <v>66</v>
      </c>
      <c r="I20" s="176"/>
      <c r="AH20" s="244">
        <v>690000000</v>
      </c>
      <c r="AK20" s="389" t="s">
        <v>339</v>
      </c>
      <c r="AL20" s="389"/>
      <c r="AM20" s="389" t="s">
        <v>334</v>
      </c>
    </row>
    <row r="21" spans="1:39" s="82" customFormat="1" x14ac:dyDescent="0.25">
      <c r="A21" s="98" t="s">
        <v>78</v>
      </c>
      <c r="B21" s="98" t="s">
        <v>61</v>
      </c>
      <c r="C21" s="98" t="s">
        <v>45</v>
      </c>
      <c r="D21" s="247" t="s">
        <v>85</v>
      </c>
      <c r="E21" s="237">
        <v>1100000</v>
      </c>
      <c r="F21" s="99" t="s">
        <v>53</v>
      </c>
      <c r="G21" s="144" t="s">
        <v>86</v>
      </c>
      <c r="H21" s="146" t="s">
        <v>87</v>
      </c>
      <c r="I21" s="176"/>
      <c r="AH21" s="310">
        <f>SUBTOTAL(9,AH17:AH20)</f>
        <v>2590000000</v>
      </c>
      <c r="AK21" s="389" t="s">
        <v>339</v>
      </c>
      <c r="AL21" s="389"/>
      <c r="AM21" s="389" t="s">
        <v>308</v>
      </c>
    </row>
    <row r="22" spans="1:39" s="82" customFormat="1" x14ac:dyDescent="0.25">
      <c r="A22" s="98" t="s">
        <v>78</v>
      </c>
      <c r="B22" s="98" t="s">
        <v>61</v>
      </c>
      <c r="C22" s="98" t="s">
        <v>47</v>
      </c>
      <c r="D22" s="235" t="s">
        <v>89</v>
      </c>
      <c r="E22" s="234">
        <v>264000</v>
      </c>
      <c r="F22" s="99" t="s">
        <v>52</v>
      </c>
      <c r="G22" s="144" t="s">
        <v>54</v>
      </c>
      <c r="H22" s="146" t="s">
        <v>66</v>
      </c>
      <c r="I22" s="176"/>
      <c r="AK22" s="389" t="s">
        <v>339</v>
      </c>
      <c r="AL22" s="389"/>
      <c r="AM22" s="389" t="s">
        <v>335</v>
      </c>
    </row>
    <row r="23" spans="1:39" s="82" customFormat="1" x14ac:dyDescent="0.25">
      <c r="A23" s="98" t="s">
        <v>78</v>
      </c>
      <c r="B23" s="98" t="s">
        <v>61</v>
      </c>
      <c r="C23" s="98" t="s">
        <v>47</v>
      </c>
      <c r="D23" s="252" t="s">
        <v>90</v>
      </c>
      <c r="E23" s="253">
        <v>1820000</v>
      </c>
      <c r="F23" s="99" t="s">
        <v>52</v>
      </c>
      <c r="G23" s="144" t="s">
        <v>54</v>
      </c>
      <c r="H23" s="146" t="s">
        <v>66</v>
      </c>
      <c r="I23" s="176"/>
      <c r="AK23" s="389" t="s">
        <v>339</v>
      </c>
      <c r="AL23" s="389"/>
      <c r="AM23" s="389" t="s">
        <v>336</v>
      </c>
    </row>
    <row r="24" spans="1:39" s="82" customFormat="1" x14ac:dyDescent="0.25">
      <c r="A24" s="98" t="s">
        <v>78</v>
      </c>
      <c r="B24" s="98" t="s">
        <v>61</v>
      </c>
      <c r="C24" s="98" t="s">
        <v>44</v>
      </c>
      <c r="D24" s="221" t="s">
        <v>91</v>
      </c>
      <c r="E24" s="217">
        <v>42010000</v>
      </c>
      <c r="F24" s="99" t="s">
        <v>51</v>
      </c>
      <c r="G24" s="144" t="s">
        <v>83</v>
      </c>
      <c r="H24" s="142" t="s">
        <v>87</v>
      </c>
      <c r="I24" s="176"/>
      <c r="AK24" s="389" t="s">
        <v>339</v>
      </c>
      <c r="AL24" s="389" t="s">
        <v>339</v>
      </c>
      <c r="AM24" s="389" t="s">
        <v>313</v>
      </c>
    </row>
    <row r="25" spans="1:39" s="82" customFormat="1" x14ac:dyDescent="0.25">
      <c r="A25" s="98" t="s">
        <v>92</v>
      </c>
      <c r="B25" s="98" t="s">
        <v>61</v>
      </c>
      <c r="C25" s="98" t="s">
        <v>44</v>
      </c>
      <c r="D25" s="221" t="s">
        <v>94</v>
      </c>
      <c r="E25" s="217">
        <v>5000000</v>
      </c>
      <c r="F25" s="99" t="s">
        <v>51</v>
      </c>
      <c r="G25" s="144" t="s">
        <v>59</v>
      </c>
      <c r="H25" s="142" t="s">
        <v>93</v>
      </c>
      <c r="I25" s="176"/>
      <c r="AK25" s="389" t="s">
        <v>339</v>
      </c>
      <c r="AL25" s="389" t="s">
        <v>298</v>
      </c>
      <c r="AM25" s="389" t="s">
        <v>337</v>
      </c>
    </row>
    <row r="26" spans="1:39" s="82" customFormat="1" x14ac:dyDescent="0.25">
      <c r="A26" s="98" t="s">
        <v>92</v>
      </c>
      <c r="B26" s="98" t="s">
        <v>61</v>
      </c>
      <c r="C26" s="98" t="s">
        <v>44</v>
      </c>
      <c r="D26" s="221" t="s">
        <v>95</v>
      </c>
      <c r="E26" s="217">
        <v>4000000</v>
      </c>
      <c r="F26" s="99" t="s">
        <v>51</v>
      </c>
      <c r="G26" s="144" t="s">
        <v>59</v>
      </c>
      <c r="H26" s="142" t="s">
        <v>58</v>
      </c>
      <c r="I26" s="176"/>
      <c r="AK26" s="389" t="s">
        <v>339</v>
      </c>
      <c r="AL26" s="389" t="s">
        <v>339</v>
      </c>
      <c r="AM26" s="389" t="s">
        <v>338</v>
      </c>
    </row>
    <row r="27" spans="1:39" s="82" customFormat="1" x14ac:dyDescent="0.25">
      <c r="A27" s="98" t="s">
        <v>92</v>
      </c>
      <c r="B27" s="98" t="s">
        <v>61</v>
      </c>
      <c r="C27" s="98" t="s">
        <v>44</v>
      </c>
      <c r="D27" s="100" t="s">
        <v>96</v>
      </c>
      <c r="E27" s="83">
        <v>14000000</v>
      </c>
      <c r="F27" s="99" t="s">
        <v>51</v>
      </c>
      <c r="G27" s="144"/>
      <c r="H27" s="146" t="s">
        <v>66</v>
      </c>
      <c r="I27" s="176"/>
      <c r="AK27" s="389" t="s">
        <v>339</v>
      </c>
      <c r="AL27" s="389"/>
      <c r="AM27" s="389" t="s">
        <v>339</v>
      </c>
    </row>
    <row r="28" spans="1:39" s="82" customFormat="1" x14ac:dyDescent="0.25">
      <c r="A28" s="98" t="s">
        <v>102</v>
      </c>
      <c r="B28" s="98" t="s">
        <v>61</v>
      </c>
      <c r="C28" s="98" t="s">
        <v>47</v>
      </c>
      <c r="D28" s="255" t="s">
        <v>97</v>
      </c>
      <c r="E28" s="256">
        <v>591000</v>
      </c>
      <c r="F28" s="99" t="s">
        <v>52</v>
      </c>
      <c r="G28" s="96" t="s">
        <v>98</v>
      </c>
      <c r="H28" s="146" t="s">
        <v>66</v>
      </c>
      <c r="I28" s="176"/>
      <c r="AK28" s="389" t="s">
        <v>339</v>
      </c>
      <c r="AL28" s="389"/>
      <c r="AM28" s="389"/>
    </row>
    <row r="29" spans="1:39" s="82" customFormat="1" x14ac:dyDescent="0.25">
      <c r="A29" s="98" t="s">
        <v>102</v>
      </c>
      <c r="B29" s="98" t="s">
        <v>61</v>
      </c>
      <c r="C29" s="98" t="s">
        <v>47</v>
      </c>
      <c r="D29" s="255" t="s">
        <v>100</v>
      </c>
      <c r="E29" s="256">
        <v>2530000</v>
      </c>
      <c r="F29" s="99" t="s">
        <v>52</v>
      </c>
      <c r="G29" s="96" t="s">
        <v>101</v>
      </c>
      <c r="H29" s="146" t="s">
        <v>66</v>
      </c>
      <c r="I29" s="176"/>
      <c r="AK29" s="389" t="s">
        <v>339</v>
      </c>
      <c r="AL29" s="389"/>
      <c r="AM29" s="389"/>
    </row>
    <row r="30" spans="1:39" s="82" customFormat="1" x14ac:dyDescent="0.25">
      <c r="A30" s="98" t="s">
        <v>102</v>
      </c>
      <c r="B30" s="98" t="s">
        <v>61</v>
      </c>
      <c r="C30" s="98" t="s">
        <v>44</v>
      </c>
      <c r="D30" s="261" t="s">
        <v>103</v>
      </c>
      <c r="E30" s="262">
        <v>4488000</v>
      </c>
      <c r="F30" s="99" t="s">
        <v>51</v>
      </c>
      <c r="G30" s="96"/>
      <c r="H30" s="146" t="s">
        <v>66</v>
      </c>
      <c r="I30" s="176"/>
      <c r="AK30" s="389" t="s">
        <v>339</v>
      </c>
      <c r="AL30" s="389"/>
      <c r="AM30" s="389"/>
    </row>
    <row r="31" spans="1:39" s="82" customFormat="1" x14ac:dyDescent="0.25">
      <c r="A31" s="98" t="s">
        <v>102</v>
      </c>
      <c r="B31" s="98" t="s">
        <v>61</v>
      </c>
      <c r="C31" s="98" t="s">
        <v>46</v>
      </c>
      <c r="D31" s="266" t="s">
        <v>105</v>
      </c>
      <c r="E31" s="267">
        <v>900000</v>
      </c>
      <c r="F31" s="99" t="s">
        <v>11</v>
      </c>
      <c r="G31" s="144"/>
      <c r="H31" s="146" t="s">
        <v>66</v>
      </c>
      <c r="I31" s="176"/>
      <c r="AK31" s="389" t="s">
        <v>339</v>
      </c>
      <c r="AL31" s="389"/>
      <c r="AM31" s="389"/>
    </row>
    <row r="32" spans="1:39" s="82" customFormat="1" x14ac:dyDescent="0.25">
      <c r="A32" s="98" t="s">
        <v>102</v>
      </c>
      <c r="B32" s="98" t="s">
        <v>61</v>
      </c>
      <c r="C32" s="98" t="s">
        <v>45</v>
      </c>
      <c r="D32" s="266" t="s">
        <v>106</v>
      </c>
      <c r="E32" s="267">
        <v>82826351</v>
      </c>
      <c r="F32" s="99" t="s">
        <v>53</v>
      </c>
      <c r="G32" s="144"/>
      <c r="H32" s="146" t="s">
        <v>107</v>
      </c>
      <c r="I32" s="176"/>
      <c r="AK32" s="389" t="s">
        <v>339</v>
      </c>
      <c r="AL32" s="389"/>
      <c r="AM32" s="389"/>
    </row>
    <row r="33" spans="1:39" s="82" customFormat="1" x14ac:dyDescent="0.25">
      <c r="A33" s="98" t="s">
        <v>61</v>
      </c>
      <c r="B33" s="98" t="s">
        <v>61</v>
      </c>
      <c r="C33" s="98" t="s">
        <v>47</v>
      </c>
      <c r="D33" s="255" t="s">
        <v>108</v>
      </c>
      <c r="E33" s="256">
        <v>750000</v>
      </c>
      <c r="F33" s="99" t="s">
        <v>52</v>
      </c>
      <c r="G33" s="144" t="s">
        <v>109</v>
      </c>
      <c r="H33" s="142" t="s">
        <v>66</v>
      </c>
      <c r="I33" s="176"/>
      <c r="AK33" s="389" t="s">
        <v>339</v>
      </c>
      <c r="AL33" s="389"/>
      <c r="AM33" s="389"/>
    </row>
    <row r="34" spans="1:39" s="82" customFormat="1" x14ac:dyDescent="0.25">
      <c r="A34" s="98" t="s">
        <v>61</v>
      </c>
      <c r="B34" s="98" t="s">
        <v>61</v>
      </c>
      <c r="C34" s="98" t="s">
        <v>45</v>
      </c>
      <c r="D34" s="269" t="s">
        <v>110</v>
      </c>
      <c r="E34" s="270">
        <v>859050</v>
      </c>
      <c r="F34" s="99" t="s">
        <v>53</v>
      </c>
      <c r="G34" s="96"/>
      <c r="H34" s="142" t="s">
        <v>66</v>
      </c>
      <c r="I34" s="176"/>
      <c r="AK34" s="389" t="s">
        <v>339</v>
      </c>
      <c r="AL34" s="389"/>
      <c r="AM34" s="389"/>
    </row>
    <row r="35" spans="1:39" s="82" customFormat="1" x14ac:dyDescent="0.25">
      <c r="A35" s="98" t="s">
        <v>61</v>
      </c>
      <c r="B35" s="98" t="s">
        <v>61</v>
      </c>
      <c r="C35" s="98" t="s">
        <v>45</v>
      </c>
      <c r="D35" s="221" t="s">
        <v>111</v>
      </c>
      <c r="E35" s="217">
        <v>30993000</v>
      </c>
      <c r="F35" s="99" t="s">
        <v>53</v>
      </c>
      <c r="G35" s="96" t="s">
        <v>59</v>
      </c>
      <c r="H35" s="146" t="s">
        <v>112</v>
      </c>
      <c r="I35" s="176"/>
      <c r="AK35" s="389" t="s">
        <v>339</v>
      </c>
      <c r="AL35" s="389"/>
      <c r="AM35" s="389"/>
    </row>
    <row r="36" spans="1:39" s="82" customFormat="1" x14ac:dyDescent="0.25">
      <c r="A36" s="98" t="s">
        <v>61</v>
      </c>
      <c r="B36" s="98" t="s">
        <v>61</v>
      </c>
      <c r="C36" s="98" t="s">
        <v>44</v>
      </c>
      <c r="D36" s="221" t="s">
        <v>115</v>
      </c>
      <c r="E36" s="217">
        <v>21000000</v>
      </c>
      <c r="F36" s="99" t="s">
        <v>51</v>
      </c>
      <c r="G36" s="144" t="s">
        <v>114</v>
      </c>
      <c r="H36" s="146" t="s">
        <v>113</v>
      </c>
      <c r="I36" s="176"/>
      <c r="AK36" s="389" t="s">
        <v>339</v>
      </c>
      <c r="AL36" s="389"/>
      <c r="AM36" s="389"/>
    </row>
    <row r="37" spans="1:39" s="82" customFormat="1" ht="30" x14ac:dyDescent="0.2">
      <c r="A37" s="154" t="s">
        <v>61</v>
      </c>
      <c r="B37" s="154" t="s">
        <v>61</v>
      </c>
      <c r="C37" s="154" t="s">
        <v>44</v>
      </c>
      <c r="D37" s="222" t="s">
        <v>116</v>
      </c>
      <c r="E37" s="223">
        <v>5790000</v>
      </c>
      <c r="F37" s="206" t="s">
        <v>51</v>
      </c>
      <c r="G37" s="207" t="s">
        <v>59</v>
      </c>
      <c r="H37" s="159" t="s">
        <v>123</v>
      </c>
      <c r="I37" s="177"/>
      <c r="AK37" s="389" t="s">
        <v>339</v>
      </c>
      <c r="AL37" s="389"/>
      <c r="AM37" s="389"/>
    </row>
    <row r="38" spans="1:39" s="82" customFormat="1" x14ac:dyDescent="0.25">
      <c r="A38" s="154" t="s">
        <v>61</v>
      </c>
      <c r="B38" s="154" t="s">
        <v>61</v>
      </c>
      <c r="C38" s="154" t="s">
        <v>44</v>
      </c>
      <c r="D38" s="221" t="s">
        <v>117</v>
      </c>
      <c r="E38" s="217">
        <v>2469000</v>
      </c>
      <c r="F38" s="206" t="s">
        <v>51</v>
      </c>
      <c r="G38" s="207" t="s">
        <v>59</v>
      </c>
      <c r="H38" s="146" t="s">
        <v>58</v>
      </c>
      <c r="I38" s="176"/>
      <c r="AK38" s="389" t="s">
        <v>339</v>
      </c>
      <c r="AL38" s="389"/>
      <c r="AM38" s="389"/>
    </row>
    <row r="39" spans="1:39" s="82" customFormat="1" x14ac:dyDescent="0.25">
      <c r="A39" s="154" t="s">
        <v>61</v>
      </c>
      <c r="B39" s="154" t="s">
        <v>61</v>
      </c>
      <c r="C39" s="154" t="s">
        <v>44</v>
      </c>
      <c r="D39" s="221" t="s">
        <v>118</v>
      </c>
      <c r="E39" s="217">
        <v>76000000</v>
      </c>
      <c r="F39" s="206" t="s">
        <v>51</v>
      </c>
      <c r="G39" s="207" t="s">
        <v>59</v>
      </c>
      <c r="H39" s="146" t="s">
        <v>58</v>
      </c>
      <c r="I39" s="176"/>
      <c r="AK39" s="389" t="s">
        <v>339</v>
      </c>
      <c r="AL39" s="389"/>
      <c r="AM39" s="389"/>
    </row>
    <row r="40" spans="1:39" s="82" customFormat="1" x14ac:dyDescent="0.25">
      <c r="A40" s="154" t="s">
        <v>61</v>
      </c>
      <c r="B40" s="154" t="s">
        <v>61</v>
      </c>
      <c r="C40" s="154" t="s">
        <v>44</v>
      </c>
      <c r="D40" s="221" t="s">
        <v>119</v>
      </c>
      <c r="E40" s="217">
        <v>3255000</v>
      </c>
      <c r="F40" s="206" t="s">
        <v>51</v>
      </c>
      <c r="G40" s="207" t="s">
        <v>59</v>
      </c>
      <c r="H40" s="146" t="s">
        <v>58</v>
      </c>
      <c r="I40" s="176"/>
      <c r="AK40" s="389" t="s">
        <v>339</v>
      </c>
      <c r="AL40" s="389"/>
      <c r="AM40" s="389"/>
    </row>
    <row r="41" spans="1:39" s="82" customFormat="1" x14ac:dyDescent="0.25">
      <c r="A41" s="154" t="s">
        <v>61</v>
      </c>
      <c r="B41" s="154" t="s">
        <v>61</v>
      </c>
      <c r="C41" s="98" t="s">
        <v>38</v>
      </c>
      <c r="D41" s="100" t="s">
        <v>120</v>
      </c>
      <c r="E41" s="83">
        <v>443333837</v>
      </c>
      <c r="F41" s="99" t="s">
        <v>11</v>
      </c>
      <c r="G41" s="96"/>
      <c r="H41" s="142" t="s">
        <v>140</v>
      </c>
      <c r="I41" s="176"/>
      <c r="AK41" s="389" t="s">
        <v>339</v>
      </c>
      <c r="AL41" s="389"/>
      <c r="AM41" s="389"/>
    </row>
    <row r="42" spans="1:39" s="82" customFormat="1" x14ac:dyDescent="0.25">
      <c r="A42" s="98" t="s">
        <v>122</v>
      </c>
      <c r="B42" s="154" t="s">
        <v>61</v>
      </c>
      <c r="C42" s="98" t="s">
        <v>46</v>
      </c>
      <c r="D42" s="100" t="s">
        <v>124</v>
      </c>
      <c r="E42" s="83">
        <v>1000000000</v>
      </c>
      <c r="F42" s="99" t="s">
        <v>11</v>
      </c>
      <c r="G42" s="96"/>
      <c r="H42" s="142" t="s">
        <v>66</v>
      </c>
      <c r="I42" s="176"/>
      <c r="AK42" s="389" t="s">
        <v>339</v>
      </c>
      <c r="AL42" s="389"/>
      <c r="AM42" s="389"/>
    </row>
    <row r="43" spans="1:39" s="82" customFormat="1" x14ac:dyDescent="0.25">
      <c r="A43" s="98" t="s">
        <v>122</v>
      </c>
      <c r="B43" s="154" t="s">
        <v>61</v>
      </c>
      <c r="C43" s="98" t="s">
        <v>36</v>
      </c>
      <c r="D43" s="100" t="s">
        <v>125</v>
      </c>
      <c r="E43" s="83">
        <v>1000000000</v>
      </c>
      <c r="F43" s="99" t="s">
        <v>51</v>
      </c>
      <c r="G43" s="96"/>
      <c r="H43" s="142" t="s">
        <v>66</v>
      </c>
      <c r="I43" s="176"/>
      <c r="AK43" s="389" t="s">
        <v>339</v>
      </c>
      <c r="AL43" s="389"/>
      <c r="AM43" s="389"/>
    </row>
    <row r="44" spans="1:39" s="82" customFormat="1" x14ac:dyDescent="0.25">
      <c r="A44" s="98" t="s">
        <v>122</v>
      </c>
      <c r="B44" s="154" t="s">
        <v>61</v>
      </c>
      <c r="C44" s="98" t="s">
        <v>44</v>
      </c>
      <c r="D44" s="221" t="s">
        <v>126</v>
      </c>
      <c r="E44" s="231">
        <v>37523689</v>
      </c>
      <c r="F44" s="99" t="s">
        <v>51</v>
      </c>
      <c r="G44" s="96" t="s">
        <v>127</v>
      </c>
      <c r="H44" s="142" t="s">
        <v>66</v>
      </c>
      <c r="I44" s="176"/>
      <c r="AK44" s="389" t="s">
        <v>339</v>
      </c>
      <c r="AL44" s="389"/>
      <c r="AM44" s="389"/>
    </row>
    <row r="45" spans="1:39" s="160" customFormat="1" x14ac:dyDescent="0.25">
      <c r="A45" s="98" t="s">
        <v>122</v>
      </c>
      <c r="B45" s="154" t="s">
        <v>61</v>
      </c>
      <c r="C45" s="98" t="s">
        <v>44</v>
      </c>
      <c r="D45" s="221" t="s">
        <v>128</v>
      </c>
      <c r="E45" s="223">
        <v>13400000</v>
      </c>
      <c r="F45" s="99" t="s">
        <v>51</v>
      </c>
      <c r="G45" s="96" t="s">
        <v>83</v>
      </c>
      <c r="H45" s="159" t="s">
        <v>58</v>
      </c>
      <c r="I45" s="177"/>
      <c r="AK45" s="389" t="s">
        <v>339</v>
      </c>
      <c r="AL45" s="390"/>
      <c r="AM45" s="390"/>
    </row>
    <row r="46" spans="1:39" s="82" customFormat="1" ht="30" x14ac:dyDescent="0.25">
      <c r="A46" s="98" t="s">
        <v>122</v>
      </c>
      <c r="B46" s="154" t="s">
        <v>61</v>
      </c>
      <c r="C46" s="98" t="s">
        <v>44</v>
      </c>
      <c r="D46" s="221" t="s">
        <v>130</v>
      </c>
      <c r="E46" s="217">
        <v>16075325</v>
      </c>
      <c r="F46" s="99" t="s">
        <v>51</v>
      </c>
      <c r="G46" s="96" t="s">
        <v>83</v>
      </c>
      <c r="H46" s="142" t="s">
        <v>129</v>
      </c>
      <c r="I46" s="176"/>
      <c r="AK46" s="389" t="s">
        <v>339</v>
      </c>
      <c r="AL46" s="389"/>
      <c r="AM46" s="389"/>
    </row>
    <row r="47" spans="1:39" s="82" customFormat="1" x14ac:dyDescent="0.25">
      <c r="A47" s="98" t="s">
        <v>122</v>
      </c>
      <c r="B47" s="154" t="s">
        <v>61</v>
      </c>
      <c r="C47" s="98" t="s">
        <v>47</v>
      </c>
      <c r="D47" s="273" t="s">
        <v>131</v>
      </c>
      <c r="E47" s="274">
        <v>165000</v>
      </c>
      <c r="F47" s="99" t="s">
        <v>52</v>
      </c>
      <c r="G47" s="96" t="s">
        <v>83</v>
      </c>
      <c r="H47" s="142" t="s">
        <v>66</v>
      </c>
      <c r="I47" s="176"/>
      <c r="AK47" s="389" t="s">
        <v>339</v>
      </c>
      <c r="AL47" s="389"/>
      <c r="AM47" s="389"/>
    </row>
    <row r="48" spans="1:39" s="82" customFormat="1" x14ac:dyDescent="0.25">
      <c r="A48" s="98" t="s">
        <v>122</v>
      </c>
      <c r="B48" s="154" t="s">
        <v>61</v>
      </c>
      <c r="C48" s="98" t="s">
        <v>47</v>
      </c>
      <c r="D48" s="279" t="s">
        <v>132</v>
      </c>
      <c r="E48" s="280">
        <v>219000</v>
      </c>
      <c r="F48" s="99" t="s">
        <v>52</v>
      </c>
      <c r="G48" s="96" t="s">
        <v>54</v>
      </c>
      <c r="H48" s="142" t="s">
        <v>66</v>
      </c>
      <c r="I48" s="176"/>
      <c r="AK48" s="389" t="s">
        <v>339</v>
      </c>
      <c r="AL48" s="389"/>
      <c r="AM48" s="389"/>
    </row>
    <row r="49" spans="1:39" s="82" customFormat="1" x14ac:dyDescent="0.25">
      <c r="A49" s="98" t="s">
        <v>122</v>
      </c>
      <c r="B49" s="154" t="s">
        <v>61</v>
      </c>
      <c r="C49" s="98" t="s">
        <v>47</v>
      </c>
      <c r="D49" s="284" t="s">
        <v>133</v>
      </c>
      <c r="E49" s="285">
        <v>186000</v>
      </c>
      <c r="F49" s="99" t="s">
        <v>52</v>
      </c>
      <c r="G49" s="96" t="s">
        <v>86</v>
      </c>
      <c r="H49" s="142" t="s">
        <v>66</v>
      </c>
      <c r="I49" s="176"/>
      <c r="AK49" s="389" t="s">
        <v>339</v>
      </c>
      <c r="AL49" s="389"/>
      <c r="AM49" s="389"/>
    </row>
    <row r="50" spans="1:39" s="82" customFormat="1" x14ac:dyDescent="0.25">
      <c r="A50" s="98" t="s">
        <v>122</v>
      </c>
      <c r="B50" s="154" t="s">
        <v>61</v>
      </c>
      <c r="C50" s="98" t="s">
        <v>45</v>
      </c>
      <c r="D50" s="279" t="s">
        <v>134</v>
      </c>
      <c r="E50" s="280">
        <v>8778000</v>
      </c>
      <c r="F50" s="97" t="s">
        <v>53</v>
      </c>
      <c r="G50" s="96" t="s">
        <v>54</v>
      </c>
      <c r="H50" s="142" t="s">
        <v>66</v>
      </c>
      <c r="I50" s="176"/>
      <c r="AK50" s="389" t="s">
        <v>339</v>
      </c>
      <c r="AL50" s="389"/>
      <c r="AM50" s="389"/>
    </row>
    <row r="51" spans="1:39" s="82" customFormat="1" x14ac:dyDescent="0.25">
      <c r="A51" s="98" t="s">
        <v>122</v>
      </c>
      <c r="B51" s="154" t="s">
        <v>61</v>
      </c>
      <c r="C51" s="98" t="s">
        <v>37</v>
      </c>
      <c r="D51" s="100" t="s">
        <v>135</v>
      </c>
      <c r="E51" s="83">
        <v>6406400</v>
      </c>
      <c r="F51" s="97" t="s">
        <v>53</v>
      </c>
      <c r="G51" s="96"/>
      <c r="H51" s="142" t="s">
        <v>139</v>
      </c>
      <c r="I51" s="176"/>
      <c r="AK51" s="389" t="s">
        <v>339</v>
      </c>
      <c r="AL51" s="389"/>
      <c r="AM51" s="389"/>
    </row>
    <row r="52" spans="1:39" s="82" customFormat="1" x14ac:dyDescent="0.25">
      <c r="A52" s="98" t="s">
        <v>142</v>
      </c>
      <c r="B52" s="98" t="s">
        <v>61</v>
      </c>
      <c r="C52" s="98" t="s">
        <v>47</v>
      </c>
      <c r="D52" s="224" t="s">
        <v>143</v>
      </c>
      <c r="E52" s="225">
        <v>2500000</v>
      </c>
      <c r="F52" s="97" t="s">
        <v>52</v>
      </c>
      <c r="G52" s="96" t="s">
        <v>144</v>
      </c>
      <c r="H52" s="146" t="s">
        <v>145</v>
      </c>
      <c r="I52" s="176"/>
      <c r="AK52" s="389" t="s">
        <v>339</v>
      </c>
      <c r="AL52" s="389"/>
      <c r="AM52" s="389"/>
    </row>
    <row r="53" spans="1:39" s="82" customFormat="1" x14ac:dyDescent="0.25">
      <c r="A53" s="98" t="s">
        <v>142</v>
      </c>
      <c r="B53" s="98" t="s">
        <v>61</v>
      </c>
      <c r="C53" s="98" t="s">
        <v>44</v>
      </c>
      <c r="D53" s="221" t="s">
        <v>146</v>
      </c>
      <c r="E53" s="217">
        <v>600000</v>
      </c>
      <c r="F53" s="99" t="s">
        <v>51</v>
      </c>
      <c r="G53" s="96" t="s">
        <v>127</v>
      </c>
      <c r="H53" s="146" t="s">
        <v>147</v>
      </c>
      <c r="I53" s="176"/>
      <c r="AK53" s="389" t="s">
        <v>339</v>
      </c>
      <c r="AL53" s="389"/>
      <c r="AM53" s="389"/>
    </row>
    <row r="54" spans="1:39" s="82" customFormat="1" x14ac:dyDescent="0.25">
      <c r="A54" s="98" t="s">
        <v>142</v>
      </c>
      <c r="B54" s="98" t="s">
        <v>61</v>
      </c>
      <c r="C54" s="98" t="s">
        <v>44</v>
      </c>
      <c r="D54" s="221" t="s">
        <v>148</v>
      </c>
      <c r="E54" s="217">
        <v>3743000</v>
      </c>
      <c r="F54" s="99" t="s">
        <v>51</v>
      </c>
      <c r="G54" s="96" t="s">
        <v>59</v>
      </c>
      <c r="H54" s="142" t="s">
        <v>149</v>
      </c>
      <c r="I54" s="176"/>
      <c r="AK54" s="389" t="s">
        <v>339</v>
      </c>
      <c r="AL54" s="389"/>
      <c r="AM54" s="389"/>
    </row>
    <row r="55" spans="1:39" s="82" customFormat="1" x14ac:dyDescent="0.25">
      <c r="A55" s="98" t="s">
        <v>142</v>
      </c>
      <c r="B55" s="98" t="s">
        <v>61</v>
      </c>
      <c r="C55" s="98" t="s">
        <v>44</v>
      </c>
      <c r="D55" s="221" t="s">
        <v>148</v>
      </c>
      <c r="E55" s="217">
        <v>1077000</v>
      </c>
      <c r="F55" s="99" t="s">
        <v>51</v>
      </c>
      <c r="G55" s="96" t="s">
        <v>59</v>
      </c>
      <c r="H55" s="159" t="s">
        <v>58</v>
      </c>
      <c r="I55" s="176"/>
      <c r="AK55" s="389" t="s">
        <v>339</v>
      </c>
      <c r="AL55" s="389"/>
      <c r="AM55" s="389"/>
    </row>
    <row r="56" spans="1:39" s="82" customFormat="1" x14ac:dyDescent="0.25">
      <c r="A56" s="98" t="s">
        <v>142</v>
      </c>
      <c r="B56" s="98" t="s">
        <v>61</v>
      </c>
      <c r="C56" s="98" t="s">
        <v>45</v>
      </c>
      <c r="D56" s="221" t="s">
        <v>150</v>
      </c>
      <c r="E56" s="217">
        <v>200000000</v>
      </c>
      <c r="F56" s="97" t="s">
        <v>53</v>
      </c>
      <c r="G56" s="96" t="s">
        <v>59</v>
      </c>
      <c r="H56" s="146" t="s">
        <v>123</v>
      </c>
      <c r="I56" s="176"/>
      <c r="AK56" s="389" t="s">
        <v>339</v>
      </c>
      <c r="AL56" s="389"/>
      <c r="AM56" s="389"/>
    </row>
    <row r="57" spans="1:39" s="82" customFormat="1" ht="30" x14ac:dyDescent="0.25">
      <c r="A57" s="98" t="s">
        <v>142</v>
      </c>
      <c r="B57" s="98" t="s">
        <v>61</v>
      </c>
      <c r="C57" s="98" t="s">
        <v>45</v>
      </c>
      <c r="D57" s="221" t="s">
        <v>151</v>
      </c>
      <c r="E57" s="217">
        <v>57965600</v>
      </c>
      <c r="F57" s="97" t="s">
        <v>53</v>
      </c>
      <c r="G57" s="96" t="s">
        <v>83</v>
      </c>
      <c r="H57" s="146" t="s">
        <v>58</v>
      </c>
      <c r="I57" s="176"/>
      <c r="AK57" s="389" t="s">
        <v>339</v>
      </c>
      <c r="AL57" s="389"/>
      <c r="AM57" s="389"/>
    </row>
    <row r="58" spans="1:39" s="160" customFormat="1" x14ac:dyDescent="0.25">
      <c r="A58" s="154" t="s">
        <v>152</v>
      </c>
      <c r="B58" s="154" t="s">
        <v>61</v>
      </c>
      <c r="C58" s="98" t="s">
        <v>45</v>
      </c>
      <c r="D58" s="226" t="s">
        <v>153</v>
      </c>
      <c r="E58" s="227">
        <f>33632500+24750000+28379670+36229600+17098400+31755970+27500000+40040000+25099800+43976295+39831000+9900000+25500000+28519040+22278080+16500000+21340000</f>
        <v>472330355</v>
      </c>
      <c r="F58" s="97" t="s">
        <v>53</v>
      </c>
      <c r="G58" s="96"/>
      <c r="H58" s="142" t="s">
        <v>66</v>
      </c>
      <c r="I58" s="177"/>
      <c r="AK58" s="389" t="s">
        <v>339</v>
      </c>
      <c r="AL58" s="390"/>
      <c r="AM58" s="390"/>
    </row>
    <row r="59" spans="1:39" s="82" customFormat="1" ht="30" x14ac:dyDescent="0.25">
      <c r="A59" s="154" t="s">
        <v>152</v>
      </c>
      <c r="B59" s="154" t="s">
        <v>61</v>
      </c>
      <c r="C59" s="98" t="s">
        <v>45</v>
      </c>
      <c r="D59" s="221" t="s">
        <v>154</v>
      </c>
      <c r="E59" s="217">
        <v>113479983</v>
      </c>
      <c r="F59" s="97" t="s">
        <v>53</v>
      </c>
      <c r="G59" s="96" t="s">
        <v>127</v>
      </c>
      <c r="H59" s="146" t="s">
        <v>123</v>
      </c>
      <c r="I59" s="176"/>
      <c r="AK59" s="389" t="s">
        <v>339</v>
      </c>
      <c r="AL59" s="389"/>
      <c r="AM59" s="389"/>
    </row>
    <row r="60" spans="1:39" s="82" customFormat="1" x14ac:dyDescent="0.25">
      <c r="A60" s="154" t="s">
        <v>152</v>
      </c>
      <c r="B60" s="154" t="s">
        <v>61</v>
      </c>
      <c r="C60" s="98" t="s">
        <v>45</v>
      </c>
      <c r="D60" s="221" t="s">
        <v>155</v>
      </c>
      <c r="E60" s="217">
        <v>2864400</v>
      </c>
      <c r="F60" s="97" t="s">
        <v>53</v>
      </c>
      <c r="G60" s="96" t="s">
        <v>59</v>
      </c>
      <c r="H60" s="146" t="s">
        <v>140</v>
      </c>
      <c r="I60" s="176"/>
      <c r="AK60" s="389" t="s">
        <v>339</v>
      </c>
      <c r="AL60" s="389"/>
      <c r="AM60" s="389"/>
    </row>
    <row r="61" spans="1:39" s="82" customFormat="1" x14ac:dyDescent="0.25">
      <c r="A61" s="154" t="s">
        <v>152</v>
      </c>
      <c r="B61" s="154" t="s">
        <v>61</v>
      </c>
      <c r="C61" s="98" t="s">
        <v>45</v>
      </c>
      <c r="D61" s="221" t="s">
        <v>156</v>
      </c>
      <c r="E61" s="217">
        <v>46600000</v>
      </c>
      <c r="F61" s="97" t="s">
        <v>53</v>
      </c>
      <c r="G61" s="96" t="s">
        <v>59</v>
      </c>
      <c r="H61" s="146" t="s">
        <v>129</v>
      </c>
      <c r="I61" s="176"/>
      <c r="AK61" s="389" t="s">
        <v>339</v>
      </c>
      <c r="AL61" s="389"/>
      <c r="AM61" s="389"/>
    </row>
    <row r="62" spans="1:39" s="82" customFormat="1" x14ac:dyDescent="0.25">
      <c r="A62" s="154" t="s">
        <v>152</v>
      </c>
      <c r="B62" s="154" t="s">
        <v>61</v>
      </c>
      <c r="C62" s="98" t="s">
        <v>45</v>
      </c>
      <c r="D62" s="221" t="s">
        <v>157</v>
      </c>
      <c r="E62" s="217">
        <v>166799600</v>
      </c>
      <c r="F62" s="97" t="s">
        <v>53</v>
      </c>
      <c r="G62" s="96" t="s">
        <v>59</v>
      </c>
      <c r="H62" s="146" t="s">
        <v>129</v>
      </c>
      <c r="I62" s="176"/>
      <c r="AK62" s="389" t="s">
        <v>339</v>
      </c>
      <c r="AL62" s="389"/>
      <c r="AM62" s="389"/>
    </row>
    <row r="63" spans="1:39" s="82" customFormat="1" x14ac:dyDescent="0.25">
      <c r="A63" s="154" t="s">
        <v>152</v>
      </c>
      <c r="B63" s="154" t="s">
        <v>61</v>
      </c>
      <c r="C63" s="98" t="s">
        <v>37</v>
      </c>
      <c r="D63" s="100" t="s">
        <v>172</v>
      </c>
      <c r="E63" s="83">
        <v>333557653</v>
      </c>
      <c r="F63" s="97" t="s">
        <v>53</v>
      </c>
      <c r="G63" s="96"/>
      <c r="H63" s="146" t="s">
        <v>107</v>
      </c>
      <c r="I63" s="176"/>
      <c r="AK63" s="389" t="s">
        <v>339</v>
      </c>
      <c r="AL63" s="389"/>
      <c r="AM63" s="389"/>
    </row>
    <row r="64" spans="1:39" s="82" customFormat="1" x14ac:dyDescent="0.25">
      <c r="A64" s="154" t="s">
        <v>152</v>
      </c>
      <c r="B64" s="154" t="s">
        <v>61</v>
      </c>
      <c r="C64" s="98" t="s">
        <v>36</v>
      </c>
      <c r="D64" s="100" t="s">
        <v>173</v>
      </c>
      <c r="E64" s="83">
        <v>472330000</v>
      </c>
      <c r="F64" s="97" t="s">
        <v>51</v>
      </c>
      <c r="G64" s="96"/>
      <c r="H64" s="146" t="s">
        <v>66</v>
      </c>
      <c r="I64" s="176"/>
      <c r="AK64" s="389" t="s">
        <v>339</v>
      </c>
      <c r="AL64" s="389"/>
      <c r="AM64" s="389"/>
    </row>
    <row r="65" spans="1:39" s="82" customFormat="1" x14ac:dyDescent="0.25">
      <c r="A65" s="154" t="s">
        <v>152</v>
      </c>
      <c r="B65" s="154" t="s">
        <v>61</v>
      </c>
      <c r="C65" s="98" t="s">
        <v>36</v>
      </c>
      <c r="D65" s="100" t="s">
        <v>69</v>
      </c>
      <c r="E65" s="83">
        <v>100000</v>
      </c>
      <c r="F65" s="97" t="s">
        <v>51</v>
      </c>
      <c r="G65" s="96"/>
      <c r="H65" s="146" t="s">
        <v>66</v>
      </c>
      <c r="I65" s="176"/>
      <c r="AK65" s="389" t="s">
        <v>339</v>
      </c>
      <c r="AL65" s="389"/>
      <c r="AM65" s="389"/>
    </row>
    <row r="66" spans="1:39" s="82" customFormat="1" x14ac:dyDescent="0.25">
      <c r="A66" s="154" t="s">
        <v>152</v>
      </c>
      <c r="B66" s="154" t="s">
        <v>61</v>
      </c>
      <c r="C66" s="98" t="s">
        <v>44</v>
      </c>
      <c r="D66" s="221" t="s">
        <v>158</v>
      </c>
      <c r="E66" s="217">
        <v>41112000</v>
      </c>
      <c r="F66" s="97" t="s">
        <v>51</v>
      </c>
      <c r="G66" s="96" t="s">
        <v>59</v>
      </c>
      <c r="H66" s="146" t="s">
        <v>140</v>
      </c>
      <c r="I66" s="176"/>
      <c r="AK66" s="389" t="s">
        <v>339</v>
      </c>
      <c r="AL66" s="389"/>
      <c r="AM66" s="389"/>
    </row>
    <row r="67" spans="1:39" s="82" customFormat="1" x14ac:dyDescent="0.25">
      <c r="A67" s="154" t="s">
        <v>152</v>
      </c>
      <c r="B67" s="154" t="s">
        <v>61</v>
      </c>
      <c r="C67" s="98" t="s">
        <v>44</v>
      </c>
      <c r="D67" s="221" t="s">
        <v>159</v>
      </c>
      <c r="E67" s="217">
        <v>5000000</v>
      </c>
      <c r="F67" s="97" t="s">
        <v>51</v>
      </c>
      <c r="G67" s="96" t="s">
        <v>160</v>
      </c>
      <c r="H67" s="146" t="s">
        <v>129</v>
      </c>
      <c r="I67" s="176"/>
      <c r="AK67" s="389" t="s">
        <v>339</v>
      </c>
      <c r="AL67" s="389"/>
      <c r="AM67" s="389"/>
    </row>
    <row r="68" spans="1:39" s="82" customFormat="1" x14ac:dyDescent="0.25">
      <c r="A68" s="154" t="s">
        <v>152</v>
      </c>
      <c r="B68" s="154" t="s">
        <v>61</v>
      </c>
      <c r="C68" s="98" t="s">
        <v>44</v>
      </c>
      <c r="D68" s="263" t="s">
        <v>161</v>
      </c>
      <c r="E68" s="262">
        <v>4514000</v>
      </c>
      <c r="F68" s="97" t="s">
        <v>51</v>
      </c>
      <c r="G68" s="96"/>
      <c r="H68" s="146" t="s">
        <v>66</v>
      </c>
      <c r="I68" s="176"/>
      <c r="AK68" s="389" t="s">
        <v>339</v>
      </c>
      <c r="AL68" s="389"/>
      <c r="AM68" s="389"/>
    </row>
    <row r="69" spans="1:39" s="82" customFormat="1" x14ac:dyDescent="0.25">
      <c r="A69" s="154" t="s">
        <v>152</v>
      </c>
      <c r="B69" s="154" t="s">
        <v>61</v>
      </c>
      <c r="C69" s="98" t="s">
        <v>44</v>
      </c>
      <c r="D69" s="245" t="s">
        <v>162</v>
      </c>
      <c r="E69" s="234">
        <v>157000</v>
      </c>
      <c r="F69" s="97" t="s">
        <v>51</v>
      </c>
      <c r="G69" s="96" t="s">
        <v>214</v>
      </c>
      <c r="H69" s="146" t="s">
        <v>66</v>
      </c>
      <c r="I69" s="176"/>
      <c r="AK69" s="389" t="s">
        <v>339</v>
      </c>
      <c r="AL69" s="389"/>
      <c r="AM69" s="389"/>
    </row>
    <row r="70" spans="1:39" s="82" customFormat="1" x14ac:dyDescent="0.25">
      <c r="A70" s="154" t="s">
        <v>152</v>
      </c>
      <c r="B70" s="154" t="s">
        <v>61</v>
      </c>
      <c r="C70" s="98" t="s">
        <v>44</v>
      </c>
      <c r="D70" s="235" t="s">
        <v>163</v>
      </c>
      <c r="E70" s="234">
        <v>942000</v>
      </c>
      <c r="F70" s="97" t="s">
        <v>51</v>
      </c>
      <c r="G70" s="96" t="s">
        <v>164</v>
      </c>
      <c r="H70" s="146" t="s">
        <v>66</v>
      </c>
      <c r="I70" s="176"/>
      <c r="AK70" s="389" t="s">
        <v>339</v>
      </c>
      <c r="AL70" s="389"/>
      <c r="AM70" s="389"/>
    </row>
    <row r="71" spans="1:39" s="82" customFormat="1" x14ac:dyDescent="0.25">
      <c r="A71" s="154" t="s">
        <v>152</v>
      </c>
      <c r="B71" s="154" t="s">
        <v>61</v>
      </c>
      <c r="C71" s="98" t="s">
        <v>44</v>
      </c>
      <c r="D71" s="221" t="s">
        <v>165</v>
      </c>
      <c r="E71" s="217">
        <v>39925000</v>
      </c>
      <c r="F71" s="97" t="s">
        <v>51</v>
      </c>
      <c r="G71" s="96" t="s">
        <v>127</v>
      </c>
      <c r="H71" s="146" t="s">
        <v>139</v>
      </c>
      <c r="I71" s="176"/>
      <c r="AK71" s="389" t="s">
        <v>339</v>
      </c>
      <c r="AL71" s="389"/>
      <c r="AM71" s="389"/>
    </row>
    <row r="72" spans="1:39" s="82" customFormat="1" x14ac:dyDescent="0.25">
      <c r="A72" s="154" t="s">
        <v>152</v>
      </c>
      <c r="B72" s="154" t="s">
        <v>61</v>
      </c>
      <c r="C72" s="98" t="s">
        <v>44</v>
      </c>
      <c r="D72" s="284" t="s">
        <v>166</v>
      </c>
      <c r="E72" s="285">
        <v>1960000</v>
      </c>
      <c r="F72" s="97" t="s">
        <v>51</v>
      </c>
      <c r="G72" s="96" t="s">
        <v>167</v>
      </c>
      <c r="H72" s="146" t="s">
        <v>66</v>
      </c>
      <c r="I72" s="176"/>
      <c r="AK72" s="389" t="s">
        <v>339</v>
      </c>
      <c r="AL72" s="389"/>
      <c r="AM72" s="389"/>
    </row>
    <row r="73" spans="1:39" s="82" customFormat="1" ht="30" x14ac:dyDescent="0.25">
      <c r="A73" s="154" t="s">
        <v>152</v>
      </c>
      <c r="B73" s="154" t="s">
        <v>61</v>
      </c>
      <c r="C73" s="154" t="s">
        <v>44</v>
      </c>
      <c r="D73" s="221" t="s">
        <v>168</v>
      </c>
      <c r="E73" s="223">
        <v>290658776</v>
      </c>
      <c r="F73" s="157" t="s">
        <v>51</v>
      </c>
      <c r="G73" s="158" t="s">
        <v>83</v>
      </c>
      <c r="H73" s="159" t="s">
        <v>58</v>
      </c>
      <c r="I73" s="177"/>
      <c r="AK73" s="389" t="s">
        <v>339</v>
      </c>
      <c r="AL73" s="389"/>
      <c r="AM73" s="389"/>
    </row>
    <row r="74" spans="1:39" s="82" customFormat="1" x14ac:dyDescent="0.25">
      <c r="A74" s="154" t="s">
        <v>152</v>
      </c>
      <c r="B74" s="154" t="s">
        <v>61</v>
      </c>
      <c r="C74" s="154" t="s">
        <v>44</v>
      </c>
      <c r="D74" s="221" t="s">
        <v>170</v>
      </c>
      <c r="E74" s="217">
        <v>1980000</v>
      </c>
      <c r="F74" s="157" t="s">
        <v>51</v>
      </c>
      <c r="G74" s="158" t="s">
        <v>83</v>
      </c>
      <c r="H74" s="146" t="s">
        <v>169</v>
      </c>
      <c r="I74" s="176"/>
      <c r="AK74" s="389" t="s">
        <v>325</v>
      </c>
      <c r="AL74" s="389"/>
      <c r="AM74" s="389"/>
    </row>
    <row r="75" spans="1:39" s="82" customFormat="1" x14ac:dyDescent="0.25">
      <c r="A75" s="154" t="s">
        <v>152</v>
      </c>
      <c r="B75" s="154" t="s">
        <v>61</v>
      </c>
      <c r="C75" s="154" t="s">
        <v>44</v>
      </c>
      <c r="D75" s="221" t="s">
        <v>171</v>
      </c>
      <c r="E75" s="217">
        <v>3704000</v>
      </c>
      <c r="F75" s="157" t="s">
        <v>51</v>
      </c>
      <c r="G75" s="158" t="s">
        <v>83</v>
      </c>
      <c r="H75" s="146" t="s">
        <v>169</v>
      </c>
      <c r="I75" s="176"/>
      <c r="AK75" s="389" t="s">
        <v>339</v>
      </c>
      <c r="AL75" s="389"/>
      <c r="AM75" s="389"/>
    </row>
    <row r="76" spans="1:39" s="160" customFormat="1" x14ac:dyDescent="0.25">
      <c r="A76" s="98" t="s">
        <v>174</v>
      </c>
      <c r="B76" s="98" t="s">
        <v>61</v>
      </c>
      <c r="C76" s="98" t="s">
        <v>45</v>
      </c>
      <c r="D76" s="289" t="s">
        <v>175</v>
      </c>
      <c r="E76" s="290">
        <v>1500000</v>
      </c>
      <c r="F76" s="97" t="s">
        <v>53</v>
      </c>
      <c r="G76" s="96" t="s">
        <v>54</v>
      </c>
      <c r="H76" s="146" t="s">
        <v>66</v>
      </c>
      <c r="I76" s="177"/>
      <c r="AK76" s="389" t="s">
        <v>339</v>
      </c>
      <c r="AL76" s="390"/>
      <c r="AM76" s="390"/>
    </row>
    <row r="77" spans="1:39" s="160" customFormat="1" x14ac:dyDescent="0.25">
      <c r="A77" s="98" t="s">
        <v>174</v>
      </c>
      <c r="B77" s="98" t="s">
        <v>61</v>
      </c>
      <c r="C77" s="98" t="s">
        <v>45</v>
      </c>
      <c r="D77" s="222" t="s">
        <v>176</v>
      </c>
      <c r="E77" s="223">
        <v>6270000</v>
      </c>
      <c r="F77" s="97" t="s">
        <v>53</v>
      </c>
      <c r="G77" s="96" t="s">
        <v>83</v>
      </c>
      <c r="H77" s="146" t="s">
        <v>129</v>
      </c>
      <c r="I77" s="177"/>
      <c r="AK77" s="389" t="s">
        <v>339</v>
      </c>
      <c r="AL77" s="390"/>
      <c r="AM77" s="390"/>
    </row>
    <row r="78" spans="1:39" s="82" customFormat="1" x14ac:dyDescent="0.25">
      <c r="A78" s="98" t="s">
        <v>174</v>
      </c>
      <c r="B78" s="98" t="s">
        <v>61</v>
      </c>
      <c r="C78" s="98" t="s">
        <v>45</v>
      </c>
      <c r="D78" s="221" t="s">
        <v>177</v>
      </c>
      <c r="E78" s="217">
        <v>6930000</v>
      </c>
      <c r="F78" s="97" t="s">
        <v>53</v>
      </c>
      <c r="G78" s="96" t="s">
        <v>83</v>
      </c>
      <c r="H78" s="146" t="s">
        <v>129</v>
      </c>
      <c r="I78" s="176"/>
      <c r="AK78" s="389" t="s">
        <v>339</v>
      </c>
      <c r="AL78" s="389"/>
      <c r="AM78" s="389"/>
    </row>
    <row r="79" spans="1:39" s="82" customFormat="1" x14ac:dyDescent="0.25">
      <c r="A79" s="98" t="s">
        <v>174</v>
      </c>
      <c r="B79" s="98" t="s">
        <v>61</v>
      </c>
      <c r="C79" s="98" t="s">
        <v>37</v>
      </c>
      <c r="D79" s="100" t="s">
        <v>183</v>
      </c>
      <c r="E79" s="83">
        <v>172029000</v>
      </c>
      <c r="F79" s="97" t="s">
        <v>53</v>
      </c>
      <c r="G79" s="96"/>
      <c r="H79" s="146" t="s">
        <v>182</v>
      </c>
      <c r="I79" s="176"/>
      <c r="AK79" s="389" t="s">
        <v>339</v>
      </c>
      <c r="AL79" s="389"/>
      <c r="AM79" s="389"/>
    </row>
    <row r="80" spans="1:39" s="82" customFormat="1" x14ac:dyDescent="0.25">
      <c r="A80" s="98" t="s">
        <v>174</v>
      </c>
      <c r="B80" s="98" t="s">
        <v>61</v>
      </c>
      <c r="C80" s="154" t="s">
        <v>44</v>
      </c>
      <c r="D80" s="308" t="s">
        <v>178</v>
      </c>
      <c r="E80" s="309">
        <v>500000</v>
      </c>
      <c r="F80" s="157" t="s">
        <v>51</v>
      </c>
      <c r="G80" s="158" t="s">
        <v>167</v>
      </c>
      <c r="H80" s="146" t="s">
        <v>66</v>
      </c>
      <c r="I80" s="176"/>
      <c r="K80" s="95"/>
      <c r="AK80" s="389" t="s">
        <v>339</v>
      </c>
      <c r="AL80" s="389"/>
      <c r="AM80" s="389"/>
    </row>
    <row r="81" spans="1:39" s="82" customFormat="1" x14ac:dyDescent="0.25">
      <c r="A81" s="98" t="s">
        <v>174</v>
      </c>
      <c r="B81" s="98" t="s">
        <v>61</v>
      </c>
      <c r="C81" s="98" t="s">
        <v>47</v>
      </c>
      <c r="D81" s="257" t="s">
        <v>179</v>
      </c>
      <c r="E81" s="256">
        <v>250000</v>
      </c>
      <c r="F81" s="157" t="s">
        <v>52</v>
      </c>
      <c r="G81" s="96" t="s">
        <v>98</v>
      </c>
      <c r="H81" s="146" t="s">
        <v>66</v>
      </c>
      <c r="I81" s="176"/>
      <c r="AK81" s="389" t="s">
        <v>339</v>
      </c>
      <c r="AL81" s="389"/>
      <c r="AM81" s="389"/>
    </row>
    <row r="82" spans="1:39" s="82" customFormat="1" x14ac:dyDescent="0.25">
      <c r="A82" s="98" t="s">
        <v>174</v>
      </c>
      <c r="B82" s="98" t="s">
        <v>61</v>
      </c>
      <c r="C82" s="98" t="s">
        <v>47</v>
      </c>
      <c r="D82" s="294" t="s">
        <v>180</v>
      </c>
      <c r="E82" s="295">
        <v>1003000</v>
      </c>
      <c r="F82" s="157" t="s">
        <v>52</v>
      </c>
      <c r="G82" s="96" t="s">
        <v>127</v>
      </c>
      <c r="H82" s="146" t="s">
        <v>66</v>
      </c>
      <c r="I82" s="176"/>
      <c r="AK82" s="389" t="s">
        <v>339</v>
      </c>
      <c r="AL82" s="389"/>
      <c r="AM82" s="389"/>
    </row>
    <row r="83" spans="1:39" s="160" customFormat="1" x14ac:dyDescent="0.25">
      <c r="A83" s="154" t="s">
        <v>184</v>
      </c>
      <c r="B83" s="154" t="s">
        <v>61</v>
      </c>
      <c r="C83" s="98" t="s">
        <v>45</v>
      </c>
      <c r="D83" s="115" t="s">
        <v>185</v>
      </c>
      <c r="E83" s="297">
        <v>20328864</v>
      </c>
      <c r="F83" s="157" t="s">
        <v>53</v>
      </c>
      <c r="G83" s="96"/>
      <c r="H83" s="146" t="s">
        <v>66</v>
      </c>
      <c r="I83" s="177"/>
      <c r="AK83" s="389" t="s">
        <v>339</v>
      </c>
      <c r="AL83" s="390"/>
      <c r="AM83" s="390"/>
    </row>
    <row r="84" spans="1:39" s="82" customFormat="1" x14ac:dyDescent="0.25">
      <c r="A84" s="154" t="s">
        <v>184</v>
      </c>
      <c r="B84" s="154" t="s">
        <v>61</v>
      </c>
      <c r="C84" s="98" t="s">
        <v>45</v>
      </c>
      <c r="D84" s="221" t="s">
        <v>186</v>
      </c>
      <c r="E84" s="217">
        <v>6683600</v>
      </c>
      <c r="F84" s="157" t="s">
        <v>53</v>
      </c>
      <c r="G84" s="96" t="s">
        <v>59</v>
      </c>
      <c r="H84" s="146" t="s">
        <v>140</v>
      </c>
      <c r="I84" s="176"/>
      <c r="AK84" s="389" t="s">
        <v>339</v>
      </c>
      <c r="AL84" s="389"/>
      <c r="AM84" s="389"/>
    </row>
    <row r="85" spans="1:39" s="82" customFormat="1" x14ac:dyDescent="0.25">
      <c r="A85" s="154" t="s">
        <v>184</v>
      </c>
      <c r="B85" s="154" t="s">
        <v>61</v>
      </c>
      <c r="C85" s="98" t="s">
        <v>45</v>
      </c>
      <c r="D85" s="221" t="s">
        <v>187</v>
      </c>
      <c r="E85" s="217">
        <v>30000000</v>
      </c>
      <c r="F85" s="157" t="s">
        <v>53</v>
      </c>
      <c r="G85" s="96" t="s">
        <v>144</v>
      </c>
      <c r="H85" s="146" t="s">
        <v>188</v>
      </c>
      <c r="I85" s="176"/>
      <c r="AK85" s="389" t="s">
        <v>339</v>
      </c>
      <c r="AL85" s="389"/>
      <c r="AM85" s="389"/>
    </row>
    <row r="86" spans="1:39" s="160" customFormat="1" x14ac:dyDescent="0.2">
      <c r="A86" s="154" t="s">
        <v>184</v>
      </c>
      <c r="B86" s="154" t="s">
        <v>61</v>
      </c>
      <c r="C86" s="154" t="s">
        <v>44</v>
      </c>
      <c r="D86" s="222" t="s">
        <v>189</v>
      </c>
      <c r="E86" s="223">
        <v>1047000</v>
      </c>
      <c r="F86" s="157" t="s">
        <v>51</v>
      </c>
      <c r="G86" s="158" t="s">
        <v>59</v>
      </c>
      <c r="H86" s="159"/>
      <c r="I86" s="177"/>
      <c r="AK86" s="389" t="s">
        <v>339</v>
      </c>
      <c r="AL86" s="390"/>
      <c r="AM86" s="390"/>
    </row>
    <row r="87" spans="1:39" s="82" customFormat="1" x14ac:dyDescent="0.25">
      <c r="A87" s="154" t="s">
        <v>184</v>
      </c>
      <c r="B87" s="154" t="s">
        <v>61</v>
      </c>
      <c r="C87" s="154" t="s">
        <v>44</v>
      </c>
      <c r="D87" s="221" t="s">
        <v>190</v>
      </c>
      <c r="E87" s="217">
        <v>2513000</v>
      </c>
      <c r="F87" s="157" t="s">
        <v>51</v>
      </c>
      <c r="G87" s="158" t="s">
        <v>59</v>
      </c>
      <c r="H87" s="146" t="s">
        <v>58</v>
      </c>
      <c r="I87" s="176"/>
      <c r="AK87" s="389" t="s">
        <v>339</v>
      </c>
      <c r="AL87" s="389"/>
      <c r="AM87" s="389"/>
    </row>
    <row r="88" spans="1:39" s="82" customFormat="1" x14ac:dyDescent="0.25">
      <c r="A88" s="154" t="s">
        <v>184</v>
      </c>
      <c r="B88" s="154" t="s">
        <v>61</v>
      </c>
      <c r="C88" s="154" t="s">
        <v>44</v>
      </c>
      <c r="D88" s="221" t="s">
        <v>191</v>
      </c>
      <c r="E88" s="217">
        <v>58000000</v>
      </c>
      <c r="F88" s="157" t="s">
        <v>51</v>
      </c>
      <c r="G88" s="158" t="s">
        <v>59</v>
      </c>
      <c r="H88" s="146" t="s">
        <v>58</v>
      </c>
      <c r="I88" s="176"/>
      <c r="AK88" s="389" t="s">
        <v>339</v>
      </c>
      <c r="AL88" s="389"/>
      <c r="AM88" s="389"/>
    </row>
    <row r="89" spans="1:39" s="82" customFormat="1" x14ac:dyDescent="0.25">
      <c r="A89" s="154" t="s">
        <v>184</v>
      </c>
      <c r="B89" s="154" t="s">
        <v>61</v>
      </c>
      <c r="C89" s="154" t="s">
        <v>44</v>
      </c>
      <c r="D89" s="221" t="s">
        <v>192</v>
      </c>
      <c r="E89" s="217">
        <v>13450000</v>
      </c>
      <c r="F89" s="157" t="s">
        <v>51</v>
      </c>
      <c r="G89" s="158" t="s">
        <v>59</v>
      </c>
      <c r="H89" s="146" t="s">
        <v>58</v>
      </c>
      <c r="I89" s="176"/>
      <c r="AK89" s="389" t="s">
        <v>339</v>
      </c>
      <c r="AL89" s="389"/>
      <c r="AM89" s="389"/>
    </row>
    <row r="90" spans="1:39" s="82" customFormat="1" x14ac:dyDescent="0.25">
      <c r="A90" s="154" t="s">
        <v>184</v>
      </c>
      <c r="B90" s="154" t="s">
        <v>61</v>
      </c>
      <c r="C90" s="154" t="s">
        <v>44</v>
      </c>
      <c r="D90" s="255" t="s">
        <v>193</v>
      </c>
      <c r="E90" s="256">
        <v>9490000</v>
      </c>
      <c r="F90" s="157" t="s">
        <v>51</v>
      </c>
      <c r="G90" s="96" t="s">
        <v>127</v>
      </c>
      <c r="H90" s="146" t="s">
        <v>58</v>
      </c>
      <c r="I90" s="176"/>
      <c r="AK90" s="389" t="s">
        <v>339</v>
      </c>
      <c r="AL90" s="389"/>
      <c r="AM90" s="389"/>
    </row>
    <row r="91" spans="1:39" s="82" customFormat="1" x14ac:dyDescent="0.25">
      <c r="A91" s="154" t="s">
        <v>184</v>
      </c>
      <c r="B91" s="154" t="s">
        <v>61</v>
      </c>
      <c r="C91" s="154" t="s">
        <v>44</v>
      </c>
      <c r="D91" s="299" t="s">
        <v>194</v>
      </c>
      <c r="E91" s="300">
        <v>502348</v>
      </c>
      <c r="F91" s="157" t="s">
        <v>52</v>
      </c>
      <c r="G91" s="96" t="s">
        <v>54</v>
      </c>
      <c r="H91" s="146" t="s">
        <v>66</v>
      </c>
      <c r="I91" s="176"/>
      <c r="AK91" s="389" t="s">
        <v>339</v>
      </c>
      <c r="AL91" s="389"/>
      <c r="AM91" s="389"/>
    </row>
    <row r="92" spans="1:39" s="82" customFormat="1" x14ac:dyDescent="0.25">
      <c r="A92" s="154" t="s">
        <v>198</v>
      </c>
      <c r="B92" s="154" t="s">
        <v>61</v>
      </c>
      <c r="C92" s="98" t="s">
        <v>44</v>
      </c>
      <c r="D92" s="221" t="s">
        <v>196</v>
      </c>
      <c r="E92" s="217">
        <v>2000000</v>
      </c>
      <c r="F92" s="157" t="s">
        <v>51</v>
      </c>
      <c r="G92" s="96" t="s">
        <v>197</v>
      </c>
      <c r="H92" s="146" t="s">
        <v>67</v>
      </c>
      <c r="I92" s="176"/>
      <c r="AK92" s="389" t="s">
        <v>339</v>
      </c>
      <c r="AL92" s="389"/>
      <c r="AM92" s="389"/>
    </row>
    <row r="93" spans="1:39" s="82" customFormat="1" x14ac:dyDescent="0.25">
      <c r="A93" s="154" t="s">
        <v>198</v>
      </c>
      <c r="B93" s="154" t="s">
        <v>61</v>
      </c>
      <c r="C93" s="98" t="s">
        <v>44</v>
      </c>
      <c r="D93" s="221" t="s">
        <v>199</v>
      </c>
      <c r="E93" s="217">
        <v>9645195</v>
      </c>
      <c r="F93" s="157" t="s">
        <v>51</v>
      </c>
      <c r="G93" s="96" t="s">
        <v>83</v>
      </c>
      <c r="H93" s="146" t="s">
        <v>129</v>
      </c>
      <c r="I93" s="176"/>
      <c r="AK93" s="389" t="s">
        <v>339</v>
      </c>
      <c r="AL93" s="389"/>
      <c r="AM93" s="389"/>
    </row>
    <row r="94" spans="1:39" s="82" customFormat="1" x14ac:dyDescent="0.25">
      <c r="A94" s="154" t="s">
        <v>198</v>
      </c>
      <c r="B94" s="154" t="s">
        <v>61</v>
      </c>
      <c r="C94" s="98" t="s">
        <v>44</v>
      </c>
      <c r="D94" s="221" t="s">
        <v>200</v>
      </c>
      <c r="E94" s="217">
        <v>10550440</v>
      </c>
      <c r="F94" s="157" t="s">
        <v>51</v>
      </c>
      <c r="G94" s="96" t="s">
        <v>83</v>
      </c>
      <c r="H94" s="146" t="s">
        <v>129</v>
      </c>
      <c r="I94" s="176"/>
      <c r="AK94" s="389" t="s">
        <v>339</v>
      </c>
      <c r="AL94" s="389"/>
      <c r="AM94" s="389"/>
    </row>
    <row r="95" spans="1:39" s="82" customFormat="1" x14ac:dyDescent="0.25">
      <c r="A95" s="154" t="s">
        <v>198</v>
      </c>
      <c r="B95" s="154" t="s">
        <v>61</v>
      </c>
      <c r="C95" s="98" t="s">
        <v>44</v>
      </c>
      <c r="D95" s="221" t="s">
        <v>211</v>
      </c>
      <c r="E95" s="217">
        <v>5880000</v>
      </c>
      <c r="F95" s="157" t="s">
        <v>51</v>
      </c>
      <c r="G95" s="96" t="s">
        <v>59</v>
      </c>
      <c r="H95" s="146" t="s">
        <v>212</v>
      </c>
      <c r="I95" s="176"/>
      <c r="AK95" s="389" t="s">
        <v>339</v>
      </c>
      <c r="AL95" s="389"/>
      <c r="AM95" s="389"/>
    </row>
    <row r="96" spans="1:39" s="82" customFormat="1" x14ac:dyDescent="0.25">
      <c r="A96" s="154" t="s">
        <v>198</v>
      </c>
      <c r="B96" s="154" t="s">
        <v>61</v>
      </c>
      <c r="C96" s="98" t="s">
        <v>44</v>
      </c>
      <c r="D96" s="221" t="s">
        <v>201</v>
      </c>
      <c r="E96" s="217">
        <v>20472800</v>
      </c>
      <c r="F96" s="157" t="s">
        <v>51</v>
      </c>
      <c r="G96" s="96" t="s">
        <v>83</v>
      </c>
      <c r="H96" s="146" t="s">
        <v>140</v>
      </c>
      <c r="I96" s="176"/>
      <c r="AK96" s="389" t="s">
        <v>339</v>
      </c>
      <c r="AL96" s="389"/>
      <c r="AM96" s="389"/>
    </row>
    <row r="97" spans="1:39" s="82" customFormat="1" x14ac:dyDescent="0.25">
      <c r="A97" s="154" t="s">
        <v>198</v>
      </c>
      <c r="B97" s="154" t="s">
        <v>61</v>
      </c>
      <c r="C97" s="98" t="s">
        <v>44</v>
      </c>
      <c r="D97" s="221" t="s">
        <v>202</v>
      </c>
      <c r="E97" s="217">
        <v>18666500</v>
      </c>
      <c r="F97" s="157" t="s">
        <v>51</v>
      </c>
      <c r="G97" s="96" t="s">
        <v>83</v>
      </c>
      <c r="H97" s="146" t="s">
        <v>140</v>
      </c>
      <c r="I97" s="176"/>
      <c r="AK97" s="389" t="s">
        <v>339</v>
      </c>
      <c r="AL97" s="389"/>
      <c r="AM97" s="389"/>
    </row>
    <row r="98" spans="1:39" s="82" customFormat="1" x14ac:dyDescent="0.25">
      <c r="A98" s="154" t="s">
        <v>198</v>
      </c>
      <c r="B98" s="154" t="s">
        <v>61</v>
      </c>
      <c r="C98" s="98" t="s">
        <v>44</v>
      </c>
      <c r="D98" s="100" t="s">
        <v>209</v>
      </c>
      <c r="E98" s="83">
        <v>800000000</v>
      </c>
      <c r="F98" s="157" t="s">
        <v>51</v>
      </c>
      <c r="G98" s="96" t="s">
        <v>207</v>
      </c>
      <c r="H98" s="146" t="s">
        <v>208</v>
      </c>
      <c r="I98" s="176"/>
      <c r="AK98" s="389" t="s">
        <v>339</v>
      </c>
      <c r="AL98" s="389"/>
      <c r="AM98" s="389"/>
    </row>
    <row r="99" spans="1:39" s="82" customFormat="1" x14ac:dyDescent="0.25">
      <c r="A99" s="154" t="s">
        <v>198</v>
      </c>
      <c r="B99" s="154" t="s">
        <v>61</v>
      </c>
      <c r="C99" s="98" t="s">
        <v>44</v>
      </c>
      <c r="D99" s="221" t="s">
        <v>203</v>
      </c>
      <c r="E99" s="217">
        <v>12400000</v>
      </c>
      <c r="F99" s="157" t="s">
        <v>51</v>
      </c>
      <c r="G99" s="96" t="s">
        <v>59</v>
      </c>
      <c r="H99" s="146" t="s">
        <v>267</v>
      </c>
      <c r="I99" s="176"/>
      <c r="AK99" s="389" t="s">
        <v>339</v>
      </c>
      <c r="AL99" s="389"/>
      <c r="AM99" s="389"/>
    </row>
    <row r="100" spans="1:39" s="82" customFormat="1" x14ac:dyDescent="0.25">
      <c r="A100" s="154" t="s">
        <v>198</v>
      </c>
      <c r="B100" s="154" t="s">
        <v>61</v>
      </c>
      <c r="C100" s="98" t="s">
        <v>44</v>
      </c>
      <c r="D100" s="284" t="s">
        <v>213</v>
      </c>
      <c r="E100" s="285">
        <v>270000</v>
      </c>
      <c r="F100" s="157" t="s">
        <v>51</v>
      </c>
      <c r="G100" s="96" t="s">
        <v>216</v>
      </c>
      <c r="H100" s="146" t="s">
        <v>66</v>
      </c>
      <c r="I100" s="176"/>
      <c r="AK100" s="389" t="s">
        <v>339</v>
      </c>
      <c r="AL100" s="389"/>
      <c r="AM100" s="389"/>
    </row>
    <row r="101" spans="1:39" s="82" customFormat="1" x14ac:dyDescent="0.25">
      <c r="A101" s="154" t="s">
        <v>198</v>
      </c>
      <c r="B101" s="154" t="s">
        <v>61</v>
      </c>
      <c r="C101" s="98" t="s">
        <v>44</v>
      </c>
      <c r="D101" s="235" t="s">
        <v>215</v>
      </c>
      <c r="E101" s="234">
        <f>429000+193000</f>
        <v>622000</v>
      </c>
      <c r="F101" s="157" t="s">
        <v>51</v>
      </c>
      <c r="G101" s="96" t="s">
        <v>214</v>
      </c>
      <c r="H101" s="146" t="s">
        <v>66</v>
      </c>
      <c r="I101" s="176"/>
      <c r="AK101" s="389" t="s">
        <v>339</v>
      </c>
      <c r="AL101" s="389"/>
      <c r="AM101" s="389"/>
    </row>
    <row r="102" spans="1:39" s="82" customFormat="1" x14ac:dyDescent="0.25">
      <c r="A102" s="154" t="s">
        <v>198</v>
      </c>
      <c r="B102" s="154" t="s">
        <v>61</v>
      </c>
      <c r="C102" s="98" t="s">
        <v>44</v>
      </c>
      <c r="D102" s="235" t="s">
        <v>217</v>
      </c>
      <c r="E102" s="234">
        <v>156000</v>
      </c>
      <c r="F102" s="157" t="s">
        <v>51</v>
      </c>
      <c r="G102" s="96" t="s">
        <v>214</v>
      </c>
      <c r="H102" s="146"/>
      <c r="I102" s="176"/>
      <c r="AK102" s="389" t="s">
        <v>339</v>
      </c>
      <c r="AL102" s="389"/>
      <c r="AM102" s="389"/>
    </row>
    <row r="103" spans="1:39" s="82" customFormat="1" x14ac:dyDescent="0.25">
      <c r="A103" s="154" t="s">
        <v>198</v>
      </c>
      <c r="B103" s="154" t="s">
        <v>61</v>
      </c>
      <c r="C103" s="98" t="s">
        <v>47</v>
      </c>
      <c r="D103" s="221" t="s">
        <v>204</v>
      </c>
      <c r="E103" s="217">
        <v>3200000</v>
      </c>
      <c r="F103" s="157" t="s">
        <v>52</v>
      </c>
      <c r="G103" s="96" t="s">
        <v>59</v>
      </c>
      <c r="H103" s="146" t="s">
        <v>58</v>
      </c>
      <c r="I103" s="176"/>
      <c r="AK103" s="389" t="s">
        <v>339</v>
      </c>
      <c r="AL103" s="389"/>
      <c r="AM103" s="389"/>
    </row>
    <row r="104" spans="1:39" s="82" customFormat="1" x14ac:dyDescent="0.25">
      <c r="A104" s="154" t="s">
        <v>198</v>
      </c>
      <c r="B104" s="154" t="s">
        <v>61</v>
      </c>
      <c r="C104" s="98" t="s">
        <v>47</v>
      </c>
      <c r="D104" s="235" t="s">
        <v>210</v>
      </c>
      <c r="E104" s="234">
        <v>515000</v>
      </c>
      <c r="F104" s="157" t="s">
        <v>52</v>
      </c>
      <c r="G104" s="96" t="s">
        <v>54</v>
      </c>
      <c r="H104" s="146" t="s">
        <v>66</v>
      </c>
      <c r="I104" s="176"/>
      <c r="AK104" s="389" t="s">
        <v>339</v>
      </c>
      <c r="AL104" s="389"/>
      <c r="AM104" s="389"/>
    </row>
    <row r="105" spans="1:39" s="82" customFormat="1" x14ac:dyDescent="0.25">
      <c r="A105" s="154" t="s">
        <v>198</v>
      </c>
      <c r="B105" s="154" t="s">
        <v>61</v>
      </c>
      <c r="C105" s="98" t="s">
        <v>45</v>
      </c>
      <c r="D105" s="299" t="s">
        <v>205</v>
      </c>
      <c r="E105" s="300">
        <v>6196623</v>
      </c>
      <c r="F105" s="97" t="s">
        <v>53</v>
      </c>
      <c r="G105" s="96" t="s">
        <v>54</v>
      </c>
      <c r="H105" s="146" t="s">
        <v>66</v>
      </c>
      <c r="I105" s="176"/>
      <c r="AK105" s="389" t="s">
        <v>339</v>
      </c>
      <c r="AL105" s="389"/>
      <c r="AM105" s="389"/>
    </row>
    <row r="106" spans="1:39" s="82" customFormat="1" x14ac:dyDescent="0.25">
      <c r="A106" s="154" t="s">
        <v>198</v>
      </c>
      <c r="B106" s="154" t="s">
        <v>61</v>
      </c>
      <c r="C106" s="98" t="s">
        <v>37</v>
      </c>
      <c r="D106" s="100" t="s">
        <v>206</v>
      </c>
      <c r="E106" s="83">
        <v>118060316</v>
      </c>
      <c r="F106" s="97" t="s">
        <v>53</v>
      </c>
      <c r="G106" s="96"/>
      <c r="H106" s="146" t="s">
        <v>66</v>
      </c>
      <c r="I106" s="176"/>
      <c r="AK106" s="389" t="s">
        <v>339</v>
      </c>
      <c r="AL106" s="389"/>
      <c r="AM106" s="389"/>
    </row>
    <row r="107" spans="1:39" s="82" customFormat="1" x14ac:dyDescent="0.25">
      <c r="A107" s="154" t="s">
        <v>218</v>
      </c>
      <c r="B107" s="154" t="s">
        <v>61</v>
      </c>
      <c r="C107" s="98" t="s">
        <v>45</v>
      </c>
      <c r="D107" s="250" t="s">
        <v>219</v>
      </c>
      <c r="E107" s="303">
        <v>16535405</v>
      </c>
      <c r="F107" s="97" t="s">
        <v>53</v>
      </c>
      <c r="G107" s="96"/>
      <c r="H107" s="146" t="s">
        <v>66</v>
      </c>
      <c r="I107" s="176"/>
      <c r="AK107" s="389" t="s">
        <v>339</v>
      </c>
      <c r="AL107" s="389"/>
      <c r="AM107" s="389"/>
    </row>
    <row r="108" spans="1:39" s="82" customFormat="1" x14ac:dyDescent="0.25">
      <c r="A108" s="154" t="s">
        <v>218</v>
      </c>
      <c r="B108" s="154" t="s">
        <v>61</v>
      </c>
      <c r="C108" s="98" t="s">
        <v>45</v>
      </c>
      <c r="D108" s="100" t="s">
        <v>220</v>
      </c>
      <c r="E108" s="83">
        <v>41529600</v>
      </c>
      <c r="F108" s="97" t="s">
        <v>53</v>
      </c>
      <c r="G108" s="96"/>
      <c r="H108" s="146" t="s">
        <v>66</v>
      </c>
      <c r="I108" s="176"/>
      <c r="AK108" s="389" t="s">
        <v>339</v>
      </c>
      <c r="AL108" s="389"/>
      <c r="AM108" s="389"/>
    </row>
    <row r="109" spans="1:39" s="82" customFormat="1" x14ac:dyDescent="0.25">
      <c r="A109" s="154" t="s">
        <v>218</v>
      </c>
      <c r="B109" s="154" t="s">
        <v>61</v>
      </c>
      <c r="C109" s="98" t="s">
        <v>45</v>
      </c>
      <c r="D109" s="266" t="s">
        <v>221</v>
      </c>
      <c r="E109" s="267">
        <v>24900000</v>
      </c>
      <c r="F109" s="97" t="s">
        <v>53</v>
      </c>
      <c r="G109" s="96"/>
      <c r="H109" s="146" t="s">
        <v>66</v>
      </c>
      <c r="I109" s="176"/>
      <c r="AK109" s="389" t="s">
        <v>339</v>
      </c>
      <c r="AL109" s="389"/>
      <c r="AM109" s="389"/>
    </row>
    <row r="110" spans="1:39" s="82" customFormat="1" x14ac:dyDescent="0.25">
      <c r="A110" s="154" t="s">
        <v>218</v>
      </c>
      <c r="B110" s="154" t="s">
        <v>61</v>
      </c>
      <c r="C110" s="98" t="s">
        <v>44</v>
      </c>
      <c r="D110" s="251" t="s">
        <v>222</v>
      </c>
      <c r="E110" s="304">
        <v>28000000</v>
      </c>
      <c r="F110" s="97" t="s">
        <v>51</v>
      </c>
      <c r="G110" s="96"/>
      <c r="H110" s="146" t="s">
        <v>208</v>
      </c>
      <c r="I110" s="176"/>
      <c r="AK110" s="389" t="s">
        <v>339</v>
      </c>
      <c r="AL110" s="389"/>
      <c r="AM110" s="389"/>
    </row>
    <row r="111" spans="1:39" s="82" customFormat="1" x14ac:dyDescent="0.25">
      <c r="A111" s="154" t="s">
        <v>218</v>
      </c>
      <c r="B111" s="154" t="s">
        <v>61</v>
      </c>
      <c r="C111" s="98" t="s">
        <v>44</v>
      </c>
      <c r="D111" s="305" t="s">
        <v>223</v>
      </c>
      <c r="E111" s="306">
        <v>6000000</v>
      </c>
      <c r="F111" s="97" t="s">
        <v>51</v>
      </c>
      <c r="G111" s="96"/>
      <c r="H111" s="146" t="s">
        <v>145</v>
      </c>
      <c r="I111" s="176"/>
      <c r="AK111" s="389" t="s">
        <v>339</v>
      </c>
      <c r="AL111" s="389"/>
      <c r="AM111" s="389"/>
    </row>
    <row r="112" spans="1:39" s="82" customFormat="1" x14ac:dyDescent="0.25">
      <c r="A112" s="154" t="s">
        <v>218</v>
      </c>
      <c r="B112" s="154" t="s">
        <v>61</v>
      </c>
      <c r="C112" s="98" t="s">
        <v>44</v>
      </c>
      <c r="D112" s="221" t="s">
        <v>224</v>
      </c>
      <c r="E112" s="217">
        <v>18450000</v>
      </c>
      <c r="F112" s="97" t="s">
        <v>51</v>
      </c>
      <c r="G112" s="96" t="s">
        <v>83</v>
      </c>
      <c r="H112" s="146" t="s">
        <v>225</v>
      </c>
      <c r="I112" s="176"/>
      <c r="AK112" s="389" t="s">
        <v>339</v>
      </c>
      <c r="AL112" s="389"/>
      <c r="AM112" s="389"/>
    </row>
    <row r="113" spans="1:39" s="82" customFormat="1" ht="15" x14ac:dyDescent="0.25">
      <c r="A113" s="154" t="s">
        <v>218</v>
      </c>
      <c r="B113" s="154" t="s">
        <v>61</v>
      </c>
      <c r="C113" s="98" t="s">
        <v>44</v>
      </c>
      <c r="D113" s="221" t="s">
        <v>226</v>
      </c>
      <c r="E113" s="217">
        <v>22477000</v>
      </c>
      <c r="F113" s="97" t="s">
        <v>51</v>
      </c>
      <c r="G113" s="96" t="s">
        <v>83</v>
      </c>
      <c r="H113" s="96" t="s">
        <v>140</v>
      </c>
      <c r="I113" s="176"/>
      <c r="AK113" s="389" t="s">
        <v>339</v>
      </c>
      <c r="AL113" s="389"/>
      <c r="AM113" s="389"/>
    </row>
    <row r="114" spans="1:39" s="82" customFormat="1" ht="15" x14ac:dyDescent="0.25">
      <c r="A114" s="154" t="s">
        <v>218</v>
      </c>
      <c r="B114" s="154" t="s">
        <v>61</v>
      </c>
      <c r="C114" s="98" t="s">
        <v>44</v>
      </c>
      <c r="D114" s="261" t="s">
        <v>227</v>
      </c>
      <c r="E114" s="262">
        <v>5000000</v>
      </c>
      <c r="F114" s="97" t="s">
        <v>51</v>
      </c>
      <c r="G114" s="96"/>
      <c r="H114" s="96" t="s">
        <v>66</v>
      </c>
      <c r="I114" s="176"/>
      <c r="AK114" s="389" t="s">
        <v>339</v>
      </c>
      <c r="AL114" s="389"/>
      <c r="AM114" s="389"/>
    </row>
    <row r="115" spans="1:39" s="82" customFormat="1" ht="15" x14ac:dyDescent="0.25">
      <c r="A115" s="98" t="s">
        <v>230</v>
      </c>
      <c r="B115" s="98" t="s">
        <v>61</v>
      </c>
      <c r="C115" s="98" t="s">
        <v>47</v>
      </c>
      <c r="D115" s="305" t="s">
        <v>229</v>
      </c>
      <c r="E115" s="306">
        <v>500000</v>
      </c>
      <c r="F115" s="97" t="s">
        <v>52</v>
      </c>
      <c r="G115" s="96"/>
      <c r="H115" s="96" t="s">
        <v>66</v>
      </c>
      <c r="I115" s="176"/>
      <c r="AK115" s="389" t="s">
        <v>339</v>
      </c>
      <c r="AL115" s="389"/>
      <c r="AM115" s="389"/>
    </row>
    <row r="116" spans="1:39" s="82" customFormat="1" ht="15" x14ac:dyDescent="0.25">
      <c r="A116" s="98" t="s">
        <v>230</v>
      </c>
      <c r="B116" s="98" t="s">
        <v>61</v>
      </c>
      <c r="C116" s="98" t="s">
        <v>39</v>
      </c>
      <c r="D116" s="100" t="s">
        <v>231</v>
      </c>
      <c r="E116" s="83">
        <v>14100000</v>
      </c>
      <c r="F116" s="97" t="s">
        <v>52</v>
      </c>
      <c r="G116" s="96"/>
      <c r="H116" s="96" t="s">
        <v>112</v>
      </c>
      <c r="I116" s="176"/>
      <c r="AK116" s="389" t="s">
        <v>339</v>
      </c>
      <c r="AL116" s="389"/>
      <c r="AM116" s="389"/>
    </row>
    <row r="117" spans="1:39" s="82" customFormat="1" ht="15" x14ac:dyDescent="0.25">
      <c r="A117" s="98" t="s">
        <v>230</v>
      </c>
      <c r="B117" s="98" t="s">
        <v>61</v>
      </c>
      <c r="C117" s="98" t="s">
        <v>47</v>
      </c>
      <c r="D117" s="233" t="s">
        <v>232</v>
      </c>
      <c r="E117" s="234">
        <v>125000</v>
      </c>
      <c r="F117" s="97" t="s">
        <v>52</v>
      </c>
      <c r="G117" s="96"/>
      <c r="H117" s="96" t="s">
        <v>66</v>
      </c>
      <c r="I117" s="176"/>
      <c r="AK117" s="389" t="s">
        <v>339</v>
      </c>
      <c r="AL117" s="389"/>
      <c r="AM117" s="389"/>
    </row>
    <row r="118" spans="1:39" s="82" customFormat="1" ht="15" x14ac:dyDescent="0.25">
      <c r="A118" s="98" t="s">
        <v>230</v>
      </c>
      <c r="B118" s="98" t="s">
        <v>61</v>
      </c>
      <c r="C118" s="98" t="s">
        <v>47</v>
      </c>
      <c r="D118" s="266" t="s">
        <v>233</v>
      </c>
      <c r="E118" s="267">
        <v>4920000</v>
      </c>
      <c r="F118" s="97" t="s">
        <v>52</v>
      </c>
      <c r="G118" s="96"/>
      <c r="H118" s="96" t="s">
        <v>66</v>
      </c>
      <c r="I118" s="176"/>
      <c r="AK118" s="389" t="s">
        <v>339</v>
      </c>
      <c r="AL118" s="389"/>
      <c r="AM118" s="389"/>
    </row>
    <row r="119" spans="1:39" s="82" customFormat="1" ht="15" x14ac:dyDescent="0.25">
      <c r="A119" s="98" t="s">
        <v>230</v>
      </c>
      <c r="B119" s="98" t="s">
        <v>61</v>
      </c>
      <c r="C119" s="98" t="s">
        <v>39</v>
      </c>
      <c r="D119" s="100" t="s">
        <v>234</v>
      </c>
      <c r="E119" s="83">
        <v>100000000</v>
      </c>
      <c r="F119" s="97" t="s">
        <v>52</v>
      </c>
      <c r="G119" s="96"/>
      <c r="H119" s="96" t="s">
        <v>66</v>
      </c>
      <c r="I119" s="176"/>
      <c r="AK119" s="389" t="s">
        <v>339</v>
      </c>
      <c r="AL119" s="389"/>
      <c r="AM119" s="389"/>
    </row>
    <row r="120" spans="1:39" s="82" customFormat="1" ht="15" x14ac:dyDescent="0.25">
      <c r="A120" s="98" t="s">
        <v>230</v>
      </c>
      <c r="B120" s="98" t="s">
        <v>61</v>
      </c>
      <c r="C120" s="98" t="s">
        <v>47</v>
      </c>
      <c r="D120" s="100" t="s">
        <v>235</v>
      </c>
      <c r="E120" s="83">
        <v>55000000</v>
      </c>
      <c r="F120" s="97" t="s">
        <v>52</v>
      </c>
      <c r="G120" s="96"/>
      <c r="H120" s="96" t="s">
        <v>208</v>
      </c>
      <c r="I120" s="176"/>
      <c r="AK120" s="389" t="s">
        <v>339</v>
      </c>
      <c r="AL120" s="389"/>
      <c r="AM120" s="389"/>
    </row>
    <row r="121" spans="1:39" s="82" customFormat="1" x14ac:dyDescent="0.25">
      <c r="A121" s="98" t="s">
        <v>230</v>
      </c>
      <c r="B121" s="98" t="s">
        <v>61</v>
      </c>
      <c r="C121" s="98" t="s">
        <v>46</v>
      </c>
      <c r="D121" s="100" t="s">
        <v>238</v>
      </c>
      <c r="E121" s="83">
        <v>100000000</v>
      </c>
      <c r="F121" s="97" t="s">
        <v>11</v>
      </c>
      <c r="G121" s="96"/>
      <c r="H121" s="146" t="s">
        <v>66</v>
      </c>
      <c r="I121" s="176"/>
      <c r="AK121" s="389" t="s">
        <v>339</v>
      </c>
      <c r="AL121" s="389"/>
      <c r="AM121" s="389"/>
    </row>
    <row r="122" spans="1:39" s="82" customFormat="1" x14ac:dyDescent="0.25">
      <c r="A122" s="98" t="s">
        <v>230</v>
      </c>
      <c r="B122" s="98" t="s">
        <v>61</v>
      </c>
      <c r="C122" s="98" t="s">
        <v>44</v>
      </c>
      <c r="D122" s="221" t="s">
        <v>236</v>
      </c>
      <c r="E122" s="217">
        <v>8733690</v>
      </c>
      <c r="F122" s="97" t="s">
        <v>51</v>
      </c>
      <c r="G122" s="96" t="s">
        <v>59</v>
      </c>
      <c r="H122" s="146" t="s">
        <v>237</v>
      </c>
      <c r="I122" s="176"/>
      <c r="AK122" s="389" t="s">
        <v>339</v>
      </c>
      <c r="AL122" s="389"/>
      <c r="AM122" s="389"/>
    </row>
    <row r="123" spans="1:39" s="82" customFormat="1" ht="15" x14ac:dyDescent="0.25">
      <c r="A123" s="98" t="s">
        <v>230</v>
      </c>
      <c r="B123" s="98" t="s">
        <v>61</v>
      </c>
      <c r="C123" s="98" t="s">
        <v>37</v>
      </c>
      <c r="D123" s="96" t="s">
        <v>241</v>
      </c>
      <c r="E123" s="83">
        <v>39000000</v>
      </c>
      <c r="F123" s="97" t="s">
        <v>53</v>
      </c>
      <c r="G123" s="96"/>
      <c r="H123" s="96" t="s">
        <v>239</v>
      </c>
      <c r="I123" s="176"/>
      <c r="AK123" s="389" t="s">
        <v>339</v>
      </c>
      <c r="AL123" s="389"/>
      <c r="AM123" s="389"/>
    </row>
    <row r="124" spans="1:39" s="82" customFormat="1" ht="15" x14ac:dyDescent="0.25">
      <c r="A124" s="98" t="s">
        <v>230</v>
      </c>
      <c r="B124" s="98" t="s">
        <v>61</v>
      </c>
      <c r="C124" s="98" t="s">
        <v>37</v>
      </c>
      <c r="D124" s="96" t="s">
        <v>240</v>
      </c>
      <c r="E124" s="83">
        <v>108907095</v>
      </c>
      <c r="F124" s="97" t="s">
        <v>53</v>
      </c>
      <c r="G124" s="96"/>
      <c r="H124" s="96" t="s">
        <v>66</v>
      </c>
      <c r="I124" s="176"/>
      <c r="AK124" s="389" t="s">
        <v>339</v>
      </c>
      <c r="AL124" s="389"/>
      <c r="AM124" s="389"/>
    </row>
    <row r="125" spans="1:39" s="82" customFormat="1" ht="15" x14ac:dyDescent="0.25">
      <c r="A125" s="98" t="s">
        <v>230</v>
      </c>
      <c r="B125" s="98" t="s">
        <v>61</v>
      </c>
      <c r="C125" s="98" t="s">
        <v>45</v>
      </c>
      <c r="D125" s="246" t="s">
        <v>242</v>
      </c>
      <c r="E125" s="231">
        <v>108907095</v>
      </c>
      <c r="F125" s="97" t="s">
        <v>53</v>
      </c>
      <c r="G125" s="96"/>
      <c r="H125" s="96" t="s">
        <v>66</v>
      </c>
      <c r="I125" s="176"/>
      <c r="AK125" s="389" t="s">
        <v>339</v>
      </c>
      <c r="AL125" s="389"/>
      <c r="AM125" s="389"/>
    </row>
    <row r="126" spans="1:39" s="82" customFormat="1" x14ac:dyDescent="0.25">
      <c r="A126" s="98" t="s">
        <v>230</v>
      </c>
      <c r="B126" s="98" t="s">
        <v>61</v>
      </c>
      <c r="C126" s="98" t="s">
        <v>45</v>
      </c>
      <c r="D126" s="220" t="s">
        <v>244</v>
      </c>
      <c r="E126" s="217">
        <v>5412000</v>
      </c>
      <c r="F126" s="97" t="s">
        <v>53</v>
      </c>
      <c r="G126" s="96" t="s">
        <v>83</v>
      </c>
      <c r="H126" s="146" t="s">
        <v>140</v>
      </c>
      <c r="I126" s="176"/>
      <c r="AK126" s="389" t="s">
        <v>339</v>
      </c>
      <c r="AL126" s="389"/>
      <c r="AM126" s="389"/>
    </row>
    <row r="127" spans="1:39" s="82" customFormat="1" x14ac:dyDescent="0.25">
      <c r="A127" s="98" t="s">
        <v>245</v>
      </c>
      <c r="B127" s="98" t="s">
        <v>61</v>
      </c>
      <c r="C127" s="98" t="s">
        <v>36</v>
      </c>
      <c r="D127" s="96" t="s">
        <v>246</v>
      </c>
      <c r="E127" s="83">
        <v>690000000</v>
      </c>
      <c r="F127" s="97" t="s">
        <v>51</v>
      </c>
      <c r="G127" s="96"/>
      <c r="H127" s="146" t="s">
        <v>66</v>
      </c>
      <c r="I127" s="176"/>
      <c r="AK127" s="389" t="s">
        <v>339</v>
      </c>
      <c r="AL127" s="389"/>
      <c r="AM127" s="389"/>
    </row>
    <row r="128" spans="1:39" s="82" customFormat="1" x14ac:dyDescent="0.25">
      <c r="A128" s="98" t="s">
        <v>245</v>
      </c>
      <c r="B128" s="98" t="s">
        <v>61</v>
      </c>
      <c r="C128" s="98" t="s">
        <v>44</v>
      </c>
      <c r="D128" s="220" t="s">
        <v>247</v>
      </c>
      <c r="E128" s="217">
        <v>7557000</v>
      </c>
      <c r="F128" s="97" t="s">
        <v>51</v>
      </c>
      <c r="G128" s="96" t="s">
        <v>83</v>
      </c>
      <c r="H128" s="146" t="s">
        <v>58</v>
      </c>
      <c r="I128" s="176"/>
      <c r="AK128" s="389" t="s">
        <v>339</v>
      </c>
      <c r="AL128" s="389"/>
      <c r="AM128" s="389"/>
    </row>
    <row r="129" spans="1:39" s="82" customFormat="1" x14ac:dyDescent="0.25">
      <c r="A129" s="98" t="s">
        <v>245</v>
      </c>
      <c r="B129" s="98" t="s">
        <v>61</v>
      </c>
      <c r="C129" s="98" t="s">
        <v>44</v>
      </c>
      <c r="D129" s="220" t="s">
        <v>248</v>
      </c>
      <c r="E129" s="217">
        <v>4860000</v>
      </c>
      <c r="F129" s="97" t="s">
        <v>51</v>
      </c>
      <c r="G129" s="96" t="s">
        <v>83</v>
      </c>
      <c r="H129" s="146" t="s">
        <v>129</v>
      </c>
      <c r="I129" s="176"/>
      <c r="AK129" s="389" t="s">
        <v>339</v>
      </c>
      <c r="AL129" s="389"/>
      <c r="AM129" s="389"/>
    </row>
    <row r="130" spans="1:39" s="82" customFormat="1" x14ac:dyDescent="0.25">
      <c r="A130" s="98" t="s">
        <v>245</v>
      </c>
      <c r="B130" s="98" t="s">
        <v>61</v>
      </c>
      <c r="C130" s="98" t="s">
        <v>44</v>
      </c>
      <c r="D130" s="286" t="s">
        <v>249</v>
      </c>
      <c r="E130" s="285">
        <v>222000</v>
      </c>
      <c r="F130" s="97" t="s">
        <v>51</v>
      </c>
      <c r="G130" s="96" t="s">
        <v>216</v>
      </c>
      <c r="H130" s="146" t="s">
        <v>66</v>
      </c>
      <c r="I130" s="176"/>
      <c r="AK130" s="389" t="s">
        <v>339</v>
      </c>
      <c r="AL130" s="389"/>
      <c r="AM130" s="389"/>
    </row>
    <row r="131" spans="1:39" s="82" customFormat="1" ht="15" x14ac:dyDescent="0.25">
      <c r="A131" s="98" t="s">
        <v>245</v>
      </c>
      <c r="B131" s="98" t="s">
        <v>61</v>
      </c>
      <c r="C131" s="98" t="s">
        <v>44</v>
      </c>
      <c r="D131" s="220" t="s">
        <v>250</v>
      </c>
      <c r="E131" s="217">
        <v>1720000</v>
      </c>
      <c r="F131" s="97" t="s">
        <v>51</v>
      </c>
      <c r="G131" s="96" t="s">
        <v>59</v>
      </c>
      <c r="H131" s="96" t="s">
        <v>113</v>
      </c>
      <c r="I131" s="176"/>
      <c r="AK131" s="389" t="s">
        <v>339</v>
      </c>
      <c r="AL131" s="389"/>
      <c r="AM131" s="389"/>
    </row>
    <row r="132" spans="1:39" s="82" customFormat="1" ht="15" x14ac:dyDescent="0.25">
      <c r="A132" s="98" t="s">
        <v>245</v>
      </c>
      <c r="B132" s="98" t="s">
        <v>61</v>
      </c>
      <c r="C132" s="98" t="s">
        <v>44</v>
      </c>
      <c r="D132" s="220" t="s">
        <v>251</v>
      </c>
      <c r="E132" s="217">
        <v>2000000</v>
      </c>
      <c r="F132" s="97" t="s">
        <v>51</v>
      </c>
      <c r="G132" s="96" t="s">
        <v>144</v>
      </c>
      <c r="H132" s="96" t="s">
        <v>188</v>
      </c>
      <c r="I132" s="176"/>
      <c r="AK132" s="389" t="s">
        <v>339</v>
      </c>
      <c r="AL132" s="389"/>
      <c r="AM132" s="389"/>
    </row>
    <row r="133" spans="1:39" s="82" customFormat="1" ht="15" x14ac:dyDescent="0.25">
      <c r="A133" s="98" t="s">
        <v>245</v>
      </c>
      <c r="B133" s="98" t="s">
        <v>61</v>
      </c>
      <c r="C133" s="98" t="s">
        <v>44</v>
      </c>
      <c r="D133" s="248" t="s">
        <v>258</v>
      </c>
      <c r="E133" s="249">
        <v>101500000</v>
      </c>
      <c r="F133" s="97" t="s">
        <v>51</v>
      </c>
      <c r="G133" s="96" t="s">
        <v>54</v>
      </c>
      <c r="H133" s="96" t="s">
        <v>66</v>
      </c>
      <c r="I133" s="176"/>
      <c r="AK133" s="389" t="s">
        <v>339</v>
      </c>
      <c r="AL133" s="389"/>
      <c r="AM133" s="389"/>
    </row>
    <row r="134" spans="1:39" s="82" customFormat="1" ht="15" x14ac:dyDescent="0.25">
      <c r="A134" s="98" t="s">
        <v>245</v>
      </c>
      <c r="B134" s="98" t="s">
        <v>61</v>
      </c>
      <c r="C134" s="98" t="s">
        <v>45</v>
      </c>
      <c r="D134" s="220" t="s">
        <v>256</v>
      </c>
      <c r="E134" s="217">
        <v>63744000</v>
      </c>
      <c r="F134" s="97" t="s">
        <v>53</v>
      </c>
      <c r="G134" s="96" t="s">
        <v>59</v>
      </c>
      <c r="H134" s="96" t="s">
        <v>113</v>
      </c>
      <c r="I134" s="176"/>
      <c r="AK134" s="389" t="s">
        <v>339</v>
      </c>
      <c r="AL134" s="389"/>
      <c r="AM134" s="389"/>
    </row>
    <row r="135" spans="1:39" s="82" customFormat="1" ht="15" x14ac:dyDescent="0.25">
      <c r="A135" s="98" t="s">
        <v>245</v>
      </c>
      <c r="B135" s="98" t="s">
        <v>61</v>
      </c>
      <c r="C135" s="98" t="s">
        <v>47</v>
      </c>
      <c r="D135" s="275" t="s">
        <v>252</v>
      </c>
      <c r="E135" s="274">
        <v>114000</v>
      </c>
      <c r="F135" s="97" t="s">
        <v>52</v>
      </c>
      <c r="G135" s="96" t="s">
        <v>127</v>
      </c>
      <c r="H135" s="96" t="s">
        <v>66</v>
      </c>
      <c r="I135" s="176"/>
      <c r="AK135" s="389" t="s">
        <v>339</v>
      </c>
      <c r="AL135" s="389"/>
      <c r="AM135" s="389"/>
    </row>
    <row r="136" spans="1:39" s="82" customFormat="1" ht="15" x14ac:dyDescent="0.25">
      <c r="A136" s="98" t="s">
        <v>245</v>
      </c>
      <c r="B136" s="98" t="s">
        <v>61</v>
      </c>
      <c r="C136" s="98" t="s">
        <v>38</v>
      </c>
      <c r="D136" s="96" t="s">
        <v>254</v>
      </c>
      <c r="E136" s="83">
        <v>31451200</v>
      </c>
      <c r="F136" s="97" t="s">
        <v>11</v>
      </c>
      <c r="G136" s="96"/>
      <c r="H136" s="96" t="s">
        <v>253</v>
      </c>
      <c r="I136" s="176"/>
      <c r="AK136" s="389" t="s">
        <v>339</v>
      </c>
      <c r="AL136" s="389"/>
      <c r="AM136" s="389"/>
    </row>
    <row r="137" spans="1:39" s="82" customFormat="1" x14ac:dyDescent="0.25">
      <c r="A137" s="98" t="s">
        <v>245</v>
      </c>
      <c r="B137" s="98" t="s">
        <v>61</v>
      </c>
      <c r="C137" s="98" t="s">
        <v>46</v>
      </c>
      <c r="D137" s="96" t="s">
        <v>255</v>
      </c>
      <c r="E137" s="83">
        <v>690000000</v>
      </c>
      <c r="F137" s="97" t="s">
        <v>11</v>
      </c>
      <c r="G137" s="96"/>
      <c r="H137" s="146" t="s">
        <v>66</v>
      </c>
      <c r="I137" s="176"/>
      <c r="M137" s="95"/>
      <c r="N137" s="95"/>
      <c r="AK137" s="389" t="s">
        <v>339</v>
      </c>
      <c r="AL137" s="389"/>
      <c r="AM137" s="389"/>
    </row>
    <row r="138" spans="1:39" s="82" customFormat="1" x14ac:dyDescent="0.25">
      <c r="A138" s="98" t="s">
        <v>245</v>
      </c>
      <c r="B138" s="98" t="s">
        <v>61</v>
      </c>
      <c r="C138" s="98" t="s">
        <v>46</v>
      </c>
      <c r="D138" s="275" t="s">
        <v>259</v>
      </c>
      <c r="E138" s="274">
        <v>11000</v>
      </c>
      <c r="F138" s="97" t="s">
        <v>11</v>
      </c>
      <c r="G138" s="96"/>
      <c r="H138" s="146" t="s">
        <v>66</v>
      </c>
      <c r="I138" s="176"/>
      <c r="AK138" s="389" t="s">
        <v>339</v>
      </c>
      <c r="AL138" s="389"/>
      <c r="AM138" s="389"/>
    </row>
    <row r="139" spans="1:39" s="82" customFormat="1" x14ac:dyDescent="0.25">
      <c r="A139" s="98" t="s">
        <v>260</v>
      </c>
      <c r="B139" s="98" t="s">
        <v>61</v>
      </c>
      <c r="C139" s="98" t="s">
        <v>47</v>
      </c>
      <c r="D139" s="291" t="s">
        <v>261</v>
      </c>
      <c r="E139" s="267">
        <f>45000000-3287150</f>
        <v>41712850</v>
      </c>
      <c r="F139" s="97" t="s">
        <v>52</v>
      </c>
      <c r="G139" s="96"/>
      <c r="H139" s="146" t="s">
        <v>66</v>
      </c>
      <c r="I139" s="176"/>
      <c r="K139" s="95"/>
      <c r="AK139" s="389" t="s">
        <v>339</v>
      </c>
      <c r="AL139" s="389"/>
      <c r="AM139" s="389"/>
    </row>
    <row r="140" spans="1:39" s="82" customFormat="1" x14ac:dyDescent="0.25">
      <c r="A140" s="98" t="s">
        <v>260</v>
      </c>
      <c r="B140" s="98" t="s">
        <v>61</v>
      </c>
      <c r="C140" s="98" t="s">
        <v>47</v>
      </c>
      <c r="D140" s="307" t="s">
        <v>262</v>
      </c>
      <c r="E140" s="306">
        <v>100000</v>
      </c>
      <c r="F140" s="97" t="s">
        <v>52</v>
      </c>
      <c r="G140" s="96"/>
      <c r="H140" s="146" t="s">
        <v>66</v>
      </c>
      <c r="I140" s="176"/>
      <c r="K140" s="95"/>
      <c r="AK140" s="389" t="s">
        <v>339</v>
      </c>
      <c r="AL140" s="389"/>
      <c r="AM140" s="389"/>
    </row>
    <row r="141" spans="1:39" s="82" customFormat="1" x14ac:dyDescent="0.25">
      <c r="A141" s="98" t="s">
        <v>260</v>
      </c>
      <c r="B141" s="98" t="s">
        <v>61</v>
      </c>
      <c r="C141" s="98" t="s">
        <v>45</v>
      </c>
      <c r="D141" s="272" t="s">
        <v>263</v>
      </c>
      <c r="E141" s="268">
        <v>10736249</v>
      </c>
      <c r="F141" s="97" t="s">
        <v>53</v>
      </c>
      <c r="G141" s="96"/>
      <c r="H141" s="146" t="s">
        <v>66</v>
      </c>
      <c r="I141" s="176"/>
      <c r="AK141" s="389" t="s">
        <v>339</v>
      </c>
      <c r="AL141" s="389"/>
      <c r="AM141" s="389"/>
    </row>
    <row r="142" spans="1:39" s="82" customFormat="1" x14ac:dyDescent="0.25">
      <c r="A142" s="98" t="s">
        <v>260</v>
      </c>
      <c r="B142" s="98" t="s">
        <v>61</v>
      </c>
      <c r="C142" s="98" t="s">
        <v>45</v>
      </c>
      <c r="D142" s="228" t="s">
        <v>264</v>
      </c>
      <c r="E142" s="227">
        <v>501481121</v>
      </c>
      <c r="F142" s="97" t="s">
        <v>53</v>
      </c>
      <c r="G142" s="96"/>
      <c r="H142" s="146" t="s">
        <v>66</v>
      </c>
      <c r="I142" s="176"/>
      <c r="AK142" s="389" t="s">
        <v>339</v>
      </c>
      <c r="AL142" s="389"/>
      <c r="AM142" s="389"/>
    </row>
    <row r="143" spans="1:39" s="82" customFormat="1" x14ac:dyDescent="0.25">
      <c r="A143" s="98" t="s">
        <v>260</v>
      </c>
      <c r="B143" s="98" t="s">
        <v>61</v>
      </c>
      <c r="C143" s="98" t="s">
        <v>45</v>
      </c>
      <c r="D143" s="220" t="s">
        <v>268</v>
      </c>
      <c r="E143" s="217">
        <v>221652700</v>
      </c>
      <c r="F143" s="97" t="s">
        <v>53</v>
      </c>
      <c r="G143" s="96"/>
      <c r="H143" s="146" t="s">
        <v>123</v>
      </c>
      <c r="I143" s="176"/>
      <c r="AK143" s="389" t="s">
        <v>339</v>
      </c>
      <c r="AL143" s="389"/>
      <c r="AM143" s="389"/>
    </row>
    <row r="144" spans="1:39" s="82" customFormat="1" x14ac:dyDescent="0.25">
      <c r="A144" s="98" t="s">
        <v>260</v>
      </c>
      <c r="B144" s="98" t="s">
        <v>61</v>
      </c>
      <c r="C144" s="98" t="s">
        <v>44</v>
      </c>
      <c r="D144" s="263" t="s">
        <v>265</v>
      </c>
      <c r="E144" s="262">
        <v>5122000</v>
      </c>
      <c r="F144" s="97" t="s">
        <v>51</v>
      </c>
      <c r="G144" s="96"/>
      <c r="H144" s="146" t="s">
        <v>66</v>
      </c>
      <c r="I144" s="176"/>
      <c r="AK144" s="389" t="s">
        <v>339</v>
      </c>
      <c r="AL144" s="389"/>
      <c r="AM144" s="389"/>
    </row>
    <row r="145" spans="1:39" s="82" customFormat="1" x14ac:dyDescent="0.25">
      <c r="A145" s="98" t="s">
        <v>260</v>
      </c>
      <c r="B145" s="98" t="s">
        <v>61</v>
      </c>
      <c r="C145" s="98" t="s">
        <v>44</v>
      </c>
      <c r="D145" s="220" t="s">
        <v>266</v>
      </c>
      <c r="E145" s="217">
        <v>1200000</v>
      </c>
      <c r="F145" s="97" t="s">
        <v>51</v>
      </c>
      <c r="G145" s="96" t="s">
        <v>83</v>
      </c>
      <c r="H145" s="146" t="s">
        <v>225</v>
      </c>
      <c r="I145" s="176"/>
      <c r="AK145" s="389" t="s">
        <v>339</v>
      </c>
      <c r="AL145" s="389"/>
      <c r="AM145" s="389"/>
    </row>
    <row r="146" spans="1:39" s="82" customFormat="1" x14ac:dyDescent="0.25">
      <c r="A146" s="98" t="s">
        <v>260</v>
      </c>
      <c r="B146" s="98" t="s">
        <v>61</v>
      </c>
      <c r="C146" s="98" t="s">
        <v>44</v>
      </c>
      <c r="D146" s="220" t="s">
        <v>269</v>
      </c>
      <c r="E146" s="217">
        <v>14000000</v>
      </c>
      <c r="F146" s="97" t="s">
        <v>51</v>
      </c>
      <c r="G146" s="96" t="s">
        <v>59</v>
      </c>
      <c r="H146" s="146" t="s">
        <v>267</v>
      </c>
      <c r="I146" s="176"/>
      <c r="AK146" s="389" t="s">
        <v>339</v>
      </c>
      <c r="AL146" s="389"/>
      <c r="AM146" s="389"/>
    </row>
    <row r="147" spans="1:39" s="82" customFormat="1" x14ac:dyDescent="0.25">
      <c r="A147" s="98" t="s">
        <v>260</v>
      </c>
      <c r="B147" s="98" t="s">
        <v>61</v>
      </c>
      <c r="C147" s="98" t="s">
        <v>44</v>
      </c>
      <c r="D147" s="220" t="s">
        <v>270</v>
      </c>
      <c r="E147" s="217">
        <v>12400000</v>
      </c>
      <c r="F147" s="97" t="s">
        <v>51</v>
      </c>
      <c r="G147" s="96" t="s">
        <v>59</v>
      </c>
      <c r="H147" s="146" t="s">
        <v>267</v>
      </c>
      <c r="I147" s="176"/>
      <c r="AK147" s="389" t="s">
        <v>339</v>
      </c>
      <c r="AL147" s="389"/>
      <c r="AM147" s="389"/>
    </row>
    <row r="148" spans="1:39" s="82" customFormat="1" x14ac:dyDescent="0.25">
      <c r="A148" s="98" t="s">
        <v>260</v>
      </c>
      <c r="B148" s="98" t="s">
        <v>61</v>
      </c>
      <c r="C148" s="98" t="s">
        <v>44</v>
      </c>
      <c r="D148" s="220" t="s">
        <v>271</v>
      </c>
      <c r="E148" s="217">
        <v>2651000</v>
      </c>
      <c r="F148" s="97" t="s">
        <v>51</v>
      </c>
      <c r="G148" s="96" t="s">
        <v>83</v>
      </c>
      <c r="H148" s="146" t="s">
        <v>140</v>
      </c>
      <c r="I148" s="176"/>
      <c r="AK148" s="389" t="s">
        <v>339</v>
      </c>
      <c r="AL148" s="389"/>
      <c r="AM148" s="389"/>
    </row>
    <row r="149" spans="1:39" s="82" customFormat="1" x14ac:dyDescent="0.25">
      <c r="A149" s="98" t="s">
        <v>260</v>
      </c>
      <c r="B149" s="98" t="s">
        <v>61</v>
      </c>
      <c r="C149" s="98" t="s">
        <v>44</v>
      </c>
      <c r="D149" s="220" t="s">
        <v>272</v>
      </c>
      <c r="E149" s="217">
        <v>63574725</v>
      </c>
      <c r="F149" s="97" t="s">
        <v>51</v>
      </c>
      <c r="G149" s="96" t="s">
        <v>83</v>
      </c>
      <c r="H149" s="146" t="s">
        <v>140</v>
      </c>
      <c r="I149" s="176"/>
      <c r="AK149" s="389" t="s">
        <v>339</v>
      </c>
      <c r="AL149" s="389"/>
      <c r="AM149" s="389"/>
    </row>
    <row r="150" spans="1:39" s="82" customFormat="1" x14ac:dyDescent="0.25">
      <c r="A150" s="98" t="s">
        <v>260</v>
      </c>
      <c r="B150" s="98" t="s">
        <v>61</v>
      </c>
      <c r="C150" s="98" t="s">
        <v>44</v>
      </c>
      <c r="D150" s="220" t="s">
        <v>284</v>
      </c>
      <c r="E150" s="217">
        <v>5100000</v>
      </c>
      <c r="F150" s="97" t="s">
        <v>51</v>
      </c>
      <c r="G150" s="96"/>
      <c r="H150" s="146" t="s">
        <v>66</v>
      </c>
      <c r="I150" s="176"/>
      <c r="AK150" s="389" t="s">
        <v>339</v>
      </c>
      <c r="AL150" s="389"/>
      <c r="AM150" s="389"/>
    </row>
    <row r="151" spans="1:39" s="82" customFormat="1" x14ac:dyDescent="0.25">
      <c r="A151" s="98" t="s">
        <v>260</v>
      </c>
      <c r="B151" s="98" t="s">
        <v>61</v>
      </c>
      <c r="C151" s="98" t="s">
        <v>36</v>
      </c>
      <c r="D151" s="96" t="s">
        <v>275</v>
      </c>
      <c r="E151" s="83">
        <f>201481000+300000000</f>
        <v>501481000</v>
      </c>
      <c r="F151" s="97" t="s">
        <v>51</v>
      </c>
      <c r="G151" s="96"/>
      <c r="H151" s="146"/>
      <c r="I151" s="176"/>
      <c r="AK151" s="389" t="s">
        <v>339</v>
      </c>
      <c r="AL151" s="389"/>
      <c r="AM151" s="389"/>
    </row>
    <row r="152" spans="1:39" s="82" customFormat="1" x14ac:dyDescent="0.25">
      <c r="A152" s="98" t="s">
        <v>260</v>
      </c>
      <c r="B152" s="98" t="s">
        <v>61</v>
      </c>
      <c r="C152" s="98" t="s">
        <v>36</v>
      </c>
      <c r="D152" s="101" t="s">
        <v>273</v>
      </c>
      <c r="E152" s="94">
        <v>36372</v>
      </c>
      <c r="F152" s="97" t="s">
        <v>51</v>
      </c>
      <c r="G152" s="96"/>
      <c r="H152" s="146"/>
      <c r="I152" s="176"/>
      <c r="AK152" s="389" t="s">
        <v>339</v>
      </c>
      <c r="AL152" s="389"/>
      <c r="AM152" s="389"/>
    </row>
    <row r="153" spans="1:39" s="82" customFormat="1" x14ac:dyDescent="0.25">
      <c r="A153" s="98" t="s">
        <v>260</v>
      </c>
      <c r="B153" s="98" t="s">
        <v>61</v>
      </c>
      <c r="C153" s="98" t="s">
        <v>44</v>
      </c>
      <c r="D153" s="301" t="s">
        <v>274</v>
      </c>
      <c r="E153" s="300">
        <v>100000</v>
      </c>
      <c r="F153" s="97" t="s">
        <v>51</v>
      </c>
      <c r="G153" s="96"/>
      <c r="H153" s="146"/>
      <c r="I153" s="176"/>
      <c r="AK153" s="389" t="s">
        <v>339</v>
      </c>
      <c r="AL153" s="389"/>
      <c r="AM153" s="389"/>
    </row>
    <row r="154" spans="1:39" s="160" customFormat="1" x14ac:dyDescent="0.25">
      <c r="A154" s="98" t="s">
        <v>260</v>
      </c>
      <c r="B154" s="98" t="s">
        <v>61</v>
      </c>
      <c r="C154" s="154" t="s">
        <v>46</v>
      </c>
      <c r="D154" s="276" t="s">
        <v>276</v>
      </c>
      <c r="E154" s="277">
        <v>900000</v>
      </c>
      <c r="F154" s="97" t="s">
        <v>11</v>
      </c>
      <c r="G154" s="158"/>
      <c r="H154" s="159" t="s">
        <v>278</v>
      </c>
      <c r="I154" s="177"/>
      <c r="AK154" s="389" t="s">
        <v>339</v>
      </c>
      <c r="AL154" s="390"/>
      <c r="AM154" s="390"/>
    </row>
    <row r="155" spans="1:39" s="82" customFormat="1" x14ac:dyDescent="0.25">
      <c r="A155" s="98" t="s">
        <v>260</v>
      </c>
      <c r="B155" s="98" t="s">
        <v>61</v>
      </c>
      <c r="C155" s="154" t="s">
        <v>46</v>
      </c>
      <c r="D155" s="275" t="s">
        <v>277</v>
      </c>
      <c r="E155" s="274">
        <v>22000</v>
      </c>
      <c r="F155" s="97" t="s">
        <v>11</v>
      </c>
      <c r="G155" s="96"/>
      <c r="H155" s="146"/>
      <c r="I155" s="176"/>
      <c r="AK155" s="389" t="s">
        <v>339</v>
      </c>
      <c r="AL155" s="389"/>
      <c r="AM155" s="389"/>
    </row>
    <row r="156" spans="1:39" s="82" customFormat="1" x14ac:dyDescent="0.25">
      <c r="A156" s="98" t="s">
        <v>279</v>
      </c>
      <c r="B156" s="98" t="s">
        <v>61</v>
      </c>
      <c r="C156" s="98" t="s">
        <v>44</v>
      </c>
      <c r="D156" s="220" t="s">
        <v>268</v>
      </c>
      <c r="E156" s="217">
        <v>51762900</v>
      </c>
      <c r="F156" s="97" t="s">
        <v>51</v>
      </c>
      <c r="G156" s="96" t="s">
        <v>59</v>
      </c>
      <c r="H156" s="146" t="s">
        <v>123</v>
      </c>
      <c r="I156" s="176"/>
      <c r="AK156" s="389" t="s">
        <v>339</v>
      </c>
      <c r="AL156" s="389"/>
      <c r="AM156" s="389"/>
    </row>
    <row r="157" spans="1:39" s="82" customFormat="1" x14ac:dyDescent="0.25">
      <c r="A157" s="98" t="s">
        <v>279</v>
      </c>
      <c r="B157" s="98" t="s">
        <v>61</v>
      </c>
      <c r="C157" s="98" t="s">
        <v>44</v>
      </c>
      <c r="D157" s="286" t="s">
        <v>283</v>
      </c>
      <c r="E157" s="287">
        <v>4730000</v>
      </c>
      <c r="F157" s="97" t="s">
        <v>51</v>
      </c>
      <c r="G157" s="96" t="s">
        <v>285</v>
      </c>
      <c r="H157" s="146" t="s">
        <v>66</v>
      </c>
      <c r="I157" s="176"/>
      <c r="AK157" s="389" t="s">
        <v>339</v>
      </c>
      <c r="AL157" s="389"/>
      <c r="AM157" s="389"/>
    </row>
    <row r="158" spans="1:39" s="82" customFormat="1" ht="14.25" customHeight="1" x14ac:dyDescent="0.25">
      <c r="A158" s="98" t="s">
        <v>279</v>
      </c>
      <c r="B158" s="98" t="s">
        <v>61</v>
      </c>
      <c r="C158" s="98" t="s">
        <v>45</v>
      </c>
      <c r="D158" s="257" t="s">
        <v>282</v>
      </c>
      <c r="E158" s="259">
        <v>1000000</v>
      </c>
      <c r="F158" s="97" t="s">
        <v>53</v>
      </c>
      <c r="G158" s="96" t="s">
        <v>286</v>
      </c>
      <c r="H158" s="146" t="s">
        <v>66</v>
      </c>
      <c r="I158" s="176"/>
      <c r="AK158" s="389" t="s">
        <v>339</v>
      </c>
      <c r="AL158" s="389"/>
      <c r="AM158" s="389"/>
    </row>
    <row r="159" spans="1:39" s="82" customFormat="1" x14ac:dyDescent="0.25">
      <c r="A159" s="98" t="s">
        <v>279</v>
      </c>
      <c r="B159" s="98" t="s">
        <v>61</v>
      </c>
      <c r="C159" s="98" t="s">
        <v>37</v>
      </c>
      <c r="D159" s="96" t="s">
        <v>288</v>
      </c>
      <c r="E159" s="93">
        <v>1110165761</v>
      </c>
      <c r="F159" s="97" t="s">
        <v>53</v>
      </c>
      <c r="G159" s="96"/>
      <c r="H159" s="146" t="s">
        <v>289</v>
      </c>
      <c r="I159" s="176"/>
      <c r="AK159" s="389" t="s">
        <v>339</v>
      </c>
      <c r="AL159" s="389"/>
      <c r="AM159" s="389"/>
    </row>
    <row r="160" spans="1:39" s="82" customFormat="1" x14ac:dyDescent="0.25">
      <c r="A160" s="98" t="s">
        <v>279</v>
      </c>
      <c r="B160" s="98" t="s">
        <v>61</v>
      </c>
      <c r="C160" s="98" t="s">
        <v>47</v>
      </c>
      <c r="D160" s="257" t="s">
        <v>287</v>
      </c>
      <c r="E160" s="259">
        <v>1220000</v>
      </c>
      <c r="F160" s="97" t="s">
        <v>52</v>
      </c>
      <c r="G160" s="96" t="s">
        <v>54</v>
      </c>
      <c r="H160" s="146" t="s">
        <v>66</v>
      </c>
      <c r="I160" s="176"/>
      <c r="AK160" s="389" t="s">
        <v>339</v>
      </c>
      <c r="AL160" s="389"/>
      <c r="AM160" s="389"/>
    </row>
    <row r="161" spans="1:39" s="82" customFormat="1" x14ac:dyDescent="0.25">
      <c r="A161" s="98" t="s">
        <v>290</v>
      </c>
      <c r="B161" s="98" t="s">
        <v>61</v>
      </c>
      <c r="C161" s="98" t="s">
        <v>37</v>
      </c>
      <c r="D161" s="96" t="s">
        <v>273</v>
      </c>
      <c r="E161" s="93">
        <v>167738</v>
      </c>
      <c r="F161" s="97" t="s">
        <v>53</v>
      </c>
      <c r="G161" s="96"/>
      <c r="H161" s="146" t="s">
        <v>66</v>
      </c>
      <c r="I161" s="176"/>
      <c r="AK161" s="389" t="s">
        <v>339</v>
      </c>
      <c r="AL161" s="389"/>
      <c r="AM161" s="389"/>
    </row>
    <row r="162" spans="1:39" s="82" customFormat="1" x14ac:dyDescent="0.25">
      <c r="A162" s="98" t="s">
        <v>290</v>
      </c>
      <c r="B162" s="98" t="s">
        <v>61</v>
      </c>
      <c r="C162" s="98" t="s">
        <v>45</v>
      </c>
      <c r="D162" s="228" t="s">
        <v>264</v>
      </c>
      <c r="E162" s="229">
        <v>723070916</v>
      </c>
      <c r="F162" s="97" t="s">
        <v>53</v>
      </c>
      <c r="G162" s="96"/>
      <c r="H162" s="146" t="s">
        <v>66</v>
      </c>
      <c r="I162" s="176"/>
      <c r="AK162" s="389" t="s">
        <v>339</v>
      </c>
      <c r="AL162" s="389"/>
      <c r="AM162" s="389"/>
    </row>
    <row r="163" spans="1:39" s="82" customFormat="1" x14ac:dyDescent="0.25">
      <c r="A163" s="98" t="s">
        <v>290</v>
      </c>
      <c r="B163" s="98" t="s">
        <v>61</v>
      </c>
      <c r="C163" s="98" t="s">
        <v>45</v>
      </c>
      <c r="D163" s="220" t="s">
        <v>292</v>
      </c>
      <c r="E163" s="218">
        <v>22387200</v>
      </c>
      <c r="F163" s="97" t="s">
        <v>53</v>
      </c>
      <c r="G163" s="96"/>
      <c r="H163" s="146" t="s">
        <v>113</v>
      </c>
      <c r="I163" s="176"/>
      <c r="AK163" s="389" t="s">
        <v>339</v>
      </c>
      <c r="AL163" s="389"/>
      <c r="AM163" s="389"/>
    </row>
    <row r="164" spans="1:39" s="82" customFormat="1" x14ac:dyDescent="0.25">
      <c r="A164" s="98" t="s">
        <v>290</v>
      </c>
      <c r="B164" s="98" t="s">
        <v>61</v>
      </c>
      <c r="C164" s="98" t="s">
        <v>37</v>
      </c>
      <c r="D164" s="96" t="s">
        <v>293</v>
      </c>
      <c r="E164" s="93">
        <v>57860000</v>
      </c>
      <c r="F164" s="97" t="s">
        <v>53</v>
      </c>
      <c r="G164" s="96"/>
      <c r="H164" s="146" t="s">
        <v>267</v>
      </c>
      <c r="I164" s="176"/>
      <c r="AK164" s="389" t="s">
        <v>339</v>
      </c>
      <c r="AL164" s="389"/>
      <c r="AM164" s="389"/>
    </row>
    <row r="165" spans="1:39" s="82" customFormat="1" x14ac:dyDescent="0.25">
      <c r="A165" s="98" t="s">
        <v>290</v>
      </c>
      <c r="B165" s="98" t="s">
        <v>61</v>
      </c>
      <c r="C165" s="98" t="s">
        <v>36</v>
      </c>
      <c r="D165" s="96" t="s">
        <v>275</v>
      </c>
      <c r="E165" s="93">
        <v>723070000</v>
      </c>
      <c r="F165" s="97" t="s">
        <v>51</v>
      </c>
      <c r="G165" s="96"/>
      <c r="H165" s="146" t="s">
        <v>66</v>
      </c>
      <c r="I165" s="176"/>
      <c r="AK165" s="389" t="s">
        <v>339</v>
      </c>
      <c r="AL165" s="389"/>
      <c r="AM165" s="389"/>
    </row>
    <row r="166" spans="1:39" s="82" customFormat="1" x14ac:dyDescent="0.25">
      <c r="A166" s="98" t="s">
        <v>290</v>
      </c>
      <c r="B166" s="98" t="s">
        <v>61</v>
      </c>
      <c r="C166" s="98" t="s">
        <v>44</v>
      </c>
      <c r="D166" s="220" t="s">
        <v>291</v>
      </c>
      <c r="E166" s="218">
        <v>17798000</v>
      </c>
      <c r="F166" s="97" t="s">
        <v>51</v>
      </c>
      <c r="G166" s="96" t="s">
        <v>59</v>
      </c>
      <c r="H166" s="146" t="s">
        <v>140</v>
      </c>
      <c r="I166" s="176"/>
      <c r="AK166" s="389" t="s">
        <v>339</v>
      </c>
      <c r="AL166" s="389"/>
      <c r="AM166" s="389"/>
    </row>
    <row r="167" spans="1:39" s="82" customFormat="1" x14ac:dyDescent="0.25">
      <c r="A167" s="98" t="s">
        <v>290</v>
      </c>
      <c r="B167" s="98" t="s">
        <v>61</v>
      </c>
      <c r="C167" s="98" t="s">
        <v>44</v>
      </c>
      <c r="D167" s="281" t="s">
        <v>294</v>
      </c>
      <c r="E167" s="282">
        <v>3000000</v>
      </c>
      <c r="F167" s="97" t="s">
        <v>51</v>
      </c>
      <c r="G167" s="96" t="s">
        <v>114</v>
      </c>
      <c r="H167" s="146" t="s">
        <v>295</v>
      </c>
      <c r="I167" s="176"/>
      <c r="AK167" s="389" t="s">
        <v>339</v>
      </c>
      <c r="AL167" s="389"/>
      <c r="AM167" s="389"/>
    </row>
    <row r="168" spans="1:39" s="82" customFormat="1" x14ac:dyDescent="0.25">
      <c r="A168" s="98" t="s">
        <v>290</v>
      </c>
      <c r="B168" s="98" t="s">
        <v>61</v>
      </c>
      <c r="C168" s="98" t="s">
        <v>44</v>
      </c>
      <c r="D168" s="286" t="s">
        <v>296</v>
      </c>
      <c r="E168" s="287">
        <v>200000</v>
      </c>
      <c r="F168" s="97" t="s">
        <v>51</v>
      </c>
      <c r="G168" s="96" t="s">
        <v>54</v>
      </c>
      <c r="H168" s="146" t="s">
        <v>66</v>
      </c>
      <c r="I168" s="176"/>
      <c r="AK168" s="389" t="s">
        <v>339</v>
      </c>
      <c r="AL168" s="389"/>
      <c r="AM168" s="389"/>
    </row>
    <row r="169" spans="1:39" s="82" customFormat="1" x14ac:dyDescent="0.25">
      <c r="A169" s="98" t="s">
        <v>290</v>
      </c>
      <c r="B169" s="98" t="s">
        <v>61</v>
      </c>
      <c r="C169" s="98" t="s">
        <v>44</v>
      </c>
      <c r="D169" s="281" t="s">
        <v>297</v>
      </c>
      <c r="E169" s="282">
        <v>219000</v>
      </c>
      <c r="F169" s="97" t="s">
        <v>51</v>
      </c>
      <c r="G169" s="96" t="s">
        <v>54</v>
      </c>
      <c r="H169" s="146" t="s">
        <v>66</v>
      </c>
      <c r="I169" s="176"/>
      <c r="AK169" s="389" t="s">
        <v>339</v>
      </c>
      <c r="AL169" s="389"/>
      <c r="AM169" s="389"/>
    </row>
    <row r="170" spans="1:39" x14ac:dyDescent="0.25">
      <c r="E170" s="3">
        <f>SUM(E8:E169)</f>
        <v>14182187178</v>
      </c>
    </row>
    <row r="171" spans="1:39" x14ac:dyDescent="0.25">
      <c r="E171" s="3">
        <f>SUBTOTAL(9,E8:E170)</f>
        <v>28364374356</v>
      </c>
    </row>
    <row r="172" spans="1:39" x14ac:dyDescent="0.25">
      <c r="E172" s="3">
        <f>E162+E142+E58</f>
        <v>1696882392</v>
      </c>
    </row>
    <row r="173" spans="1:39" x14ac:dyDescent="0.25">
      <c r="E173" s="230">
        <f>E171-E172</f>
        <v>26667491964</v>
      </c>
    </row>
    <row r="174" spans="1:39" x14ac:dyDescent="0.25">
      <c r="E174" s="3">
        <f>SUBTOTAL(9,E8:E173)</f>
        <v>56728748712</v>
      </c>
    </row>
    <row r="175" spans="1:39" x14ac:dyDescent="0.25">
      <c r="E175" s="3">
        <f>E162+E142+E58</f>
        <v>1696882392</v>
      </c>
    </row>
    <row r="176" spans="1:39" x14ac:dyDescent="0.25">
      <c r="E176" s="3">
        <f>E174-E175</f>
        <v>55031866320</v>
      </c>
    </row>
  </sheetData>
  <dataConsolidate/>
  <mergeCells count="10">
    <mergeCell ref="A6:A7"/>
    <mergeCell ref="C6:C7"/>
    <mergeCell ref="D6:D7"/>
    <mergeCell ref="E6:E7"/>
    <mergeCell ref="I6:I7"/>
    <mergeCell ref="H6:H7"/>
    <mergeCell ref="G6:G7"/>
    <mergeCell ref="C1:F1"/>
    <mergeCell ref="F6:F7"/>
    <mergeCell ref="B6:B7"/>
  </mergeCells>
  <phoneticPr fontId="3" type="noConversion"/>
  <conditionalFormatting sqref="AK8:AK169">
    <cfRule type="containsText" dxfId="7" priority="1" stopIfTrue="1" operator="containsText" text="Khác">
      <formula>NOT(ISERROR(SEARCH("Khác",AK8)))</formula>
    </cfRule>
  </conditionalFormatting>
  <dataValidations count="2">
    <dataValidation type="list" allowBlank="1" showInputMessage="1" showErrorMessage="1" sqref="AM26">
      <formula1>$AM$16:$AM$26</formula1>
    </dataValidation>
    <dataValidation type="list" allowBlank="1" showInputMessage="1" showErrorMessage="1" sqref="AK8:AK169">
      <formula1>$AM$8:$AM$27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F70"/>
  <sheetViews>
    <sheetView tabSelected="1" workbookViewId="0">
      <selection activeCell="A4" sqref="A4:IV70"/>
    </sheetView>
  </sheetViews>
  <sheetFormatPr defaultRowHeight="12.75" x14ac:dyDescent="0.2"/>
  <sheetData>
    <row r="4" spans="1:31" s="397" customFormat="1" ht="24.75" customHeight="1" x14ac:dyDescent="0.35">
      <c r="A4" s="391"/>
      <c r="B4" s="392" t="s">
        <v>340</v>
      </c>
      <c r="C4" s="393"/>
      <c r="D4" s="393"/>
      <c r="E4" s="393"/>
      <c r="F4" s="393"/>
      <c r="G4" s="393">
        <f t="shared" ref="G4" si="0">SUM(G5:G8)</f>
        <v>259267871</v>
      </c>
      <c r="H4" s="393"/>
      <c r="I4" s="393">
        <f>SUM(I5:I8)</f>
        <v>826483646</v>
      </c>
      <c r="J4" s="393">
        <f>SUM(J5:J8)</f>
        <v>2480064716</v>
      </c>
      <c r="K4" s="393">
        <f>SUM(K5:K8)</f>
        <v>930463147</v>
      </c>
      <c r="L4" s="393">
        <f>SUM(L5:L8)</f>
        <v>1477574487</v>
      </c>
      <c r="M4" s="393">
        <f>SUM(M5:M8)</f>
        <v>5973853867</v>
      </c>
      <c r="N4" s="394"/>
      <c r="O4" s="395"/>
      <c r="P4" s="396"/>
      <c r="Q4" s="396"/>
      <c r="R4" s="396"/>
      <c r="S4" s="396"/>
      <c r="T4" s="396"/>
      <c r="U4" s="396"/>
    </row>
    <row r="5" spans="1:31" s="397" customFormat="1" ht="26.25" customHeight="1" x14ac:dyDescent="0.35">
      <c r="A5" s="398"/>
      <c r="B5" s="399" t="s">
        <v>341</v>
      </c>
      <c r="C5" s="400"/>
      <c r="D5" s="401"/>
      <c r="E5" s="400"/>
      <c r="F5" s="400"/>
      <c r="G5" s="402"/>
      <c r="H5" s="400"/>
      <c r="I5" s="400">
        <v>76000000</v>
      </c>
      <c r="J5" s="403">
        <f>162413116</f>
        <v>162413116</v>
      </c>
      <c r="K5" s="403">
        <v>0</v>
      </c>
      <c r="L5" s="403">
        <v>0</v>
      </c>
      <c r="M5" s="400">
        <f>I5+J5+K5+L5</f>
        <v>238413116</v>
      </c>
      <c r="N5" s="404" t="s">
        <v>342</v>
      </c>
      <c r="O5" s="395"/>
      <c r="P5" s="396"/>
      <c r="Q5" s="396"/>
      <c r="R5" s="396"/>
      <c r="S5" s="396"/>
      <c r="T5" s="396"/>
      <c r="U5" s="396"/>
    </row>
    <row r="6" spans="1:31" s="397" customFormat="1" ht="24.75" customHeight="1" x14ac:dyDescent="0.25">
      <c r="A6" s="405" t="s">
        <v>343</v>
      </c>
      <c r="B6" s="406"/>
      <c r="C6" s="400"/>
      <c r="D6" s="401"/>
      <c r="E6" s="400"/>
      <c r="F6" s="400"/>
      <c r="G6" s="401"/>
      <c r="H6" s="400"/>
      <c r="I6" s="400">
        <v>350000000</v>
      </c>
      <c r="J6" s="400">
        <f>1740000000</f>
        <v>1740000000</v>
      </c>
      <c r="K6" s="400">
        <v>100000000</v>
      </c>
      <c r="L6" s="400">
        <f>600000000+70000000+500000000</f>
        <v>1170000000</v>
      </c>
      <c r="M6" s="400">
        <f>I6+J6+K6+L6</f>
        <v>3360000000</v>
      </c>
      <c r="N6" s="404" t="s">
        <v>344</v>
      </c>
      <c r="O6" s="395"/>
      <c r="P6" s="396"/>
      <c r="Q6" s="396"/>
      <c r="R6" s="396"/>
      <c r="S6" s="396"/>
      <c r="T6" s="396"/>
      <c r="U6" s="396"/>
    </row>
    <row r="7" spans="1:31" s="397" customFormat="1" ht="19.5" customHeight="1" x14ac:dyDescent="0.25">
      <c r="A7" s="407"/>
      <c r="B7" s="408" t="s">
        <v>345</v>
      </c>
      <c r="C7" s="409"/>
      <c r="D7" s="410"/>
      <c r="E7" s="409"/>
      <c r="F7" s="409"/>
      <c r="G7" s="410"/>
      <c r="H7" s="409"/>
      <c r="I7" s="409">
        <f>I68</f>
        <v>0</v>
      </c>
      <c r="J7" s="409"/>
      <c r="K7" s="409">
        <v>100000000</v>
      </c>
      <c r="L7" s="409">
        <v>0</v>
      </c>
      <c r="M7" s="409">
        <f>I7+J7+K7+L7</f>
        <v>100000000</v>
      </c>
      <c r="N7" s="411"/>
      <c r="O7" s="395"/>
      <c r="P7" s="396"/>
      <c r="Q7" s="396"/>
      <c r="R7" s="396"/>
      <c r="S7" s="396"/>
      <c r="T7" s="396"/>
      <c r="U7" s="396"/>
    </row>
    <row r="8" spans="1:31" s="397" customFormat="1" ht="19.5" customHeight="1" x14ac:dyDescent="0.3">
      <c r="A8" s="412"/>
      <c r="B8" s="413" t="s">
        <v>346</v>
      </c>
      <c r="C8" s="414"/>
      <c r="D8" s="415"/>
      <c r="E8" s="414"/>
      <c r="F8" s="414"/>
      <c r="G8" s="415">
        <f>G10+G17+G44+G48+G52+G60+G64+G65+G66</f>
        <v>259267871</v>
      </c>
      <c r="H8" s="414"/>
      <c r="I8" s="414">
        <f>I10+I17+I44+I48+I52+I60+I64+I65+I66</f>
        <v>400483646</v>
      </c>
      <c r="J8" s="414">
        <f>J10+J17+J44+J48+J52+J60+J64+J65+J66+J68</f>
        <v>577651600</v>
      </c>
      <c r="K8" s="414">
        <f>K10+K17+K44+K48+K52+K60+K64+K65+K66+K68</f>
        <v>730463147</v>
      </c>
      <c r="L8" s="414">
        <f>L10+L17+L44+L48+L52+L60+L64+L65+L66+L68</f>
        <v>307574487</v>
      </c>
      <c r="M8" s="414">
        <f>M10+M17+M44+M48+M52+M60+M64+M65+M66+M68</f>
        <v>2275440751</v>
      </c>
      <c r="N8" s="416"/>
      <c r="O8" s="395"/>
      <c r="P8" s="396"/>
      <c r="Q8" s="396"/>
      <c r="R8" s="396"/>
      <c r="S8" s="396"/>
      <c r="T8" s="396"/>
      <c r="U8" s="396"/>
    </row>
    <row r="9" spans="1:31" s="397" customFormat="1" ht="22.5" customHeight="1" x14ac:dyDescent="0.2">
      <c r="A9" s="417" t="s">
        <v>19</v>
      </c>
      <c r="B9" s="418" t="s">
        <v>347</v>
      </c>
      <c r="C9" s="419"/>
      <c r="D9" s="420"/>
      <c r="E9" s="420"/>
      <c r="F9" s="420"/>
      <c r="G9" s="420" t="s">
        <v>348</v>
      </c>
      <c r="H9" s="420"/>
      <c r="I9" s="420" t="s">
        <v>349</v>
      </c>
      <c r="J9" s="420" t="s">
        <v>350</v>
      </c>
      <c r="K9" s="420" t="s">
        <v>351</v>
      </c>
      <c r="L9" s="420" t="s">
        <v>352</v>
      </c>
      <c r="M9" s="420" t="s">
        <v>353</v>
      </c>
      <c r="N9" s="421" t="s">
        <v>354</v>
      </c>
      <c r="O9" s="422"/>
      <c r="P9" s="423"/>
      <c r="Q9" s="424"/>
      <c r="R9" s="424"/>
      <c r="S9" s="424"/>
      <c r="T9" s="424"/>
      <c r="U9" s="424"/>
      <c r="V9" s="424"/>
      <c r="W9" s="424"/>
      <c r="X9" s="424"/>
      <c r="Y9" s="424"/>
      <c r="Z9" s="424"/>
      <c r="AA9" s="424"/>
      <c r="AB9" s="424"/>
      <c r="AC9" s="424"/>
      <c r="AD9" s="424"/>
      <c r="AE9" s="424"/>
    </row>
    <row r="10" spans="1:31" s="397" customFormat="1" ht="18" customHeight="1" x14ac:dyDescent="0.3">
      <c r="A10" s="425" t="s">
        <v>355</v>
      </c>
      <c r="B10" s="426" t="s">
        <v>356</v>
      </c>
      <c r="C10" s="427"/>
      <c r="D10" s="427"/>
      <c r="E10" s="427"/>
      <c r="F10" s="427"/>
      <c r="G10" s="427">
        <f>SUM(G11:G16)</f>
        <v>219092000</v>
      </c>
      <c r="H10" s="427"/>
      <c r="I10" s="427">
        <f>SUM(I11:I16)</f>
        <v>361784396</v>
      </c>
      <c r="J10" s="427">
        <f>SUM(J11:J16)</f>
        <v>431954776</v>
      </c>
      <c r="K10" s="427">
        <f>SUM(K11:K16)</f>
        <v>723358887</v>
      </c>
      <c r="L10" s="427">
        <f>SUM(L11:L16)</f>
        <v>256574440</v>
      </c>
      <c r="M10" s="427">
        <f>SUM(M11:M16)</f>
        <v>1992764499</v>
      </c>
      <c r="N10" s="428"/>
      <c r="O10" s="395"/>
      <c r="P10" s="396"/>
      <c r="Q10" s="396"/>
      <c r="R10" s="396"/>
      <c r="S10" s="396"/>
      <c r="T10" s="396"/>
      <c r="U10" s="396"/>
      <c r="V10" s="396"/>
      <c r="W10" s="396"/>
      <c r="X10" s="396"/>
      <c r="Y10" s="396"/>
      <c r="Z10" s="396"/>
      <c r="AA10" s="396"/>
      <c r="AB10" s="396"/>
      <c r="AC10" s="396"/>
      <c r="AD10" s="396"/>
      <c r="AE10" s="396"/>
    </row>
    <row r="11" spans="1:31" s="397" customFormat="1" ht="18" customHeight="1" x14ac:dyDescent="0.25">
      <c r="A11" s="429">
        <v>1</v>
      </c>
      <c r="B11" s="430" t="s">
        <v>357</v>
      </c>
      <c r="C11" s="431"/>
      <c r="D11" s="431"/>
      <c r="E11" s="431"/>
      <c r="F11" s="431" t="s">
        <v>358</v>
      </c>
      <c r="G11" s="431">
        <v>217172000</v>
      </c>
      <c r="H11" s="431"/>
      <c r="I11" s="431">
        <v>323542333</v>
      </c>
      <c r="J11" s="432">
        <v>377913437</v>
      </c>
      <c r="K11" s="432">
        <f>576905871+42010000</f>
        <v>618915871</v>
      </c>
      <c r="L11" s="432">
        <v>251574440</v>
      </c>
      <c r="M11" s="433">
        <f>I11+G11+J11+K11+L11</f>
        <v>1789118081</v>
      </c>
      <c r="N11" s="434"/>
      <c r="O11" s="395"/>
      <c r="P11" s="396"/>
      <c r="Q11" s="396"/>
      <c r="R11" s="396"/>
      <c r="S11" s="396"/>
      <c r="T11" s="396"/>
      <c r="U11" s="396"/>
      <c r="V11" s="396"/>
      <c r="W11" s="396"/>
      <c r="X11" s="396"/>
      <c r="Y11" s="396"/>
      <c r="Z11" s="396"/>
      <c r="AA11" s="396"/>
      <c r="AB11" s="396"/>
      <c r="AC11" s="396"/>
      <c r="AD11" s="396"/>
      <c r="AE11" s="396"/>
    </row>
    <row r="12" spans="1:31" s="397" customFormat="1" ht="18" customHeight="1" x14ac:dyDescent="0.25">
      <c r="A12" s="429">
        <v>2</v>
      </c>
      <c r="B12" s="430" t="s">
        <v>359</v>
      </c>
      <c r="C12" s="431"/>
      <c r="D12" s="431"/>
      <c r="E12" s="431"/>
      <c r="F12" s="431"/>
      <c r="G12" s="431">
        <v>0</v>
      </c>
      <c r="H12" s="431"/>
      <c r="I12" s="431">
        <v>25315000</v>
      </c>
      <c r="J12" s="432">
        <v>48471339</v>
      </c>
      <c r="K12" s="432">
        <v>0</v>
      </c>
      <c r="L12" s="432"/>
      <c r="M12" s="435">
        <f>I12+J12+K12+L12</f>
        <v>73786339</v>
      </c>
      <c r="N12" s="434"/>
      <c r="O12" s="395"/>
      <c r="P12" s="436"/>
      <c r="Q12" s="396"/>
      <c r="R12" s="396"/>
      <c r="S12" s="396"/>
      <c r="T12" s="396"/>
      <c r="U12" s="396"/>
      <c r="V12" s="396"/>
      <c r="W12" s="396"/>
      <c r="X12" s="396"/>
      <c r="Y12" s="396"/>
      <c r="Z12" s="396"/>
      <c r="AA12" s="396"/>
      <c r="AB12" s="396"/>
      <c r="AC12" s="396"/>
      <c r="AD12" s="396"/>
      <c r="AE12" s="396"/>
    </row>
    <row r="13" spans="1:31" s="397" customFormat="1" ht="18" customHeight="1" x14ac:dyDescent="0.25">
      <c r="A13" s="429">
        <v>3</v>
      </c>
      <c r="B13" s="437" t="s">
        <v>360</v>
      </c>
      <c r="C13" s="438"/>
      <c r="D13" s="438"/>
      <c r="E13" s="431"/>
      <c r="F13" s="431"/>
      <c r="G13" s="431"/>
      <c r="H13" s="431"/>
      <c r="I13" s="431">
        <v>8957000</v>
      </c>
      <c r="J13" s="432">
        <v>1740000</v>
      </c>
      <c r="K13" s="432">
        <f>78000000+5000000+2000000</f>
        <v>85000000</v>
      </c>
      <c r="L13" s="432">
        <v>5000000</v>
      </c>
      <c r="M13" s="435">
        <f>I13+J13+K13+L13</f>
        <v>100697000</v>
      </c>
      <c r="N13" s="439"/>
      <c r="O13" s="395"/>
      <c r="P13" s="396"/>
      <c r="Q13" s="396"/>
      <c r="R13" s="396"/>
      <c r="S13" s="396"/>
      <c r="T13" s="396"/>
      <c r="U13" s="396"/>
      <c r="V13" s="396"/>
      <c r="W13" s="396"/>
      <c r="X13" s="396"/>
      <c r="Y13" s="396"/>
      <c r="Z13" s="396"/>
      <c r="AA13" s="396"/>
      <c r="AB13" s="396"/>
      <c r="AC13" s="396"/>
      <c r="AD13" s="396"/>
      <c r="AE13" s="396"/>
    </row>
    <row r="14" spans="1:31" s="397" customFormat="1" ht="18" customHeight="1" x14ac:dyDescent="0.25">
      <c r="A14" s="429">
        <v>4</v>
      </c>
      <c r="B14" s="430" t="s">
        <v>361</v>
      </c>
      <c r="C14" s="438"/>
      <c r="D14" s="438"/>
      <c r="E14" s="431"/>
      <c r="F14" s="431" t="s">
        <v>362</v>
      </c>
      <c r="G14" s="431">
        <v>1920000</v>
      </c>
      <c r="H14" s="431"/>
      <c r="I14" s="431">
        <v>2460000</v>
      </c>
      <c r="J14" s="432">
        <f>3830000</f>
        <v>3830000</v>
      </c>
      <c r="K14" s="432">
        <v>3540000</v>
      </c>
      <c r="L14" s="432"/>
      <c r="M14" s="435">
        <f>G14+I14+J14+K14+L14</f>
        <v>11750000</v>
      </c>
      <c r="N14" s="439"/>
      <c r="O14" s="395"/>
      <c r="P14" s="396"/>
      <c r="Q14" s="396"/>
      <c r="R14" s="396"/>
      <c r="S14" s="396"/>
      <c r="T14" s="396"/>
      <c r="U14" s="396"/>
      <c r="V14" s="396"/>
      <c r="W14" s="396"/>
      <c r="X14" s="396"/>
      <c r="Y14" s="396"/>
      <c r="Z14" s="396"/>
      <c r="AA14" s="396"/>
      <c r="AB14" s="396"/>
      <c r="AC14" s="396"/>
      <c r="AD14" s="396"/>
      <c r="AE14" s="396"/>
    </row>
    <row r="15" spans="1:31" s="397" customFormat="1" ht="18" customHeight="1" x14ac:dyDescent="0.25">
      <c r="A15" s="429">
        <v>5</v>
      </c>
      <c r="B15" s="430" t="s">
        <v>363</v>
      </c>
      <c r="C15" s="431"/>
      <c r="D15" s="431"/>
      <c r="E15" s="431"/>
      <c r="F15" s="431"/>
      <c r="G15" s="431"/>
      <c r="H15" s="431"/>
      <c r="I15" s="431">
        <v>1510063</v>
      </c>
      <c r="J15" s="432"/>
      <c r="K15" s="432">
        <v>5903016</v>
      </c>
      <c r="L15" s="432"/>
      <c r="M15" s="435">
        <f>I15+J15+K15+L15</f>
        <v>7413079</v>
      </c>
      <c r="N15" s="434"/>
      <c r="O15" s="395"/>
      <c r="P15" s="396"/>
      <c r="Q15" s="396"/>
      <c r="R15" s="396"/>
      <c r="S15" s="396"/>
      <c r="T15" s="396"/>
      <c r="U15" s="396"/>
      <c r="V15" s="396"/>
      <c r="W15" s="396"/>
      <c r="X15" s="396"/>
      <c r="Y15" s="396"/>
      <c r="Z15" s="396"/>
      <c r="AA15" s="396"/>
      <c r="AB15" s="396"/>
      <c r="AC15" s="396"/>
      <c r="AD15" s="396"/>
      <c r="AE15" s="396"/>
    </row>
    <row r="16" spans="1:31" s="397" customFormat="1" ht="18" customHeight="1" x14ac:dyDescent="0.25">
      <c r="A16" s="429">
        <v>6</v>
      </c>
      <c r="B16" s="430" t="s">
        <v>364</v>
      </c>
      <c r="C16" s="431"/>
      <c r="D16" s="431"/>
      <c r="E16" s="431"/>
      <c r="F16" s="431"/>
      <c r="G16" s="431"/>
      <c r="H16" s="431"/>
      <c r="I16" s="431">
        <v>0</v>
      </c>
      <c r="J16" s="432">
        <v>0</v>
      </c>
      <c r="K16" s="432">
        <v>10000000</v>
      </c>
      <c r="L16" s="432"/>
      <c r="M16" s="435">
        <f>G16+I16+J16+K16+L16</f>
        <v>10000000</v>
      </c>
      <c r="N16" s="434"/>
      <c r="O16" s="395"/>
      <c r="P16" s="396"/>
      <c r="Q16" s="396"/>
      <c r="R16" s="396"/>
      <c r="S16" s="396"/>
      <c r="T16" s="396"/>
      <c r="U16" s="396"/>
      <c r="V16" s="396"/>
      <c r="W16" s="396"/>
      <c r="X16" s="396"/>
      <c r="Y16" s="396"/>
      <c r="Z16" s="396"/>
      <c r="AA16" s="396"/>
      <c r="AB16" s="396"/>
      <c r="AC16" s="396"/>
      <c r="AD16" s="396"/>
      <c r="AE16" s="396"/>
    </row>
    <row r="17" spans="1:31" s="397" customFormat="1" ht="18" customHeight="1" x14ac:dyDescent="0.3">
      <c r="A17" s="440" t="s">
        <v>365</v>
      </c>
      <c r="B17" s="441" t="s">
        <v>366</v>
      </c>
      <c r="C17" s="442"/>
      <c r="D17" s="442"/>
      <c r="E17" s="442"/>
      <c r="F17" s="442"/>
      <c r="G17" s="442">
        <f>SUM(G18:G41)</f>
        <v>40175871</v>
      </c>
      <c r="H17" s="443"/>
      <c r="I17" s="443">
        <f>SUM(I18:I41)</f>
        <v>7989250</v>
      </c>
      <c r="J17" s="444">
        <f>SUM(J18:J41)</f>
        <v>105116824</v>
      </c>
      <c r="K17" s="444">
        <f>SUM(K18:K41)</f>
        <v>6339260</v>
      </c>
      <c r="L17" s="444">
        <f>SUM(L18:L41)</f>
        <v>1252000</v>
      </c>
      <c r="M17" s="443">
        <f>SUM(M18:M41)</f>
        <v>160873205</v>
      </c>
      <c r="N17" s="445"/>
      <c r="O17" s="446"/>
      <c r="P17" s="447"/>
      <c r="Q17" s="447"/>
      <c r="R17" s="447"/>
      <c r="S17" s="447"/>
      <c r="T17" s="447"/>
      <c r="U17" s="447"/>
      <c r="V17" s="447"/>
      <c r="W17" s="447"/>
      <c r="X17" s="447"/>
      <c r="Y17" s="447"/>
      <c r="Z17" s="447"/>
      <c r="AA17" s="447"/>
      <c r="AB17" s="447"/>
      <c r="AC17" s="447"/>
      <c r="AD17" s="447"/>
      <c r="AE17" s="447"/>
    </row>
    <row r="18" spans="1:31" s="397" customFormat="1" ht="18" customHeight="1" x14ac:dyDescent="0.25">
      <c r="A18" s="429">
        <v>1</v>
      </c>
      <c r="B18" s="448" t="s">
        <v>367</v>
      </c>
      <c r="C18" s="449"/>
      <c r="D18" s="449"/>
      <c r="E18" s="449"/>
      <c r="F18" s="449"/>
      <c r="G18" s="449"/>
      <c r="H18" s="431"/>
      <c r="I18" s="431">
        <f>G18+H18</f>
        <v>0</v>
      </c>
      <c r="J18" s="432">
        <v>0</v>
      </c>
      <c r="K18" s="432">
        <v>160360</v>
      </c>
      <c r="L18" s="432"/>
      <c r="M18" s="435">
        <f>I18+J18+K18+L18</f>
        <v>160360</v>
      </c>
      <c r="N18" s="450"/>
      <c r="O18" s="395"/>
      <c r="P18" s="396"/>
      <c r="Q18" s="396"/>
      <c r="R18" s="396"/>
      <c r="S18" s="396"/>
      <c r="T18" s="396"/>
      <c r="U18" s="396"/>
      <c r="V18" s="396"/>
      <c r="W18" s="396"/>
      <c r="X18" s="396"/>
      <c r="Y18" s="396"/>
      <c r="Z18" s="396"/>
      <c r="AA18" s="396"/>
      <c r="AB18" s="396"/>
      <c r="AC18" s="396"/>
      <c r="AD18" s="396"/>
      <c r="AE18" s="396"/>
    </row>
    <row r="19" spans="1:31" s="397" customFormat="1" ht="18" customHeight="1" x14ac:dyDescent="0.25">
      <c r="A19" s="429">
        <v>2</v>
      </c>
      <c r="B19" s="430" t="s">
        <v>327</v>
      </c>
      <c r="C19" s="431"/>
      <c r="D19" s="431"/>
      <c r="E19" s="449"/>
      <c r="F19" s="451" t="s">
        <v>368</v>
      </c>
      <c r="G19" s="431"/>
      <c r="H19" s="431"/>
      <c r="I19" s="431">
        <v>0</v>
      </c>
      <c r="J19" s="432">
        <v>44556800</v>
      </c>
      <c r="K19" s="432">
        <v>0</v>
      </c>
      <c r="L19" s="432"/>
      <c r="M19" s="435">
        <f>I19+J19+K19+L19</f>
        <v>44556800</v>
      </c>
      <c r="N19" s="434"/>
      <c r="O19" s="395"/>
      <c r="P19" s="396"/>
      <c r="Q19" s="396"/>
      <c r="R19" s="396"/>
      <c r="S19" s="396"/>
      <c r="T19" s="396"/>
      <c r="U19" s="396"/>
      <c r="V19" s="396"/>
      <c r="W19" s="396"/>
      <c r="X19" s="396"/>
      <c r="Y19" s="396"/>
      <c r="Z19" s="396"/>
      <c r="AA19" s="396"/>
      <c r="AB19" s="396"/>
      <c r="AC19" s="396"/>
      <c r="AD19" s="396"/>
      <c r="AE19" s="396"/>
    </row>
    <row r="20" spans="1:31" s="397" customFormat="1" ht="18" customHeight="1" x14ac:dyDescent="0.25">
      <c r="A20" s="429">
        <v>3</v>
      </c>
      <c r="B20" s="430" t="s">
        <v>369</v>
      </c>
      <c r="C20" s="431"/>
      <c r="D20" s="431"/>
      <c r="E20" s="449"/>
      <c r="F20" s="449" t="s">
        <v>370</v>
      </c>
      <c r="G20" s="431">
        <v>14000000</v>
      </c>
      <c r="H20" s="431"/>
      <c r="I20" s="431">
        <v>0</v>
      </c>
      <c r="J20" s="432">
        <v>3960000</v>
      </c>
      <c r="K20" s="432">
        <v>0</v>
      </c>
      <c r="L20" s="432"/>
      <c r="M20" s="435">
        <f>I20+J20+K20+L20+G20</f>
        <v>17960000</v>
      </c>
      <c r="N20" s="434"/>
      <c r="O20" s="395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96"/>
      <c r="AB20" s="396"/>
      <c r="AC20" s="396"/>
      <c r="AD20" s="396"/>
      <c r="AE20" s="396"/>
    </row>
    <row r="21" spans="1:31" s="397" customFormat="1" ht="18" customHeight="1" x14ac:dyDescent="0.25">
      <c r="A21" s="429">
        <v>4</v>
      </c>
      <c r="B21" s="430" t="s">
        <v>371</v>
      </c>
      <c r="C21" s="431"/>
      <c r="D21" s="431"/>
      <c r="E21" s="449"/>
      <c r="F21" s="449" t="s">
        <v>372</v>
      </c>
      <c r="G21" s="431"/>
      <c r="H21" s="431"/>
      <c r="I21" s="431">
        <v>0</v>
      </c>
      <c r="J21" s="432">
        <v>6000000</v>
      </c>
      <c r="K21" s="432">
        <v>0</v>
      </c>
      <c r="L21" s="432"/>
      <c r="M21" s="435">
        <f t="shared" ref="M21:M41" si="1">I21+J21+K21+L21+G21</f>
        <v>6000000</v>
      </c>
      <c r="N21" s="434"/>
      <c r="O21" s="395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96"/>
      <c r="AB21" s="396"/>
      <c r="AC21" s="396"/>
      <c r="AD21" s="396"/>
      <c r="AE21" s="396"/>
    </row>
    <row r="22" spans="1:31" s="397" customFormat="1" ht="18" customHeight="1" x14ac:dyDescent="0.25">
      <c r="A22" s="429">
        <v>5</v>
      </c>
      <c r="B22" s="430" t="s">
        <v>373</v>
      </c>
      <c r="C22" s="431"/>
      <c r="D22" s="431"/>
      <c r="E22" s="449"/>
      <c r="F22" s="451" t="s">
        <v>374</v>
      </c>
      <c r="G22" s="431"/>
      <c r="H22" s="431"/>
      <c r="I22" s="431">
        <v>0</v>
      </c>
      <c r="J22" s="432">
        <f>10574956+596850</f>
        <v>11171806</v>
      </c>
      <c r="K22" s="432">
        <v>0</v>
      </c>
      <c r="L22" s="432"/>
      <c r="M22" s="435">
        <f t="shared" si="1"/>
        <v>11171806</v>
      </c>
      <c r="N22" s="434"/>
      <c r="O22" s="452"/>
      <c r="P22" s="453"/>
      <c r="Q22" s="453"/>
      <c r="R22" s="453"/>
      <c r="S22" s="453"/>
      <c r="T22" s="453"/>
      <c r="U22" s="453"/>
      <c r="V22" s="453"/>
      <c r="W22" s="453"/>
      <c r="X22" s="453"/>
      <c r="Y22" s="453"/>
      <c r="Z22" s="453"/>
      <c r="AA22" s="453"/>
      <c r="AB22" s="453"/>
      <c r="AC22" s="453"/>
      <c r="AD22" s="453"/>
      <c r="AE22" s="453"/>
    </row>
    <row r="23" spans="1:31" s="397" customFormat="1" ht="18" customHeight="1" x14ac:dyDescent="0.25">
      <c r="A23" s="429">
        <v>6</v>
      </c>
      <c r="B23" s="430" t="s">
        <v>375</v>
      </c>
      <c r="C23" s="431"/>
      <c r="D23" s="431"/>
      <c r="E23" s="449"/>
      <c r="F23" s="449"/>
      <c r="G23" s="431"/>
      <c r="H23" s="431"/>
      <c r="I23" s="431">
        <v>0</v>
      </c>
      <c r="J23" s="432">
        <v>0</v>
      </c>
      <c r="K23" s="432">
        <v>0</v>
      </c>
      <c r="L23" s="432"/>
      <c r="M23" s="435">
        <f t="shared" si="1"/>
        <v>0</v>
      </c>
      <c r="N23" s="434"/>
      <c r="O23" s="452"/>
      <c r="P23" s="396"/>
      <c r="Q23" s="396"/>
      <c r="R23" s="396"/>
      <c r="S23" s="453"/>
      <c r="T23" s="453"/>
      <c r="U23" s="453"/>
      <c r="V23" s="453"/>
      <c r="W23" s="453"/>
      <c r="X23" s="453"/>
      <c r="Y23" s="453"/>
      <c r="Z23" s="453"/>
      <c r="AA23" s="453"/>
      <c r="AB23" s="453"/>
      <c r="AC23" s="453"/>
      <c r="AD23" s="453"/>
      <c r="AE23" s="453"/>
    </row>
    <row r="24" spans="1:31" s="397" customFormat="1" ht="18" customHeight="1" x14ac:dyDescent="0.25">
      <c r="A24" s="429">
        <v>7</v>
      </c>
      <c r="B24" s="430" t="s">
        <v>376</v>
      </c>
      <c r="C24" s="431"/>
      <c r="D24" s="431"/>
      <c r="E24" s="449"/>
      <c r="F24" s="449" t="s">
        <v>330</v>
      </c>
      <c r="G24" s="431"/>
      <c r="H24" s="431"/>
      <c r="I24" s="431">
        <v>0</v>
      </c>
      <c r="J24" s="432"/>
      <c r="K24" s="432">
        <v>0</v>
      </c>
      <c r="L24" s="432"/>
      <c r="M24" s="435">
        <f t="shared" si="1"/>
        <v>0</v>
      </c>
      <c r="N24" s="434"/>
      <c r="O24" s="395"/>
      <c r="P24" s="396"/>
      <c r="Q24" s="396"/>
      <c r="R24" s="396"/>
      <c r="S24" s="396"/>
      <c r="T24" s="396"/>
      <c r="U24" s="396"/>
      <c r="V24" s="396"/>
      <c r="W24" s="396"/>
      <c r="X24" s="396"/>
      <c r="Y24" s="396"/>
      <c r="Z24" s="396"/>
      <c r="AA24" s="396"/>
      <c r="AB24" s="396"/>
      <c r="AC24" s="396"/>
      <c r="AD24" s="396"/>
      <c r="AE24" s="396"/>
    </row>
    <row r="25" spans="1:31" s="397" customFormat="1" ht="18" customHeight="1" x14ac:dyDescent="0.25">
      <c r="A25" s="429">
        <v>8</v>
      </c>
      <c r="B25" s="430" t="s">
        <v>312</v>
      </c>
      <c r="C25" s="431"/>
      <c r="D25" s="431"/>
      <c r="E25" s="449"/>
      <c r="F25" s="449" t="s">
        <v>377</v>
      </c>
      <c r="G25" s="431"/>
      <c r="H25" s="431"/>
      <c r="I25" s="431">
        <v>0</v>
      </c>
      <c r="J25" s="432">
        <v>5994014</v>
      </c>
      <c r="K25" s="432">
        <v>0</v>
      </c>
      <c r="L25" s="432"/>
      <c r="M25" s="435">
        <f t="shared" si="1"/>
        <v>5994014</v>
      </c>
      <c r="N25" s="434"/>
      <c r="O25" s="452"/>
      <c r="P25" s="396"/>
      <c r="Q25" s="396"/>
      <c r="R25" s="396"/>
      <c r="S25" s="453"/>
      <c r="T25" s="453"/>
      <c r="U25" s="453"/>
      <c r="V25" s="453"/>
      <c r="W25" s="453"/>
      <c r="X25" s="453"/>
      <c r="Y25" s="453"/>
      <c r="Z25" s="453"/>
      <c r="AA25" s="453"/>
      <c r="AB25" s="453"/>
      <c r="AC25" s="453"/>
      <c r="AD25" s="453"/>
      <c r="AE25" s="453"/>
    </row>
    <row r="26" spans="1:31" s="397" customFormat="1" ht="18" customHeight="1" x14ac:dyDescent="0.25">
      <c r="A26" s="429">
        <v>9</v>
      </c>
      <c r="B26" s="430" t="s">
        <v>318</v>
      </c>
      <c r="C26" s="431"/>
      <c r="D26" s="431"/>
      <c r="E26" s="449"/>
      <c r="F26" s="449" t="s">
        <v>378</v>
      </c>
      <c r="G26" s="431"/>
      <c r="H26" s="431"/>
      <c r="I26" s="431">
        <v>0</v>
      </c>
      <c r="J26" s="432">
        <v>0</v>
      </c>
      <c r="K26" s="432">
        <v>0</v>
      </c>
      <c r="L26" s="432"/>
      <c r="M26" s="435">
        <f t="shared" si="1"/>
        <v>0</v>
      </c>
      <c r="N26" s="434"/>
      <c r="O26" s="452"/>
      <c r="P26" s="396"/>
      <c r="Q26" s="396"/>
      <c r="R26" s="396"/>
      <c r="S26" s="453"/>
      <c r="T26" s="453"/>
      <c r="U26" s="453"/>
      <c r="V26" s="453"/>
      <c r="W26" s="453"/>
      <c r="X26" s="453"/>
      <c r="Y26" s="453"/>
      <c r="Z26" s="453"/>
      <c r="AA26" s="453"/>
      <c r="AB26" s="453"/>
      <c r="AC26" s="453"/>
      <c r="AD26" s="453"/>
      <c r="AE26" s="453"/>
    </row>
    <row r="27" spans="1:31" s="397" customFormat="1" ht="18" customHeight="1" x14ac:dyDescent="0.25">
      <c r="A27" s="429">
        <v>10</v>
      </c>
      <c r="B27" s="430" t="s">
        <v>379</v>
      </c>
      <c r="C27" s="431"/>
      <c r="D27" s="431"/>
      <c r="E27" s="449"/>
      <c r="F27" s="449" t="s">
        <v>380</v>
      </c>
      <c r="G27" s="431">
        <v>3581779</v>
      </c>
      <c r="H27" s="431"/>
      <c r="I27" s="431">
        <v>0</v>
      </c>
      <c r="J27" s="432">
        <v>0</v>
      </c>
      <c r="K27" s="432">
        <v>0</v>
      </c>
      <c r="L27" s="432"/>
      <c r="M27" s="435">
        <f t="shared" si="1"/>
        <v>3581779</v>
      </c>
      <c r="N27" s="434"/>
      <c r="O27" s="452"/>
      <c r="P27" s="396"/>
      <c r="Q27" s="396"/>
      <c r="R27" s="396"/>
      <c r="S27" s="453"/>
      <c r="T27" s="453"/>
      <c r="U27" s="453"/>
      <c r="V27" s="453"/>
      <c r="W27" s="453"/>
      <c r="X27" s="453"/>
      <c r="Y27" s="453"/>
      <c r="Z27" s="453"/>
      <c r="AA27" s="453"/>
      <c r="AB27" s="453"/>
      <c r="AC27" s="453"/>
      <c r="AD27" s="453"/>
      <c r="AE27" s="453"/>
    </row>
    <row r="28" spans="1:31" s="397" customFormat="1" ht="18.75" customHeight="1" x14ac:dyDescent="0.25">
      <c r="A28" s="429">
        <v>11</v>
      </c>
      <c r="B28" s="430" t="s">
        <v>381</v>
      </c>
      <c r="C28" s="431"/>
      <c r="D28" s="431"/>
      <c r="E28" s="449"/>
      <c r="F28" s="449" t="s">
        <v>382</v>
      </c>
      <c r="G28" s="431">
        <v>1935000</v>
      </c>
      <c r="H28" s="431"/>
      <c r="I28" s="431">
        <v>0</v>
      </c>
      <c r="J28" s="432">
        <v>0</v>
      </c>
      <c r="K28" s="432">
        <v>0</v>
      </c>
      <c r="L28" s="432"/>
      <c r="M28" s="435">
        <f t="shared" si="1"/>
        <v>1935000</v>
      </c>
      <c r="N28" s="434"/>
      <c r="O28" s="452"/>
      <c r="P28" s="396"/>
      <c r="Q28" s="396"/>
      <c r="R28" s="396"/>
      <c r="S28" s="453"/>
      <c r="T28" s="453"/>
      <c r="U28" s="453"/>
      <c r="V28" s="453"/>
      <c r="W28" s="453"/>
      <c r="X28" s="453"/>
      <c r="Y28" s="453"/>
      <c r="Z28" s="453"/>
      <c r="AA28" s="453"/>
      <c r="AB28" s="453"/>
      <c r="AC28" s="453"/>
      <c r="AD28" s="453"/>
      <c r="AE28" s="453"/>
    </row>
    <row r="29" spans="1:31" s="397" customFormat="1" ht="18" customHeight="1" x14ac:dyDescent="0.25">
      <c r="A29" s="429">
        <v>12</v>
      </c>
      <c r="B29" s="430" t="s">
        <v>383</v>
      </c>
      <c r="C29" s="431"/>
      <c r="D29" s="431"/>
      <c r="E29" s="449"/>
      <c r="F29" s="449" t="s">
        <v>384</v>
      </c>
      <c r="G29" s="431"/>
      <c r="H29" s="431"/>
      <c r="I29" s="432">
        <v>3696250</v>
      </c>
      <c r="J29" s="432">
        <v>1152500</v>
      </c>
      <c r="K29" s="432">
        <v>2148900</v>
      </c>
      <c r="L29" s="432">
        <v>1252000</v>
      </c>
      <c r="M29" s="435">
        <f t="shared" si="1"/>
        <v>8249650</v>
      </c>
      <c r="N29" s="434"/>
      <c r="O29" s="395"/>
      <c r="P29" s="396"/>
      <c r="Q29" s="396"/>
      <c r="R29" s="396"/>
      <c r="S29" s="396"/>
      <c r="T29" s="396"/>
      <c r="U29" s="396"/>
      <c r="V29" s="396"/>
      <c r="W29" s="396"/>
      <c r="X29" s="396"/>
      <c r="Y29" s="396"/>
      <c r="Z29" s="396"/>
      <c r="AA29" s="396"/>
      <c r="AB29" s="396"/>
      <c r="AC29" s="396"/>
      <c r="AD29" s="396"/>
      <c r="AE29" s="396"/>
    </row>
    <row r="30" spans="1:31" s="397" customFormat="1" ht="18" customHeight="1" x14ac:dyDescent="0.25">
      <c r="A30" s="429">
        <v>13</v>
      </c>
      <c r="B30" s="430" t="s">
        <v>334</v>
      </c>
      <c r="C30" s="431"/>
      <c r="D30" s="431"/>
      <c r="E30" s="449"/>
      <c r="F30" s="449" t="s">
        <v>334</v>
      </c>
      <c r="G30" s="431"/>
      <c r="H30" s="431"/>
      <c r="I30" s="431">
        <v>0</v>
      </c>
      <c r="J30" s="431">
        <v>5619000</v>
      </c>
      <c r="K30" s="431">
        <v>0</v>
      </c>
      <c r="L30" s="431"/>
      <c r="M30" s="435">
        <f t="shared" si="1"/>
        <v>5619000</v>
      </c>
      <c r="N30" s="434"/>
      <c r="O30" s="395"/>
      <c r="P30" s="396"/>
      <c r="Q30" s="396"/>
      <c r="R30" s="396"/>
      <c r="S30" s="396"/>
      <c r="T30" s="396"/>
      <c r="U30" s="396"/>
      <c r="V30" s="396"/>
      <c r="W30" s="396"/>
      <c r="X30" s="396"/>
      <c r="Y30" s="396"/>
      <c r="Z30" s="396"/>
      <c r="AA30" s="396"/>
      <c r="AB30" s="396"/>
      <c r="AC30" s="396"/>
      <c r="AD30" s="396"/>
      <c r="AE30" s="396"/>
    </row>
    <row r="31" spans="1:31" s="397" customFormat="1" ht="18" customHeight="1" x14ac:dyDescent="0.25">
      <c r="A31" s="429">
        <v>14</v>
      </c>
      <c r="B31" s="437" t="s">
        <v>385</v>
      </c>
      <c r="C31" s="431"/>
      <c r="D31" s="431"/>
      <c r="E31" s="449"/>
      <c r="F31" s="449" t="s">
        <v>308</v>
      </c>
      <c r="G31" s="431"/>
      <c r="H31" s="431"/>
      <c r="I31" s="432">
        <v>0</v>
      </c>
      <c r="J31" s="431"/>
      <c r="K31" s="431">
        <v>700000</v>
      </c>
      <c r="L31" s="431"/>
      <c r="M31" s="435">
        <f t="shared" si="1"/>
        <v>700000</v>
      </c>
      <c r="N31" s="434"/>
      <c r="O31" s="395"/>
      <c r="P31" s="396"/>
      <c r="Q31" s="396"/>
      <c r="R31" s="396"/>
      <c r="S31" s="396"/>
      <c r="T31" s="396"/>
      <c r="U31" s="396"/>
      <c r="V31" s="396"/>
      <c r="W31" s="396"/>
      <c r="X31" s="396"/>
      <c r="Y31" s="396"/>
      <c r="Z31" s="396"/>
      <c r="AA31" s="396"/>
      <c r="AB31" s="396"/>
      <c r="AC31" s="396"/>
      <c r="AD31" s="396"/>
      <c r="AE31" s="396"/>
    </row>
    <row r="32" spans="1:31" s="397" customFormat="1" ht="18" customHeight="1" x14ac:dyDescent="0.25">
      <c r="A32" s="429">
        <v>15</v>
      </c>
      <c r="B32" s="437" t="s">
        <v>386</v>
      </c>
      <c r="C32" s="454"/>
      <c r="D32" s="454"/>
      <c r="E32" s="449"/>
      <c r="F32" s="449"/>
      <c r="G32" s="431">
        <v>2210000</v>
      </c>
      <c r="H32" s="431"/>
      <c r="I32" s="432">
        <v>4075000</v>
      </c>
      <c r="J32" s="431"/>
      <c r="K32" s="431">
        <v>830000</v>
      </c>
      <c r="L32" s="431"/>
      <c r="M32" s="435">
        <f t="shared" si="1"/>
        <v>7115000</v>
      </c>
      <c r="N32" s="455"/>
      <c r="O32" s="395"/>
      <c r="P32" s="396"/>
      <c r="Q32" s="396"/>
      <c r="R32" s="396"/>
      <c r="S32" s="396"/>
      <c r="T32" s="396"/>
      <c r="U32" s="396"/>
      <c r="V32" s="396"/>
      <c r="W32" s="396"/>
      <c r="X32" s="396"/>
      <c r="Y32" s="396"/>
      <c r="Z32" s="396"/>
      <c r="AA32" s="396"/>
      <c r="AB32" s="396"/>
      <c r="AC32" s="396"/>
      <c r="AD32" s="396"/>
      <c r="AE32" s="396"/>
    </row>
    <row r="33" spans="1:31" s="397" customFormat="1" ht="18" customHeight="1" x14ac:dyDescent="0.25">
      <c r="A33" s="429">
        <v>16</v>
      </c>
      <c r="B33" s="430" t="s">
        <v>387</v>
      </c>
      <c r="C33" s="431"/>
      <c r="D33" s="431"/>
      <c r="E33" s="449"/>
      <c r="F33" s="449"/>
      <c r="G33" s="431"/>
      <c r="H33" s="431"/>
      <c r="I33" s="432">
        <v>0</v>
      </c>
      <c r="J33" s="431"/>
      <c r="K33" s="431"/>
      <c r="L33" s="431"/>
      <c r="M33" s="435">
        <f t="shared" si="1"/>
        <v>0</v>
      </c>
      <c r="N33" s="434"/>
      <c r="O33" s="395"/>
      <c r="P33" s="396"/>
      <c r="Q33" s="396"/>
      <c r="R33" s="396"/>
      <c r="S33" s="396"/>
      <c r="T33" s="396"/>
      <c r="U33" s="396"/>
      <c r="V33" s="396"/>
      <c r="W33" s="396"/>
      <c r="X33" s="396"/>
      <c r="Y33" s="396"/>
      <c r="Z33" s="396"/>
      <c r="AA33" s="396"/>
      <c r="AB33" s="396"/>
      <c r="AC33" s="396"/>
      <c r="AD33" s="396"/>
      <c r="AE33" s="396"/>
    </row>
    <row r="34" spans="1:31" s="397" customFormat="1" ht="18" customHeight="1" x14ac:dyDescent="0.25">
      <c r="A34" s="429">
        <v>17</v>
      </c>
      <c r="B34" s="430" t="s">
        <v>388</v>
      </c>
      <c r="C34" s="431"/>
      <c r="D34" s="431"/>
      <c r="E34" s="449"/>
      <c r="F34" s="449"/>
      <c r="G34" s="431"/>
      <c r="H34" s="431"/>
      <c r="I34" s="432">
        <v>0</v>
      </c>
      <c r="J34" s="431"/>
      <c r="K34" s="431"/>
      <c r="L34" s="431"/>
      <c r="M34" s="435">
        <f t="shared" si="1"/>
        <v>0</v>
      </c>
      <c r="N34" s="434"/>
      <c r="O34" s="395"/>
      <c r="P34" s="396"/>
      <c r="Q34" s="396"/>
      <c r="R34" s="396"/>
      <c r="S34" s="396"/>
      <c r="T34" s="396"/>
      <c r="U34" s="396"/>
      <c r="V34" s="396"/>
      <c r="W34" s="396"/>
      <c r="X34" s="396"/>
      <c r="Y34" s="396"/>
      <c r="Z34" s="396"/>
      <c r="AA34" s="396"/>
      <c r="AB34" s="396"/>
      <c r="AC34" s="396"/>
      <c r="AD34" s="396"/>
      <c r="AE34" s="396"/>
    </row>
    <row r="35" spans="1:31" s="397" customFormat="1" ht="214.5" x14ac:dyDescent="0.25">
      <c r="A35" s="429">
        <v>18</v>
      </c>
      <c r="B35" s="430" t="s">
        <v>389</v>
      </c>
      <c r="C35" s="431"/>
      <c r="D35" s="431"/>
      <c r="E35" s="449"/>
      <c r="F35" s="449" t="s">
        <v>390</v>
      </c>
      <c r="G35" s="431">
        <v>1648000</v>
      </c>
      <c r="H35" s="431"/>
      <c r="I35" s="432">
        <v>50000</v>
      </c>
      <c r="J35" s="431">
        <v>2379000</v>
      </c>
      <c r="K35" s="431"/>
      <c r="L35" s="431"/>
      <c r="M35" s="435">
        <f t="shared" si="1"/>
        <v>4077000</v>
      </c>
      <c r="N35" s="434"/>
      <c r="O35" s="395"/>
      <c r="P35" s="396"/>
      <c r="Q35" s="396"/>
      <c r="R35" s="396"/>
      <c r="S35" s="396"/>
      <c r="T35" s="396"/>
      <c r="U35" s="396"/>
      <c r="V35" s="396"/>
      <c r="W35" s="396"/>
      <c r="X35" s="396"/>
      <c r="Y35" s="396"/>
      <c r="Z35" s="396"/>
      <c r="AA35" s="396"/>
      <c r="AB35" s="396"/>
      <c r="AC35" s="396"/>
      <c r="AD35" s="396"/>
      <c r="AE35" s="396"/>
    </row>
    <row r="36" spans="1:31" s="397" customFormat="1" ht="18" customHeight="1" x14ac:dyDescent="0.25">
      <c r="A36" s="429">
        <v>19</v>
      </c>
      <c r="B36" s="430" t="s">
        <v>391</v>
      </c>
      <c r="C36" s="431"/>
      <c r="D36" s="431"/>
      <c r="E36" s="449"/>
      <c r="F36" s="449"/>
      <c r="G36" s="431">
        <v>16801092</v>
      </c>
      <c r="H36" s="431"/>
      <c r="I36" s="432">
        <v>0</v>
      </c>
      <c r="J36" s="431"/>
      <c r="K36" s="431"/>
      <c r="L36" s="431"/>
      <c r="M36" s="435">
        <f t="shared" si="1"/>
        <v>16801092</v>
      </c>
      <c r="N36" s="434"/>
      <c r="O36" s="395"/>
      <c r="P36" s="396"/>
      <c r="Q36" s="396"/>
      <c r="R36" s="396"/>
      <c r="S36" s="396"/>
      <c r="T36" s="396"/>
      <c r="U36" s="396"/>
      <c r="V36" s="396"/>
      <c r="W36" s="396"/>
      <c r="X36" s="396"/>
      <c r="Y36" s="396"/>
      <c r="Z36" s="396"/>
      <c r="AA36" s="396"/>
      <c r="AB36" s="396"/>
      <c r="AC36" s="396"/>
      <c r="AD36" s="396"/>
      <c r="AE36" s="396"/>
    </row>
    <row r="37" spans="1:31" s="397" customFormat="1" ht="18" customHeight="1" x14ac:dyDescent="0.25">
      <c r="A37" s="429">
        <v>20</v>
      </c>
      <c r="B37" s="430" t="s">
        <v>392</v>
      </c>
      <c r="C37" s="431"/>
      <c r="D37" s="431"/>
      <c r="E37" s="449"/>
      <c r="F37" s="449"/>
      <c r="G37" s="431"/>
      <c r="H37" s="431"/>
      <c r="I37" s="432">
        <v>0</v>
      </c>
      <c r="J37" s="431"/>
      <c r="K37" s="431">
        <v>1840000</v>
      </c>
      <c r="L37" s="431"/>
      <c r="M37" s="435">
        <f t="shared" si="1"/>
        <v>1840000</v>
      </c>
      <c r="N37" s="434"/>
      <c r="O37" s="395"/>
      <c r="P37" s="396"/>
      <c r="Q37" s="396"/>
      <c r="R37" s="396"/>
      <c r="S37" s="396"/>
      <c r="T37" s="396"/>
      <c r="U37" s="396"/>
      <c r="V37" s="396"/>
      <c r="W37" s="396"/>
      <c r="X37" s="396"/>
      <c r="Y37" s="396"/>
      <c r="Z37" s="396"/>
      <c r="AA37" s="396"/>
      <c r="AB37" s="396"/>
      <c r="AC37" s="396"/>
      <c r="AD37" s="396"/>
      <c r="AE37" s="396"/>
    </row>
    <row r="38" spans="1:31" s="397" customFormat="1" ht="18" customHeight="1" x14ac:dyDescent="0.25">
      <c r="A38" s="429">
        <v>21</v>
      </c>
      <c r="B38" s="430" t="s">
        <v>393</v>
      </c>
      <c r="C38" s="431"/>
      <c r="D38" s="431"/>
      <c r="E38" s="449"/>
      <c r="F38" s="449"/>
      <c r="G38" s="431"/>
      <c r="H38" s="431"/>
      <c r="I38" s="432">
        <v>0</v>
      </c>
      <c r="J38" s="431"/>
      <c r="K38" s="431"/>
      <c r="L38" s="431"/>
      <c r="M38" s="435">
        <f t="shared" si="1"/>
        <v>0</v>
      </c>
      <c r="N38" s="434"/>
      <c r="O38" s="395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96"/>
      <c r="AB38" s="396"/>
      <c r="AC38" s="396"/>
      <c r="AD38" s="396"/>
      <c r="AE38" s="396"/>
    </row>
    <row r="39" spans="1:31" s="397" customFormat="1" ht="18" customHeight="1" x14ac:dyDescent="0.25">
      <c r="A39" s="429">
        <v>22</v>
      </c>
      <c r="B39" s="430" t="s">
        <v>394</v>
      </c>
      <c r="C39" s="431"/>
      <c r="D39" s="431"/>
      <c r="E39" s="449"/>
      <c r="F39" s="449"/>
      <c r="G39" s="431"/>
      <c r="H39" s="431"/>
      <c r="I39" s="432">
        <v>0</v>
      </c>
      <c r="J39" s="431">
        <v>7470000</v>
      </c>
      <c r="K39" s="431"/>
      <c r="L39" s="431"/>
      <c r="M39" s="435">
        <f t="shared" si="1"/>
        <v>7470000</v>
      </c>
      <c r="N39" s="434"/>
      <c r="O39" s="395"/>
      <c r="P39" s="396"/>
      <c r="Q39" s="396"/>
      <c r="R39" s="396"/>
      <c r="S39" s="396"/>
      <c r="T39" s="396"/>
      <c r="U39" s="396"/>
      <c r="V39" s="396"/>
      <c r="W39" s="396"/>
      <c r="X39" s="396"/>
      <c r="Y39" s="396"/>
      <c r="Z39" s="396"/>
      <c r="AA39" s="396"/>
      <c r="AB39" s="396"/>
      <c r="AC39" s="396"/>
      <c r="AD39" s="396"/>
      <c r="AE39" s="396"/>
    </row>
    <row r="40" spans="1:31" s="397" customFormat="1" ht="18" customHeight="1" x14ac:dyDescent="0.25">
      <c r="A40" s="429">
        <v>23</v>
      </c>
      <c r="B40" s="430" t="s">
        <v>395</v>
      </c>
      <c r="C40" s="431"/>
      <c r="D40" s="431"/>
      <c r="E40" s="449"/>
      <c r="F40" s="449" t="s">
        <v>396</v>
      </c>
      <c r="G40" s="431"/>
      <c r="H40" s="431"/>
      <c r="I40" s="432">
        <f>58000+110000</f>
        <v>168000</v>
      </c>
      <c r="J40" s="431">
        <f>412500</f>
        <v>412500</v>
      </c>
      <c r="K40" s="431">
        <v>660000</v>
      </c>
      <c r="L40" s="431"/>
      <c r="M40" s="435">
        <f t="shared" si="1"/>
        <v>1240500</v>
      </c>
      <c r="N40" s="434"/>
      <c r="O40" s="395"/>
      <c r="P40" s="396"/>
      <c r="Q40" s="396"/>
      <c r="R40" s="396"/>
      <c r="S40" s="396"/>
      <c r="T40" s="396"/>
      <c r="U40" s="396"/>
      <c r="V40" s="396"/>
      <c r="W40" s="396"/>
      <c r="X40" s="396"/>
      <c r="Y40" s="396"/>
      <c r="Z40" s="396"/>
      <c r="AA40" s="396"/>
      <c r="AB40" s="396"/>
      <c r="AC40" s="396"/>
      <c r="AD40" s="396"/>
      <c r="AE40" s="396"/>
    </row>
    <row r="41" spans="1:31" s="397" customFormat="1" ht="18" customHeight="1" x14ac:dyDescent="0.25">
      <c r="A41" s="429">
        <v>24</v>
      </c>
      <c r="B41" s="430" t="s">
        <v>397</v>
      </c>
      <c r="C41" s="431"/>
      <c r="D41" s="431"/>
      <c r="E41" s="449"/>
      <c r="F41" s="449" t="s">
        <v>398</v>
      </c>
      <c r="G41" s="431"/>
      <c r="H41" s="431"/>
      <c r="I41" s="431">
        <v>0</v>
      </c>
      <c r="J41" s="431">
        <v>16401204</v>
      </c>
      <c r="K41" s="431"/>
      <c r="L41" s="431"/>
      <c r="M41" s="435">
        <f t="shared" si="1"/>
        <v>16401204</v>
      </c>
      <c r="N41" s="434"/>
      <c r="O41" s="395"/>
      <c r="P41" s="396"/>
      <c r="Q41" s="396"/>
      <c r="R41" s="396"/>
      <c r="S41" s="396"/>
      <c r="T41" s="396"/>
      <c r="U41" s="396"/>
      <c r="V41" s="396"/>
      <c r="W41" s="396"/>
      <c r="X41" s="396"/>
      <c r="Y41" s="396"/>
      <c r="Z41" s="396"/>
      <c r="AA41" s="396"/>
      <c r="AB41" s="396"/>
      <c r="AC41" s="396"/>
      <c r="AD41" s="396"/>
      <c r="AE41" s="396"/>
    </row>
    <row r="42" spans="1:31" s="397" customFormat="1" ht="18" customHeight="1" x14ac:dyDescent="0.25">
      <c r="A42" s="429">
        <v>25</v>
      </c>
      <c r="B42" s="430" t="s">
        <v>316</v>
      </c>
      <c r="C42" s="431"/>
      <c r="D42" s="431"/>
      <c r="E42" s="449"/>
      <c r="F42" s="449"/>
      <c r="G42" s="431"/>
      <c r="H42" s="431"/>
      <c r="I42" s="431"/>
      <c r="J42" s="431"/>
      <c r="K42" s="431"/>
      <c r="L42" s="431"/>
      <c r="M42" s="435"/>
      <c r="N42" s="434"/>
      <c r="O42" s="395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96"/>
      <c r="AB42" s="396"/>
      <c r="AC42" s="396"/>
      <c r="AD42" s="396"/>
      <c r="AE42" s="396"/>
    </row>
    <row r="43" spans="1:31" s="397" customFormat="1" ht="17.25" customHeight="1" x14ac:dyDescent="0.25">
      <c r="A43" s="429"/>
      <c r="B43" s="430"/>
      <c r="C43" s="431"/>
      <c r="D43" s="431"/>
      <c r="E43" s="449"/>
      <c r="F43" s="449"/>
      <c r="G43" s="431"/>
      <c r="H43" s="431"/>
      <c r="I43" s="431"/>
      <c r="J43" s="431"/>
      <c r="K43" s="431"/>
      <c r="L43" s="431"/>
      <c r="M43" s="435"/>
      <c r="N43" s="434"/>
      <c r="O43" s="395"/>
      <c r="P43" s="396"/>
      <c r="Q43" s="396"/>
      <c r="R43" s="396"/>
      <c r="S43" s="396"/>
      <c r="T43" s="396"/>
      <c r="U43" s="396"/>
      <c r="V43" s="396"/>
      <c r="W43" s="396"/>
      <c r="X43" s="396"/>
      <c r="Y43" s="396"/>
      <c r="Z43" s="396"/>
      <c r="AA43" s="396"/>
      <c r="AB43" s="396"/>
      <c r="AC43" s="396"/>
      <c r="AD43" s="396"/>
      <c r="AE43" s="396"/>
    </row>
    <row r="44" spans="1:31" s="397" customFormat="1" ht="18" customHeight="1" x14ac:dyDescent="0.3">
      <c r="A44" s="440" t="s">
        <v>399</v>
      </c>
      <c r="B44" s="441" t="s">
        <v>400</v>
      </c>
      <c r="C44" s="442">
        <f t="shared" ref="C44:G44" si="2">SUM(C45:C47)</f>
        <v>0</v>
      </c>
      <c r="D44" s="442">
        <f t="shared" si="2"/>
        <v>0</v>
      </c>
      <c r="E44" s="442">
        <f t="shared" si="2"/>
        <v>0</v>
      </c>
      <c r="F44" s="442"/>
      <c r="G44" s="442">
        <f t="shared" si="2"/>
        <v>0</v>
      </c>
      <c r="H44" s="442"/>
      <c r="I44" s="443">
        <f>SUM(I45:I47)</f>
        <v>30710000</v>
      </c>
      <c r="J44" s="443">
        <f>SUM(J45:J47)</f>
        <v>5580000</v>
      </c>
      <c r="K44" s="443">
        <f>SUM(K45:K47)</f>
        <v>0</v>
      </c>
      <c r="L44" s="443">
        <f>SUM(L45:L47)</f>
        <v>16000000</v>
      </c>
      <c r="M44" s="443">
        <f>SUM(M45:M47)</f>
        <v>52290000</v>
      </c>
      <c r="N44" s="445"/>
      <c r="O44" s="456"/>
      <c r="P44" s="396"/>
      <c r="Q44" s="396"/>
      <c r="R44" s="457"/>
      <c r="S44" s="457"/>
      <c r="T44" s="457"/>
      <c r="U44" s="457"/>
      <c r="V44" s="457"/>
      <c r="W44" s="457"/>
      <c r="X44" s="457"/>
      <c r="Y44" s="457"/>
      <c r="Z44" s="457"/>
      <c r="AA44" s="457"/>
      <c r="AB44" s="457"/>
      <c r="AC44" s="457"/>
      <c r="AD44" s="457"/>
      <c r="AE44" s="457"/>
    </row>
    <row r="45" spans="1:31" s="397" customFormat="1" ht="18" customHeight="1" x14ac:dyDescent="0.25">
      <c r="A45" s="429">
        <v>1</v>
      </c>
      <c r="B45" s="430" t="s">
        <v>401</v>
      </c>
      <c r="C45" s="431"/>
      <c r="D45" s="431"/>
      <c r="E45" s="431">
        <f>C45+D45</f>
        <v>0</v>
      </c>
      <c r="F45" s="431"/>
      <c r="G45" s="431"/>
      <c r="H45" s="431"/>
      <c r="I45" s="431">
        <f>G45+H45</f>
        <v>0</v>
      </c>
      <c r="J45" s="431"/>
      <c r="K45" s="431"/>
      <c r="L45" s="431"/>
      <c r="M45" s="435">
        <f t="shared" ref="M45:M47" si="3">I45+J45+K45+L45</f>
        <v>0</v>
      </c>
      <c r="N45" s="434"/>
      <c r="O45" s="395"/>
      <c r="P45" s="396"/>
      <c r="Q45" s="396"/>
      <c r="R45" s="396"/>
      <c r="S45" s="396"/>
      <c r="T45" s="396"/>
      <c r="U45" s="396"/>
      <c r="V45" s="396"/>
      <c r="W45" s="396"/>
      <c r="X45" s="396"/>
      <c r="Y45" s="396"/>
      <c r="Z45" s="396"/>
      <c r="AA45" s="396"/>
      <c r="AB45" s="396"/>
      <c r="AC45" s="396"/>
      <c r="AD45" s="396"/>
      <c r="AE45" s="396"/>
    </row>
    <row r="46" spans="1:31" s="397" customFormat="1" ht="36.75" customHeight="1" x14ac:dyDescent="0.25">
      <c r="A46" s="429">
        <v>2</v>
      </c>
      <c r="B46" s="430" t="s">
        <v>402</v>
      </c>
      <c r="C46" s="431"/>
      <c r="D46" s="431"/>
      <c r="E46" s="431"/>
      <c r="F46" s="431"/>
      <c r="G46" s="431"/>
      <c r="H46" s="431"/>
      <c r="I46" s="432">
        <f>12000000+18710000</f>
        <v>30710000</v>
      </c>
      <c r="J46" s="431">
        <f>4590000+990000</f>
        <v>5580000</v>
      </c>
      <c r="K46" s="431"/>
      <c r="L46" s="431">
        <v>16000000</v>
      </c>
      <c r="M46" s="435">
        <f>I46+J46+K46+L46</f>
        <v>52290000</v>
      </c>
      <c r="N46" s="434"/>
      <c r="O46" s="395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96"/>
      <c r="AB46" s="396"/>
      <c r="AC46" s="396"/>
      <c r="AD46" s="396"/>
      <c r="AE46" s="396"/>
    </row>
    <row r="47" spans="1:31" s="397" customFormat="1" ht="18" customHeight="1" x14ac:dyDescent="0.25">
      <c r="A47" s="429">
        <v>3</v>
      </c>
      <c r="B47" s="430" t="s">
        <v>403</v>
      </c>
      <c r="C47" s="431"/>
      <c r="D47" s="431"/>
      <c r="E47" s="431"/>
      <c r="F47" s="431"/>
      <c r="G47" s="431"/>
      <c r="H47" s="431"/>
      <c r="I47" s="431">
        <f>G47+H47</f>
        <v>0</v>
      </c>
      <c r="J47" s="431"/>
      <c r="K47" s="431"/>
      <c r="L47" s="431"/>
      <c r="M47" s="435">
        <f t="shared" si="3"/>
        <v>0</v>
      </c>
      <c r="N47" s="434"/>
      <c r="O47" s="395"/>
      <c r="P47" s="396"/>
      <c r="Q47" s="396"/>
      <c r="R47" s="396"/>
      <c r="S47" s="396"/>
      <c r="T47" s="396"/>
      <c r="U47" s="396"/>
      <c r="V47" s="396"/>
      <c r="W47" s="396"/>
      <c r="X47" s="396"/>
      <c r="Y47" s="396"/>
      <c r="Z47" s="396"/>
      <c r="AA47" s="396"/>
      <c r="AB47" s="396"/>
      <c r="AC47" s="396"/>
      <c r="AD47" s="396"/>
      <c r="AE47" s="396"/>
    </row>
    <row r="48" spans="1:31" s="397" customFormat="1" ht="18" customHeight="1" x14ac:dyDescent="0.3">
      <c r="A48" s="440" t="s">
        <v>404</v>
      </c>
      <c r="B48" s="441" t="s">
        <v>405</v>
      </c>
      <c r="C48" s="442">
        <f t="shared" ref="C48:G48" si="4">SUM(C49:C51)</f>
        <v>0</v>
      </c>
      <c r="D48" s="442">
        <f t="shared" si="4"/>
        <v>0</v>
      </c>
      <c r="E48" s="442">
        <f t="shared" si="4"/>
        <v>0</v>
      </c>
      <c r="F48" s="442"/>
      <c r="G48" s="442">
        <f t="shared" si="4"/>
        <v>0</v>
      </c>
      <c r="H48" s="442"/>
      <c r="I48" s="443">
        <f>SUM(I49:I51)</f>
        <v>0</v>
      </c>
      <c r="J48" s="443">
        <f>SUM(J49:J51)</f>
        <v>5000000</v>
      </c>
      <c r="K48" s="443">
        <f>SUM(K49:K51)</f>
        <v>765000</v>
      </c>
      <c r="L48" s="443">
        <f>SUM(L49:L51)</f>
        <v>0</v>
      </c>
      <c r="M48" s="443">
        <f>SUM(M49:M51)</f>
        <v>5765000</v>
      </c>
      <c r="N48" s="445"/>
      <c r="O48" s="456"/>
      <c r="P48" s="457"/>
      <c r="Q48" s="457"/>
      <c r="R48" s="457"/>
      <c r="S48" s="457"/>
      <c r="T48" s="457"/>
      <c r="U48" s="457"/>
      <c r="V48" s="457"/>
      <c r="W48" s="457"/>
      <c r="X48" s="457"/>
      <c r="Y48" s="457"/>
      <c r="Z48" s="457"/>
      <c r="AA48" s="457"/>
      <c r="AB48" s="457"/>
      <c r="AC48" s="457"/>
      <c r="AD48" s="457"/>
      <c r="AE48" s="457"/>
    </row>
    <row r="49" spans="1:31" s="397" customFormat="1" ht="18" customHeight="1" x14ac:dyDescent="0.25">
      <c r="A49" s="429">
        <v>1</v>
      </c>
      <c r="B49" s="430" t="s">
        <v>406</v>
      </c>
      <c r="C49" s="431"/>
      <c r="D49" s="431"/>
      <c r="E49" s="431"/>
      <c r="F49" s="431"/>
      <c r="G49" s="431"/>
      <c r="H49" s="431"/>
      <c r="I49" s="431">
        <v>0</v>
      </c>
      <c r="J49" s="431"/>
      <c r="K49" s="431"/>
      <c r="L49" s="431"/>
      <c r="M49" s="435">
        <f>I49+J49+K49+L49</f>
        <v>0</v>
      </c>
      <c r="N49" s="434"/>
      <c r="O49" s="395"/>
      <c r="P49" s="396"/>
      <c r="Q49" s="396"/>
      <c r="R49" s="396"/>
      <c r="S49" s="396"/>
      <c r="T49" s="396"/>
      <c r="U49" s="396"/>
      <c r="V49" s="396"/>
      <c r="W49" s="396"/>
      <c r="X49" s="396"/>
      <c r="Y49" s="396"/>
      <c r="Z49" s="396"/>
      <c r="AA49" s="396"/>
      <c r="AB49" s="396"/>
      <c r="AC49" s="396"/>
      <c r="AD49" s="396"/>
      <c r="AE49" s="396"/>
    </row>
    <row r="50" spans="1:31" s="397" customFormat="1" ht="18" customHeight="1" x14ac:dyDescent="0.25">
      <c r="A50" s="429">
        <v>2</v>
      </c>
      <c r="B50" s="430" t="s">
        <v>407</v>
      </c>
      <c r="C50" s="431"/>
      <c r="D50" s="431"/>
      <c r="E50" s="431"/>
      <c r="F50" s="431"/>
      <c r="G50" s="431"/>
      <c r="H50" s="431"/>
      <c r="I50" s="431">
        <f>G50+H50</f>
        <v>0</v>
      </c>
      <c r="J50" s="431"/>
      <c r="K50" s="431"/>
      <c r="L50" s="431"/>
      <c r="M50" s="435">
        <f>I50+J50+K50+L50</f>
        <v>0</v>
      </c>
      <c r="N50" s="434"/>
      <c r="O50" s="395"/>
      <c r="P50" s="396"/>
      <c r="Q50" s="396"/>
      <c r="R50" s="396"/>
      <c r="S50" s="396"/>
      <c r="T50" s="396"/>
      <c r="U50" s="396"/>
      <c r="V50" s="396"/>
      <c r="W50" s="396"/>
      <c r="X50" s="396"/>
      <c r="Y50" s="396"/>
      <c r="Z50" s="396"/>
      <c r="AA50" s="396"/>
      <c r="AB50" s="396"/>
      <c r="AC50" s="396"/>
      <c r="AD50" s="396"/>
      <c r="AE50" s="396"/>
    </row>
    <row r="51" spans="1:31" s="397" customFormat="1" ht="18" customHeight="1" x14ac:dyDescent="0.25">
      <c r="A51" s="429">
        <v>3</v>
      </c>
      <c r="B51" s="430" t="s">
        <v>408</v>
      </c>
      <c r="C51" s="431"/>
      <c r="D51" s="431"/>
      <c r="E51" s="431"/>
      <c r="F51" s="431"/>
      <c r="G51" s="431"/>
      <c r="H51" s="431"/>
      <c r="I51" s="431">
        <v>0</v>
      </c>
      <c r="J51" s="431">
        <v>5000000</v>
      </c>
      <c r="K51" s="431">
        <v>765000</v>
      </c>
      <c r="L51" s="431"/>
      <c r="M51" s="435">
        <f t="shared" ref="M51" si="5">I51+J51+K51+L51</f>
        <v>5765000</v>
      </c>
      <c r="N51" s="434"/>
      <c r="O51" s="395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96"/>
      <c r="AB51" s="396"/>
      <c r="AC51" s="396"/>
      <c r="AD51" s="396"/>
      <c r="AE51" s="396"/>
    </row>
    <row r="52" spans="1:31" s="397" customFormat="1" ht="18" customHeight="1" x14ac:dyDescent="0.3">
      <c r="A52" s="440" t="s">
        <v>409</v>
      </c>
      <c r="B52" s="441" t="s">
        <v>410</v>
      </c>
      <c r="C52" s="442">
        <f t="shared" ref="C52:G52" si="6">SUM(C53:C59)</f>
        <v>0</v>
      </c>
      <c r="D52" s="442">
        <f t="shared" si="6"/>
        <v>0</v>
      </c>
      <c r="E52" s="442">
        <f t="shared" si="6"/>
        <v>0</v>
      </c>
      <c r="F52" s="442"/>
      <c r="G52" s="442">
        <f t="shared" si="6"/>
        <v>0</v>
      </c>
      <c r="H52" s="442"/>
      <c r="I52" s="443">
        <f>SUM(I53:I55)</f>
        <v>0</v>
      </c>
      <c r="J52" s="443">
        <f>SUM(J53:J59)</f>
        <v>0</v>
      </c>
      <c r="K52" s="443">
        <f>SUM(K53:K59)</f>
        <v>0</v>
      </c>
      <c r="L52" s="443">
        <f>SUM(L53:L59)</f>
        <v>25000000</v>
      </c>
      <c r="M52" s="443">
        <f>SUM(M53:M59)</f>
        <v>25000000</v>
      </c>
      <c r="N52" s="445"/>
      <c r="O52" s="395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96"/>
      <c r="AB52" s="396"/>
      <c r="AC52" s="396"/>
      <c r="AD52" s="396"/>
      <c r="AE52" s="396"/>
    </row>
    <row r="53" spans="1:31" s="397" customFormat="1" ht="18" customHeight="1" x14ac:dyDescent="0.25">
      <c r="A53" s="429">
        <v>1</v>
      </c>
      <c r="B53" s="430" t="s">
        <v>411</v>
      </c>
      <c r="C53" s="431"/>
      <c r="D53" s="431"/>
      <c r="E53" s="431"/>
      <c r="F53" s="431"/>
      <c r="G53" s="431"/>
      <c r="H53" s="431"/>
      <c r="I53" s="431">
        <v>0</v>
      </c>
      <c r="J53" s="431">
        <v>0</v>
      </c>
      <c r="K53" s="431"/>
      <c r="L53" s="431"/>
      <c r="M53" s="435">
        <f>I53+J53+K53+L53</f>
        <v>0</v>
      </c>
      <c r="N53" s="434"/>
      <c r="O53" s="395"/>
      <c r="P53" s="396"/>
      <c r="Q53" s="396"/>
      <c r="R53" s="396"/>
      <c r="S53" s="396"/>
      <c r="T53" s="396"/>
      <c r="U53" s="396"/>
      <c r="V53" s="396"/>
      <c r="W53" s="396"/>
      <c r="X53" s="396"/>
      <c r="Y53" s="396"/>
      <c r="Z53" s="396"/>
      <c r="AA53" s="396"/>
      <c r="AB53" s="396"/>
      <c r="AC53" s="396"/>
      <c r="AD53" s="396"/>
      <c r="AE53" s="396"/>
    </row>
    <row r="54" spans="1:31" s="397" customFormat="1" ht="18" customHeight="1" x14ac:dyDescent="0.25">
      <c r="A54" s="429">
        <v>2</v>
      </c>
      <c r="B54" s="430" t="s">
        <v>412</v>
      </c>
      <c r="C54" s="431"/>
      <c r="D54" s="431"/>
      <c r="E54" s="431"/>
      <c r="F54" s="431"/>
      <c r="G54" s="431"/>
      <c r="H54" s="431"/>
      <c r="I54" s="431">
        <v>0</v>
      </c>
      <c r="J54" s="431">
        <v>0</v>
      </c>
      <c r="K54" s="431"/>
      <c r="L54" s="431"/>
      <c r="M54" s="435">
        <f t="shared" ref="M54:M63" si="7">I54+J54+K54+L54</f>
        <v>0</v>
      </c>
      <c r="N54" s="434"/>
      <c r="O54" s="395"/>
      <c r="P54" s="396"/>
      <c r="Q54" s="396"/>
      <c r="R54" s="396"/>
      <c r="S54" s="396"/>
      <c r="T54" s="396"/>
      <c r="U54" s="396"/>
      <c r="V54" s="396"/>
      <c r="W54" s="396"/>
      <c r="X54" s="396"/>
      <c r="Y54" s="396"/>
      <c r="Z54" s="396"/>
      <c r="AA54" s="396"/>
      <c r="AB54" s="396"/>
      <c r="AC54" s="396"/>
      <c r="AD54" s="396"/>
      <c r="AE54" s="396"/>
    </row>
    <row r="55" spans="1:31" s="397" customFormat="1" ht="18" customHeight="1" x14ac:dyDescent="0.25">
      <c r="A55" s="429">
        <v>3</v>
      </c>
      <c r="B55" s="430" t="s">
        <v>413</v>
      </c>
      <c r="C55" s="431"/>
      <c r="D55" s="431"/>
      <c r="E55" s="431"/>
      <c r="F55" s="431"/>
      <c r="G55" s="431"/>
      <c r="H55" s="431"/>
      <c r="I55" s="431">
        <v>0</v>
      </c>
      <c r="J55" s="431">
        <v>0</v>
      </c>
      <c r="K55" s="431"/>
      <c r="L55" s="431"/>
      <c r="M55" s="435">
        <f t="shared" si="7"/>
        <v>0</v>
      </c>
      <c r="N55" s="434"/>
      <c r="O55" s="395"/>
      <c r="P55" s="396"/>
      <c r="Q55" s="396"/>
      <c r="R55" s="396"/>
      <c r="S55" s="396"/>
      <c r="T55" s="396"/>
      <c r="U55" s="396"/>
      <c r="V55" s="396"/>
      <c r="W55" s="396"/>
      <c r="X55" s="396"/>
      <c r="Y55" s="396"/>
      <c r="Z55" s="396"/>
      <c r="AA55" s="396"/>
      <c r="AB55" s="396"/>
      <c r="AC55" s="396"/>
      <c r="AD55" s="396"/>
      <c r="AE55" s="396"/>
    </row>
    <row r="56" spans="1:31" s="397" customFormat="1" ht="18" customHeight="1" x14ac:dyDescent="0.25">
      <c r="A56" s="429">
        <v>4</v>
      </c>
      <c r="B56" s="430" t="s">
        <v>414</v>
      </c>
      <c r="C56" s="431"/>
      <c r="D56" s="431"/>
      <c r="E56" s="431"/>
      <c r="F56" s="431"/>
      <c r="G56" s="431"/>
      <c r="H56" s="431"/>
      <c r="I56" s="431">
        <v>0</v>
      </c>
      <c r="J56" s="431">
        <v>0</v>
      </c>
      <c r="K56" s="431"/>
      <c r="L56" s="431"/>
      <c r="M56" s="435">
        <f t="shared" si="7"/>
        <v>0</v>
      </c>
      <c r="N56" s="434"/>
      <c r="O56" s="395"/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396"/>
      <c r="AA56" s="396"/>
      <c r="AB56" s="396"/>
      <c r="AC56" s="396"/>
      <c r="AD56" s="396"/>
      <c r="AE56" s="396"/>
    </row>
    <row r="57" spans="1:31" s="397" customFormat="1" ht="18" customHeight="1" x14ac:dyDescent="0.25">
      <c r="A57" s="429">
        <v>5</v>
      </c>
      <c r="B57" s="430" t="s">
        <v>415</v>
      </c>
      <c r="C57" s="431"/>
      <c r="D57" s="431"/>
      <c r="E57" s="431"/>
      <c r="F57" s="431"/>
      <c r="G57" s="431"/>
      <c r="H57" s="431"/>
      <c r="I57" s="431">
        <f>G57+H57</f>
        <v>0</v>
      </c>
      <c r="J57" s="431">
        <v>0</v>
      </c>
      <c r="K57" s="431"/>
      <c r="L57" s="431">
        <v>25000000</v>
      </c>
      <c r="M57" s="435">
        <f t="shared" si="7"/>
        <v>25000000</v>
      </c>
      <c r="N57" s="434"/>
      <c r="O57" s="395"/>
      <c r="P57" s="396"/>
      <c r="Q57" s="396"/>
      <c r="R57" s="396"/>
      <c r="S57" s="396"/>
      <c r="T57" s="396"/>
      <c r="U57" s="396"/>
      <c r="V57" s="396"/>
      <c r="W57" s="396"/>
      <c r="X57" s="396"/>
      <c r="Y57" s="396"/>
      <c r="Z57" s="396"/>
      <c r="AA57" s="396"/>
      <c r="AB57" s="396"/>
      <c r="AC57" s="396"/>
      <c r="AD57" s="396"/>
      <c r="AE57" s="396"/>
    </row>
    <row r="58" spans="1:31" s="397" customFormat="1" ht="18" customHeight="1" x14ac:dyDescent="0.25">
      <c r="A58" s="429">
        <v>6</v>
      </c>
      <c r="B58" s="430" t="s">
        <v>416</v>
      </c>
      <c r="C58" s="431"/>
      <c r="D58" s="431"/>
      <c r="E58" s="431"/>
      <c r="F58" s="431"/>
      <c r="G58" s="431"/>
      <c r="H58" s="431"/>
      <c r="I58" s="431">
        <v>0</v>
      </c>
      <c r="J58" s="431">
        <v>0</v>
      </c>
      <c r="K58" s="431"/>
      <c r="L58" s="431"/>
      <c r="M58" s="435">
        <f t="shared" si="7"/>
        <v>0</v>
      </c>
      <c r="N58" s="434"/>
      <c r="O58" s="395"/>
      <c r="P58" s="396"/>
      <c r="Q58" s="396"/>
      <c r="R58" s="396"/>
      <c r="S58" s="396"/>
      <c r="T58" s="396"/>
      <c r="U58" s="396"/>
      <c r="V58" s="396"/>
      <c r="W58" s="396"/>
      <c r="X58" s="396"/>
      <c r="Y58" s="396"/>
      <c r="Z58" s="396"/>
      <c r="AA58" s="396"/>
      <c r="AB58" s="396"/>
      <c r="AC58" s="396"/>
      <c r="AD58" s="396"/>
      <c r="AE58" s="396"/>
    </row>
    <row r="59" spans="1:31" s="397" customFormat="1" ht="18" customHeight="1" x14ac:dyDescent="0.25">
      <c r="A59" s="429">
        <v>7</v>
      </c>
      <c r="B59" s="430" t="s">
        <v>417</v>
      </c>
      <c r="C59" s="431"/>
      <c r="D59" s="431"/>
      <c r="E59" s="431"/>
      <c r="F59" s="431"/>
      <c r="G59" s="431"/>
      <c r="H59" s="431"/>
      <c r="I59" s="431">
        <f>G59+H59</f>
        <v>0</v>
      </c>
      <c r="J59" s="431">
        <v>0</v>
      </c>
      <c r="K59" s="431"/>
      <c r="L59" s="431"/>
      <c r="M59" s="435">
        <f t="shared" si="7"/>
        <v>0</v>
      </c>
      <c r="N59" s="434"/>
      <c r="O59" s="395"/>
      <c r="P59" s="396"/>
      <c r="Q59" s="396"/>
      <c r="R59" s="396"/>
      <c r="S59" s="396"/>
      <c r="T59" s="396"/>
      <c r="U59" s="396"/>
      <c r="V59" s="396"/>
      <c r="W59" s="396"/>
      <c r="X59" s="396"/>
      <c r="Y59" s="396"/>
      <c r="Z59" s="396"/>
      <c r="AA59" s="396"/>
      <c r="AB59" s="396"/>
      <c r="AC59" s="396"/>
      <c r="AD59" s="396"/>
      <c r="AE59" s="396"/>
    </row>
    <row r="60" spans="1:31" s="397" customFormat="1" ht="18" customHeight="1" x14ac:dyDescent="0.3">
      <c r="A60" s="458" t="s">
        <v>418</v>
      </c>
      <c r="B60" s="459" t="s">
        <v>419</v>
      </c>
      <c r="C60" s="460">
        <f t="shared" ref="C60:G60" si="8">SUM(C61:C63)</f>
        <v>0</v>
      </c>
      <c r="D60" s="460">
        <f t="shared" si="8"/>
        <v>0</v>
      </c>
      <c r="E60" s="460">
        <f t="shared" si="8"/>
        <v>0</v>
      </c>
      <c r="F60" s="460"/>
      <c r="G60" s="460">
        <f t="shared" si="8"/>
        <v>0</v>
      </c>
      <c r="H60" s="442"/>
      <c r="I60" s="443">
        <f>SUM(I61:I63)</f>
        <v>0</v>
      </c>
      <c r="J60" s="443">
        <f>SUM(J61:J63)</f>
        <v>0</v>
      </c>
      <c r="K60" s="443">
        <f>SUM(K61:K63)</f>
        <v>0</v>
      </c>
      <c r="L60" s="443">
        <f>SUM(L61:L63)</f>
        <v>8748047</v>
      </c>
      <c r="M60" s="443">
        <f>SUM(M61:M63)</f>
        <v>8748047</v>
      </c>
      <c r="N60" s="461"/>
      <c r="O60" s="395"/>
      <c r="P60" s="396"/>
      <c r="Q60" s="396"/>
      <c r="R60" s="396"/>
      <c r="S60" s="396"/>
      <c r="T60" s="396"/>
      <c r="U60" s="396"/>
      <c r="V60" s="396"/>
      <c r="W60" s="396"/>
      <c r="X60" s="396"/>
      <c r="Y60" s="396"/>
      <c r="Z60" s="396"/>
      <c r="AA60" s="396"/>
      <c r="AB60" s="396"/>
      <c r="AC60" s="396"/>
      <c r="AD60" s="396"/>
      <c r="AE60" s="396"/>
    </row>
    <row r="61" spans="1:31" s="397" customFormat="1" ht="18" customHeight="1" x14ac:dyDescent="0.25">
      <c r="A61" s="429">
        <v>1</v>
      </c>
      <c r="B61" s="430" t="s">
        <v>420</v>
      </c>
      <c r="C61" s="438"/>
      <c r="D61" s="438"/>
      <c r="E61" s="438"/>
      <c r="F61" s="438"/>
      <c r="G61" s="438"/>
      <c r="H61" s="431"/>
      <c r="I61" s="431">
        <f>G61+H61</f>
        <v>0</v>
      </c>
      <c r="J61" s="431">
        <v>0</v>
      </c>
      <c r="K61" s="431"/>
      <c r="L61" s="431"/>
      <c r="M61" s="435">
        <f t="shared" si="7"/>
        <v>0</v>
      </c>
      <c r="N61" s="439"/>
      <c r="O61" s="395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96"/>
      <c r="AB61" s="396"/>
      <c r="AC61" s="396"/>
      <c r="AD61" s="396"/>
      <c r="AE61" s="396"/>
    </row>
    <row r="62" spans="1:31" s="397" customFormat="1" ht="18" customHeight="1" x14ac:dyDescent="0.25">
      <c r="A62" s="429">
        <v>2</v>
      </c>
      <c r="B62" s="430" t="s">
        <v>311</v>
      </c>
      <c r="C62" s="438"/>
      <c r="D62" s="438"/>
      <c r="E62" s="438"/>
      <c r="F62" s="438" t="s">
        <v>337</v>
      </c>
      <c r="G62" s="438"/>
      <c r="H62" s="431"/>
      <c r="I62" s="431">
        <v>0</v>
      </c>
      <c r="J62" s="431">
        <v>0</v>
      </c>
      <c r="K62" s="431"/>
      <c r="L62" s="462">
        <v>8748047</v>
      </c>
      <c r="M62" s="435">
        <f t="shared" si="7"/>
        <v>8748047</v>
      </c>
      <c r="N62" s="439"/>
      <c r="O62" s="395"/>
      <c r="P62" s="396"/>
      <c r="Q62" s="396"/>
      <c r="R62" s="396"/>
      <c r="S62" s="396"/>
      <c r="T62" s="396"/>
      <c r="U62" s="396"/>
      <c r="V62" s="396"/>
      <c r="W62" s="396"/>
      <c r="X62" s="396"/>
      <c r="Y62" s="396"/>
      <c r="Z62" s="396"/>
      <c r="AA62" s="396"/>
      <c r="AB62" s="396"/>
      <c r="AC62" s="396"/>
      <c r="AD62" s="396"/>
      <c r="AE62" s="396"/>
    </row>
    <row r="63" spans="1:31" s="397" customFormat="1" ht="16.5" x14ac:dyDescent="0.25">
      <c r="A63" s="429">
        <v>3</v>
      </c>
      <c r="B63" s="430" t="s">
        <v>339</v>
      </c>
      <c r="C63" s="438"/>
      <c r="D63" s="438"/>
      <c r="E63" s="438"/>
      <c r="F63" s="438"/>
      <c r="G63" s="438"/>
      <c r="H63" s="431"/>
      <c r="I63" s="431">
        <f>G63+H63</f>
        <v>0</v>
      </c>
      <c r="J63" s="431">
        <v>0</v>
      </c>
      <c r="K63" s="431"/>
      <c r="L63" s="431"/>
      <c r="M63" s="435">
        <f t="shared" si="7"/>
        <v>0</v>
      </c>
      <c r="N63" s="439"/>
      <c r="O63" s="395"/>
      <c r="P63" s="396"/>
      <c r="Q63" s="396"/>
      <c r="R63" s="396"/>
      <c r="S63" s="396"/>
      <c r="T63" s="396"/>
      <c r="U63" s="396"/>
      <c r="V63" s="396"/>
      <c r="W63" s="396"/>
      <c r="X63" s="396"/>
      <c r="Y63" s="396"/>
      <c r="Z63" s="396"/>
      <c r="AA63" s="396"/>
      <c r="AB63" s="396"/>
      <c r="AC63" s="396"/>
      <c r="AD63" s="396"/>
      <c r="AE63" s="396"/>
    </row>
    <row r="64" spans="1:31" s="397" customFormat="1" ht="18" customHeight="1" x14ac:dyDescent="0.25">
      <c r="A64" s="463" t="s">
        <v>421</v>
      </c>
      <c r="B64" s="464" t="s">
        <v>422</v>
      </c>
      <c r="C64" s="465"/>
      <c r="D64" s="465"/>
      <c r="E64" s="465"/>
      <c r="F64" s="465"/>
      <c r="G64" s="465"/>
      <c r="H64" s="465"/>
      <c r="I64" s="465"/>
      <c r="J64" s="465"/>
      <c r="K64" s="465"/>
      <c r="L64" s="465"/>
      <c r="M64" s="465"/>
      <c r="N64" s="466"/>
      <c r="O64" s="395"/>
      <c r="P64" s="396"/>
      <c r="Q64" s="396"/>
      <c r="R64" s="396"/>
      <c r="S64" s="396"/>
      <c r="T64" s="396"/>
      <c r="U64" s="396"/>
      <c r="V64" s="396"/>
      <c r="W64" s="396"/>
      <c r="X64" s="396"/>
      <c r="Y64" s="396"/>
      <c r="Z64" s="396"/>
      <c r="AA64" s="396"/>
      <c r="AB64" s="396"/>
      <c r="AC64" s="396"/>
      <c r="AD64" s="396"/>
      <c r="AE64" s="396"/>
    </row>
    <row r="65" spans="1:32" s="471" customFormat="1" ht="21" customHeight="1" x14ac:dyDescent="0.3">
      <c r="A65" s="467" t="s">
        <v>423</v>
      </c>
      <c r="B65" s="468" t="s">
        <v>424</v>
      </c>
      <c r="C65" s="469"/>
      <c r="D65" s="469"/>
      <c r="E65" s="469">
        <f>C65+D65</f>
        <v>0</v>
      </c>
      <c r="F65" s="469"/>
      <c r="G65" s="469"/>
      <c r="H65" s="442"/>
      <c r="I65" s="442">
        <v>0</v>
      </c>
      <c r="J65" s="442">
        <v>0</v>
      </c>
      <c r="K65" s="442">
        <v>0</v>
      </c>
      <c r="L65" s="442"/>
      <c r="M65" s="442">
        <v>0</v>
      </c>
      <c r="N65" s="470"/>
      <c r="O65" s="395"/>
      <c r="P65" s="396"/>
      <c r="Q65" s="396"/>
      <c r="R65" s="396"/>
      <c r="S65" s="396"/>
      <c r="T65" s="396"/>
      <c r="U65" s="396"/>
      <c r="V65" s="396"/>
      <c r="W65" s="396"/>
      <c r="X65" s="396"/>
      <c r="Y65" s="396"/>
      <c r="Z65" s="396"/>
      <c r="AA65" s="396"/>
      <c r="AB65" s="396"/>
      <c r="AC65" s="396"/>
      <c r="AD65" s="396"/>
      <c r="AE65" s="396"/>
      <c r="AF65" s="397"/>
    </row>
    <row r="66" spans="1:32" s="471" customFormat="1" ht="21" customHeight="1" x14ac:dyDescent="0.3">
      <c r="A66" s="472" t="s">
        <v>425</v>
      </c>
      <c r="B66" s="473" t="s">
        <v>426</v>
      </c>
      <c r="C66" s="474"/>
      <c r="D66" s="474"/>
      <c r="E66" s="469">
        <f>C66+D66</f>
        <v>0</v>
      </c>
      <c r="F66" s="475"/>
      <c r="G66" s="474"/>
      <c r="H66" s="442"/>
      <c r="I66" s="442">
        <v>0</v>
      </c>
      <c r="J66" s="442">
        <v>2000000</v>
      </c>
      <c r="K66" s="442">
        <v>0</v>
      </c>
      <c r="L66" s="442">
        <v>0</v>
      </c>
      <c r="M66" s="442">
        <f>J66+I66+G66</f>
        <v>2000000</v>
      </c>
      <c r="N66" s="466"/>
      <c r="O66" s="395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96"/>
      <c r="AB66" s="396"/>
      <c r="AC66" s="396"/>
      <c r="AD66" s="396"/>
      <c r="AE66" s="396"/>
      <c r="AF66" s="397"/>
    </row>
    <row r="67" spans="1:32" s="471" customFormat="1" ht="21" customHeight="1" x14ac:dyDescent="0.25">
      <c r="A67" s="476"/>
      <c r="B67" s="476"/>
      <c r="C67" s="476"/>
      <c r="D67" s="476"/>
      <c r="E67" s="476"/>
      <c r="F67" s="476"/>
      <c r="G67" s="476"/>
      <c r="H67" s="476"/>
      <c r="I67" s="476"/>
      <c r="J67" s="476"/>
      <c r="K67" s="476"/>
      <c r="L67" s="476"/>
      <c r="M67" s="476"/>
      <c r="N67" s="396"/>
      <c r="O67" s="395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96"/>
      <c r="AB67" s="396"/>
      <c r="AC67" s="396"/>
      <c r="AD67" s="396"/>
      <c r="AE67" s="396"/>
      <c r="AF67" s="397"/>
    </row>
    <row r="68" spans="1:32" s="471" customFormat="1" ht="21" customHeight="1" x14ac:dyDescent="0.3">
      <c r="A68" s="477" t="s">
        <v>427</v>
      </c>
      <c r="B68" s="478" t="s">
        <v>428</v>
      </c>
      <c r="C68" s="479">
        <f>SUM(C69:C70)</f>
        <v>0</v>
      </c>
      <c r="D68" s="479">
        <f t="shared" ref="D68:N68" si="9">SUM(D69:D70)</f>
        <v>0</v>
      </c>
      <c r="E68" s="479">
        <f t="shared" si="9"/>
        <v>0</v>
      </c>
      <c r="F68" s="479"/>
      <c r="G68" s="479">
        <f t="shared" si="9"/>
        <v>0</v>
      </c>
      <c r="H68" s="480"/>
      <c r="I68" s="443">
        <f>SUM(I69:I71)</f>
        <v>0</v>
      </c>
      <c r="J68" s="443">
        <f>SUM(J69:J71)</f>
        <v>28000000</v>
      </c>
      <c r="K68" s="443">
        <f>SUM(K69:K71)</f>
        <v>0</v>
      </c>
      <c r="L68" s="443">
        <f>SUM(L69:L71)</f>
        <v>0</v>
      </c>
      <c r="M68" s="443">
        <f>SUM(M69:M71)</f>
        <v>28000000</v>
      </c>
      <c r="N68" s="479">
        <f t="shared" si="9"/>
        <v>0</v>
      </c>
      <c r="O68" s="395"/>
      <c r="P68" s="396"/>
      <c r="Q68" s="396"/>
      <c r="R68" s="396"/>
      <c r="S68" s="396"/>
      <c r="T68" s="396"/>
      <c r="U68" s="396"/>
      <c r="V68" s="396"/>
      <c r="W68" s="396"/>
      <c r="X68" s="396"/>
      <c r="Y68" s="396"/>
      <c r="Z68" s="396"/>
      <c r="AA68" s="396"/>
      <c r="AB68" s="396"/>
      <c r="AC68" s="396"/>
      <c r="AD68" s="396"/>
      <c r="AE68" s="396"/>
      <c r="AF68" s="397"/>
    </row>
    <row r="69" spans="1:32" s="471" customFormat="1" ht="21" customHeight="1" x14ac:dyDescent="0.25">
      <c r="A69" s="481">
        <v>1</v>
      </c>
      <c r="B69" s="482" t="s">
        <v>429</v>
      </c>
      <c r="C69" s="483"/>
      <c r="D69" s="483"/>
      <c r="E69" s="483"/>
      <c r="F69" s="483" t="s">
        <v>430</v>
      </c>
      <c r="G69" s="483"/>
      <c r="H69" s="484"/>
      <c r="I69" s="484">
        <v>0</v>
      </c>
      <c r="J69" s="431">
        <v>28000000</v>
      </c>
      <c r="K69" s="431"/>
      <c r="L69" s="431"/>
      <c r="M69" s="431">
        <f t="shared" ref="M69:M70" si="10">I69+J69+K69+L69</f>
        <v>28000000</v>
      </c>
      <c r="N69" s="485"/>
      <c r="O69" s="395"/>
      <c r="P69" s="396"/>
      <c r="Q69" s="396"/>
      <c r="R69" s="396"/>
      <c r="S69" s="396"/>
      <c r="T69" s="396"/>
      <c r="U69" s="396"/>
      <c r="V69" s="396"/>
      <c r="W69" s="396"/>
      <c r="X69" s="396"/>
      <c r="Y69" s="396"/>
      <c r="Z69" s="396"/>
      <c r="AA69" s="396"/>
      <c r="AB69" s="396"/>
      <c r="AC69" s="396"/>
      <c r="AD69" s="396"/>
      <c r="AE69" s="396"/>
      <c r="AF69" s="397"/>
    </row>
    <row r="70" spans="1:32" s="471" customFormat="1" ht="21" customHeight="1" x14ac:dyDescent="0.25">
      <c r="A70" s="486">
        <v>2</v>
      </c>
      <c r="B70" s="487" t="s">
        <v>431</v>
      </c>
      <c r="C70" s="488"/>
      <c r="D70" s="488"/>
      <c r="E70" s="483"/>
      <c r="F70" s="489"/>
      <c r="G70" s="488"/>
      <c r="H70" s="484"/>
      <c r="I70" s="484">
        <v>0</v>
      </c>
      <c r="J70" s="484">
        <v>0</v>
      </c>
      <c r="K70" s="484"/>
      <c r="L70" s="484"/>
      <c r="M70" s="484">
        <f t="shared" si="10"/>
        <v>0</v>
      </c>
      <c r="N70" s="485"/>
      <c r="O70" s="395"/>
      <c r="P70" s="396"/>
      <c r="Q70" s="396"/>
      <c r="R70" s="396"/>
      <c r="S70" s="396"/>
      <c r="T70" s="396"/>
      <c r="U70" s="396"/>
      <c r="V70" s="396"/>
      <c r="W70" s="396"/>
      <c r="X70" s="396"/>
      <c r="Y70" s="396"/>
      <c r="Z70" s="396"/>
      <c r="AA70" s="396"/>
      <c r="AB70" s="396"/>
      <c r="AC70" s="396"/>
      <c r="AD70" s="396"/>
      <c r="AE70" s="396"/>
      <c r="AF70" s="397"/>
    </row>
  </sheetData>
  <mergeCells count="1"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opLeftCell="A70" workbookViewId="0">
      <selection activeCell="K99" sqref="K99"/>
    </sheetView>
  </sheetViews>
  <sheetFormatPr defaultRowHeight="15" x14ac:dyDescent="0.2"/>
  <cols>
    <col min="1" max="1" width="7" customWidth="1"/>
    <col min="2" max="2" width="11.7109375" style="76" customWidth="1"/>
    <col min="3" max="3" width="15.7109375" customWidth="1"/>
    <col min="4" max="4" width="14.5703125" customWidth="1"/>
    <col min="5" max="5" width="11.42578125" customWidth="1"/>
    <col min="6" max="6" width="15.5703125" style="77" customWidth="1"/>
    <col min="7" max="8" width="15.140625" customWidth="1"/>
    <col min="9" max="9" width="12.140625" customWidth="1"/>
    <col min="11" max="11" width="9.140625" customWidth="1"/>
  </cols>
  <sheetData>
    <row r="1" spans="1:9" ht="22.5" x14ac:dyDescent="0.3">
      <c r="A1" s="34"/>
      <c r="B1" s="34"/>
      <c r="C1" s="34"/>
      <c r="D1" s="353" t="s">
        <v>18</v>
      </c>
      <c r="E1" s="353"/>
      <c r="F1" s="353"/>
      <c r="G1" s="353"/>
      <c r="H1" s="353"/>
      <c r="I1" s="353"/>
    </row>
    <row r="2" spans="1:9" ht="22.5" x14ac:dyDescent="0.3">
      <c r="A2" s="34"/>
      <c r="B2" s="34"/>
      <c r="C2" s="34"/>
      <c r="D2" s="353" t="s">
        <v>60</v>
      </c>
      <c r="E2" s="353"/>
      <c r="F2" s="353"/>
      <c r="G2" s="353"/>
      <c r="H2" s="353"/>
      <c r="I2" s="353"/>
    </row>
    <row r="3" spans="1:9" ht="15.75" x14ac:dyDescent="0.25">
      <c r="A3" s="9"/>
      <c r="B3" s="35"/>
      <c r="C3" s="9"/>
      <c r="D3" s="9"/>
      <c r="E3" s="9"/>
      <c r="F3" s="9"/>
      <c r="G3" s="9"/>
      <c r="H3" s="9"/>
      <c r="I3" s="9"/>
    </row>
    <row r="4" spans="1:9" ht="18.75" x14ac:dyDescent="0.2">
      <c r="A4" s="354" t="s">
        <v>19</v>
      </c>
      <c r="B4" s="355" t="s">
        <v>20</v>
      </c>
      <c r="C4" s="354" t="s">
        <v>21</v>
      </c>
      <c r="D4" s="357" t="s">
        <v>22</v>
      </c>
      <c r="E4" s="358"/>
      <c r="F4" s="354" t="s">
        <v>1</v>
      </c>
      <c r="G4" s="354"/>
      <c r="H4" s="354" t="s">
        <v>23</v>
      </c>
      <c r="I4" s="361" t="s">
        <v>5</v>
      </c>
    </row>
    <row r="5" spans="1:9" ht="18.75" x14ac:dyDescent="0.2">
      <c r="A5" s="354"/>
      <c r="B5" s="356"/>
      <c r="C5" s="354"/>
      <c r="D5" s="359"/>
      <c r="E5" s="360"/>
      <c r="F5" s="36" t="s">
        <v>12</v>
      </c>
      <c r="G5" s="36" t="s">
        <v>13</v>
      </c>
      <c r="H5" s="354"/>
      <c r="I5" s="356"/>
    </row>
    <row r="6" spans="1:9" ht="15.75" x14ac:dyDescent="0.25">
      <c r="A6" s="341">
        <v>1</v>
      </c>
      <c r="B6" s="362" t="s">
        <v>68</v>
      </c>
      <c r="C6" s="37">
        <v>23416283</v>
      </c>
      <c r="D6" s="347" t="s">
        <v>17</v>
      </c>
      <c r="E6" s="348"/>
      <c r="F6" s="38"/>
      <c r="G6" s="39">
        <f>'Tiền mặt'!F6</f>
        <v>2282000</v>
      </c>
      <c r="H6" s="40">
        <f>ROUND(C6+F6-G6,2)</f>
        <v>21134283</v>
      </c>
      <c r="I6" s="41"/>
    </row>
    <row r="7" spans="1:9" ht="15.75" x14ac:dyDescent="0.25">
      <c r="A7" s="342"/>
      <c r="B7" s="363"/>
      <c r="C7" s="78">
        <v>659130218</v>
      </c>
      <c r="D7" s="349" t="s">
        <v>11</v>
      </c>
      <c r="E7" s="350"/>
      <c r="F7" s="89">
        <f>SHB!E6</f>
        <v>120221221</v>
      </c>
      <c r="G7" s="79"/>
      <c r="H7" s="42">
        <f t="shared" ref="H7:H65" si="0">ROUND(C7+F7-G7,2)</f>
        <v>779351439</v>
      </c>
      <c r="I7" s="72"/>
    </row>
    <row r="8" spans="1:9" ht="15.75" x14ac:dyDescent="0.25">
      <c r="A8" s="342"/>
      <c r="B8" s="363"/>
      <c r="C8" s="78">
        <v>1430471754</v>
      </c>
      <c r="D8" s="349" t="s">
        <v>10</v>
      </c>
      <c r="E8" s="350"/>
      <c r="F8" s="43"/>
      <c r="G8" s="43">
        <f>Vietinbank!F6</f>
        <v>9900000</v>
      </c>
      <c r="H8" s="42">
        <f t="shared" si="0"/>
        <v>1420571754</v>
      </c>
      <c r="I8" s="44"/>
    </row>
    <row r="9" spans="1:9" ht="15.75" x14ac:dyDescent="0.25">
      <c r="A9" s="342"/>
      <c r="B9" s="363"/>
      <c r="C9" s="45">
        <v>17800</v>
      </c>
      <c r="D9" s="351" t="s">
        <v>9</v>
      </c>
      <c r="E9" s="46" t="s">
        <v>24</v>
      </c>
      <c r="F9" s="47"/>
      <c r="G9" s="48"/>
      <c r="H9" s="42">
        <f t="shared" si="0"/>
        <v>17800</v>
      </c>
      <c r="I9" s="49"/>
    </row>
    <row r="10" spans="1:9" ht="15.75" x14ac:dyDescent="0.25">
      <c r="A10" s="343"/>
      <c r="B10" s="364"/>
      <c r="C10" s="50">
        <v>337107535</v>
      </c>
      <c r="D10" s="352"/>
      <c r="E10" s="51" t="s">
        <v>25</v>
      </c>
      <c r="F10" s="52"/>
      <c r="G10" s="53">
        <f>Techcombank!F6</f>
        <v>3240000</v>
      </c>
      <c r="H10" s="54">
        <f t="shared" si="0"/>
        <v>333867535</v>
      </c>
      <c r="I10" s="55"/>
    </row>
    <row r="11" spans="1:9" ht="15.75" x14ac:dyDescent="0.25">
      <c r="A11" s="329">
        <v>2</v>
      </c>
      <c r="B11" s="365" t="s">
        <v>77</v>
      </c>
      <c r="C11" s="102">
        <f t="shared" ref="C11:C65" si="1">H6</f>
        <v>21134283</v>
      </c>
      <c r="D11" s="333" t="s">
        <v>17</v>
      </c>
      <c r="E11" s="334"/>
      <c r="F11" s="123"/>
      <c r="G11" s="104">
        <f>'Tiền mặt'!F9</f>
        <v>215000</v>
      </c>
      <c r="H11" s="105">
        <f t="shared" si="0"/>
        <v>20919283</v>
      </c>
      <c r="I11" s="103"/>
    </row>
    <row r="12" spans="1:9" ht="15.75" x14ac:dyDescent="0.25">
      <c r="A12" s="330"/>
      <c r="B12" s="366"/>
      <c r="C12" s="106">
        <f t="shared" si="1"/>
        <v>779351439</v>
      </c>
      <c r="D12" s="335" t="s">
        <v>11</v>
      </c>
      <c r="E12" s="336"/>
      <c r="F12" s="107">
        <f>SHB!E9</f>
        <v>780151370</v>
      </c>
      <c r="G12" s="108"/>
      <c r="H12" s="105">
        <f t="shared" si="0"/>
        <v>1559502809</v>
      </c>
      <c r="I12" s="109"/>
    </row>
    <row r="13" spans="1:9" ht="15.75" x14ac:dyDescent="0.25">
      <c r="A13" s="330"/>
      <c r="B13" s="366"/>
      <c r="C13" s="110">
        <f t="shared" si="1"/>
        <v>1420571754</v>
      </c>
      <c r="D13" s="335" t="s">
        <v>10</v>
      </c>
      <c r="E13" s="336"/>
      <c r="F13" s="111"/>
      <c r="G13" s="112"/>
      <c r="H13" s="105">
        <f t="shared" si="0"/>
        <v>1420571754</v>
      </c>
      <c r="I13" s="113"/>
    </row>
    <row r="14" spans="1:9" ht="15.75" x14ac:dyDescent="0.25">
      <c r="A14" s="330"/>
      <c r="B14" s="366"/>
      <c r="C14" s="114">
        <f t="shared" si="1"/>
        <v>17800</v>
      </c>
      <c r="D14" s="337" t="s">
        <v>9</v>
      </c>
      <c r="E14" s="115" t="s">
        <v>24</v>
      </c>
      <c r="F14" s="116"/>
      <c r="G14" s="117"/>
      <c r="H14" s="105">
        <f t="shared" si="0"/>
        <v>17800</v>
      </c>
      <c r="I14" s="118"/>
    </row>
    <row r="15" spans="1:9" ht="15.75" x14ac:dyDescent="0.25">
      <c r="A15" s="331"/>
      <c r="B15" s="367"/>
      <c r="C15" s="119">
        <f t="shared" si="1"/>
        <v>333867535</v>
      </c>
      <c r="D15" s="338"/>
      <c r="E15" s="120" t="s">
        <v>25</v>
      </c>
      <c r="F15" s="132"/>
      <c r="G15" s="122">
        <f>Techcombank!F8</f>
        <v>72000000</v>
      </c>
      <c r="H15" s="105">
        <f t="shared" si="0"/>
        <v>261867535</v>
      </c>
      <c r="I15" s="121"/>
    </row>
    <row r="16" spans="1:9" ht="15.75" x14ac:dyDescent="0.25">
      <c r="A16" s="341">
        <v>3</v>
      </c>
      <c r="B16" s="362" t="s">
        <v>88</v>
      </c>
      <c r="C16" s="56">
        <f t="shared" si="1"/>
        <v>20919283</v>
      </c>
      <c r="D16" s="347" t="s">
        <v>17</v>
      </c>
      <c r="E16" s="348"/>
      <c r="F16" s="38"/>
      <c r="G16" s="39">
        <f>'Tiền mặt'!F11</f>
        <v>2084000</v>
      </c>
      <c r="H16" s="40">
        <f t="shared" si="0"/>
        <v>18835283</v>
      </c>
      <c r="I16" s="41"/>
    </row>
    <row r="17" spans="1:20" ht="15.75" x14ac:dyDescent="0.25">
      <c r="A17" s="342"/>
      <c r="B17" s="363"/>
      <c r="C17" s="80">
        <f t="shared" si="1"/>
        <v>1559502809</v>
      </c>
      <c r="D17" s="349" t="s">
        <v>11</v>
      </c>
      <c r="E17" s="350"/>
      <c r="F17" s="57"/>
      <c r="G17" s="79"/>
      <c r="H17" s="42">
        <f t="shared" si="0"/>
        <v>1559502809</v>
      </c>
      <c r="I17" s="72"/>
    </row>
    <row r="18" spans="1:20" ht="15.75" x14ac:dyDescent="0.25">
      <c r="A18" s="342"/>
      <c r="B18" s="363"/>
      <c r="C18" s="80">
        <f t="shared" si="1"/>
        <v>1420571754</v>
      </c>
      <c r="D18" s="349" t="s">
        <v>10</v>
      </c>
      <c r="E18" s="350"/>
      <c r="F18" s="58">
        <f>Vietinbank!E8</f>
        <v>212948417</v>
      </c>
      <c r="G18" s="43">
        <f>Vietinbank!F8</f>
        <v>151966848</v>
      </c>
      <c r="H18" s="42">
        <f t="shared" si="0"/>
        <v>1481553323</v>
      </c>
      <c r="I18" s="44"/>
    </row>
    <row r="19" spans="1:20" ht="15.75" x14ac:dyDescent="0.25">
      <c r="A19" s="342"/>
      <c r="B19" s="363"/>
      <c r="C19" s="80">
        <f t="shared" si="1"/>
        <v>17800</v>
      </c>
      <c r="D19" s="351" t="s">
        <v>9</v>
      </c>
      <c r="E19" s="46" t="s">
        <v>24</v>
      </c>
      <c r="F19" s="48"/>
      <c r="G19" s="59"/>
      <c r="H19" s="42">
        <f t="shared" si="0"/>
        <v>17800</v>
      </c>
      <c r="I19" s="49"/>
    </row>
    <row r="20" spans="1:20" ht="15.75" x14ac:dyDescent="0.25">
      <c r="A20" s="343"/>
      <c r="B20" s="364"/>
      <c r="C20" s="80">
        <f t="shared" si="1"/>
        <v>261867535</v>
      </c>
      <c r="D20" s="352"/>
      <c r="E20" s="51" t="s">
        <v>25</v>
      </c>
      <c r="F20" s="60"/>
      <c r="G20" s="61">
        <f>Techcombank!F10</f>
        <v>42010000</v>
      </c>
      <c r="H20" s="42">
        <f t="shared" si="0"/>
        <v>219857535</v>
      </c>
      <c r="I20" s="55"/>
    </row>
    <row r="21" spans="1:20" ht="15.75" x14ac:dyDescent="0.25">
      <c r="A21" s="329">
        <v>4</v>
      </c>
      <c r="B21" s="332">
        <v>44079</v>
      </c>
      <c r="C21" s="102">
        <f t="shared" si="1"/>
        <v>18835283</v>
      </c>
      <c r="D21" s="333" t="s">
        <v>17</v>
      </c>
      <c r="E21" s="334"/>
      <c r="F21" s="103"/>
      <c r="G21" s="123"/>
      <c r="H21" s="124">
        <f t="shared" si="0"/>
        <v>18835283</v>
      </c>
      <c r="I21" s="103"/>
      <c r="N21" s="62"/>
    </row>
    <row r="22" spans="1:20" ht="15.75" x14ac:dyDescent="0.25">
      <c r="A22" s="330"/>
      <c r="B22" s="330"/>
      <c r="C22" s="106">
        <f t="shared" si="1"/>
        <v>1559502809</v>
      </c>
      <c r="D22" s="335" t="s">
        <v>11</v>
      </c>
      <c r="E22" s="336"/>
      <c r="F22" s="107"/>
      <c r="G22" s="125"/>
      <c r="H22" s="105">
        <f t="shared" si="0"/>
        <v>1559502809</v>
      </c>
      <c r="I22" s="109"/>
      <c r="N22" s="62"/>
    </row>
    <row r="23" spans="1:20" ht="15.75" x14ac:dyDescent="0.25">
      <c r="A23" s="330"/>
      <c r="B23" s="330"/>
      <c r="C23" s="106">
        <f t="shared" si="1"/>
        <v>1481553323</v>
      </c>
      <c r="D23" s="335" t="s">
        <v>10</v>
      </c>
      <c r="E23" s="336"/>
      <c r="F23" s="111"/>
      <c r="G23" s="126"/>
      <c r="H23" s="105">
        <f t="shared" si="0"/>
        <v>1481553323</v>
      </c>
      <c r="I23" s="113"/>
    </row>
    <row r="24" spans="1:20" ht="15.75" x14ac:dyDescent="0.25">
      <c r="A24" s="330"/>
      <c r="B24" s="330"/>
      <c r="C24" s="106">
        <f t="shared" si="1"/>
        <v>17800</v>
      </c>
      <c r="D24" s="337" t="s">
        <v>9</v>
      </c>
      <c r="E24" s="115" t="s">
        <v>24</v>
      </c>
      <c r="F24" s="127"/>
      <c r="G24" s="128"/>
      <c r="H24" s="105">
        <f t="shared" si="0"/>
        <v>17800</v>
      </c>
      <c r="I24" s="118"/>
    </row>
    <row r="25" spans="1:20" ht="15.75" customHeight="1" x14ac:dyDescent="0.25">
      <c r="A25" s="331"/>
      <c r="B25" s="331"/>
      <c r="C25" s="106">
        <f t="shared" si="1"/>
        <v>219857535</v>
      </c>
      <c r="D25" s="338"/>
      <c r="E25" s="120" t="s">
        <v>25</v>
      </c>
      <c r="F25" s="121"/>
      <c r="G25" s="111">
        <f>Techcombank!F12</f>
        <v>23000000</v>
      </c>
      <c r="H25" s="105">
        <f t="shared" si="0"/>
        <v>196857535</v>
      </c>
      <c r="I25" s="121"/>
    </row>
    <row r="26" spans="1:20" ht="15.75" customHeight="1" x14ac:dyDescent="0.25">
      <c r="A26" s="341">
        <v>5</v>
      </c>
      <c r="B26" s="368">
        <v>44081</v>
      </c>
      <c r="C26" s="56">
        <f t="shared" si="1"/>
        <v>18835283</v>
      </c>
      <c r="D26" s="347" t="s">
        <v>17</v>
      </c>
      <c r="E26" s="348"/>
      <c r="F26" s="38"/>
      <c r="G26" s="153">
        <f>'Tiền mặt'!F14</f>
        <v>3121000</v>
      </c>
      <c r="H26" s="40">
        <f t="shared" si="0"/>
        <v>15714283</v>
      </c>
      <c r="I26" s="41"/>
    </row>
    <row r="27" spans="1:20" ht="15.75" customHeight="1" x14ac:dyDescent="0.25">
      <c r="A27" s="342"/>
      <c r="B27" s="369"/>
      <c r="C27" s="80">
        <f t="shared" si="1"/>
        <v>1559502809</v>
      </c>
      <c r="D27" s="349" t="s">
        <v>11</v>
      </c>
      <c r="E27" s="350"/>
      <c r="F27" s="89"/>
      <c r="G27" s="81">
        <f>SHB!F12</f>
        <v>900000</v>
      </c>
      <c r="H27" s="42">
        <f t="shared" si="0"/>
        <v>1558602809</v>
      </c>
      <c r="I27" s="72"/>
    </row>
    <row r="28" spans="1:20" ht="15.75" x14ac:dyDescent="0.25">
      <c r="A28" s="342"/>
      <c r="B28" s="342"/>
      <c r="C28" s="80">
        <f t="shared" si="1"/>
        <v>1481553323</v>
      </c>
      <c r="D28" s="349" t="s">
        <v>10</v>
      </c>
      <c r="E28" s="350"/>
      <c r="F28" s="63"/>
      <c r="G28" s="63">
        <f>Vietinbank!F13</f>
        <v>82826351</v>
      </c>
      <c r="H28" s="42">
        <f t="shared" si="0"/>
        <v>1398726972</v>
      </c>
      <c r="I28" s="44"/>
      <c r="P28" s="62"/>
    </row>
    <row r="29" spans="1:20" ht="15.75" x14ac:dyDescent="0.25">
      <c r="A29" s="342"/>
      <c r="B29" s="342"/>
      <c r="C29" s="80">
        <f t="shared" si="1"/>
        <v>17800</v>
      </c>
      <c r="D29" s="351" t="s">
        <v>9</v>
      </c>
      <c r="E29" s="46" t="s">
        <v>24</v>
      </c>
      <c r="F29" s="64"/>
      <c r="G29" s="64"/>
      <c r="H29" s="42">
        <f t="shared" si="0"/>
        <v>17800</v>
      </c>
      <c r="I29" s="49"/>
      <c r="P29" s="62"/>
    </row>
    <row r="30" spans="1:20" ht="15.75" x14ac:dyDescent="0.25">
      <c r="A30" s="343"/>
      <c r="B30" s="343"/>
      <c r="C30" s="80">
        <f t="shared" si="1"/>
        <v>196857535</v>
      </c>
      <c r="D30" s="352"/>
      <c r="E30" s="51" t="s">
        <v>25</v>
      </c>
      <c r="F30" s="60"/>
      <c r="G30" s="60">
        <f>Techcombank!F16</f>
        <v>4488000</v>
      </c>
      <c r="H30" s="42">
        <f t="shared" si="0"/>
        <v>192369535</v>
      </c>
      <c r="I30" s="55"/>
      <c r="Q30" s="62"/>
    </row>
    <row r="31" spans="1:20" ht="15.75" x14ac:dyDescent="0.25">
      <c r="A31" s="329">
        <v>6</v>
      </c>
      <c r="B31" s="365" t="s">
        <v>121</v>
      </c>
      <c r="C31" s="102">
        <f t="shared" si="1"/>
        <v>15714283</v>
      </c>
      <c r="D31" s="333" t="s">
        <v>17</v>
      </c>
      <c r="E31" s="334"/>
      <c r="F31" s="103"/>
      <c r="G31" s="104">
        <f>'Tiền mặt'!F17</f>
        <v>750000</v>
      </c>
      <c r="H31" s="124">
        <f t="shared" si="0"/>
        <v>14964283</v>
      </c>
      <c r="I31" s="103"/>
      <c r="T31" s="62"/>
    </row>
    <row r="32" spans="1:20" ht="15.75" x14ac:dyDescent="0.25">
      <c r="A32" s="330"/>
      <c r="B32" s="366"/>
      <c r="C32" s="106">
        <f t="shared" si="1"/>
        <v>1558602809</v>
      </c>
      <c r="D32" s="335" t="s">
        <v>11</v>
      </c>
      <c r="E32" s="336"/>
      <c r="F32" s="125">
        <f>SHB!E14</f>
        <v>443333837</v>
      </c>
      <c r="G32" s="108"/>
      <c r="H32" s="105">
        <f t="shared" si="0"/>
        <v>2001936646</v>
      </c>
      <c r="I32" s="109"/>
    </row>
    <row r="33" spans="1:16" ht="15.75" x14ac:dyDescent="0.25">
      <c r="A33" s="330">
        <v>6.4</v>
      </c>
      <c r="B33" s="366"/>
      <c r="C33" s="106">
        <f t="shared" si="1"/>
        <v>1398726972</v>
      </c>
      <c r="D33" s="335" t="s">
        <v>10</v>
      </c>
      <c r="E33" s="336"/>
      <c r="F33" s="134"/>
      <c r="G33" s="112">
        <f>Vietinbank!F15</f>
        <v>31852050</v>
      </c>
      <c r="H33" s="105">
        <f t="shared" si="0"/>
        <v>1366874922</v>
      </c>
      <c r="I33" s="113"/>
      <c r="P33" s="62"/>
    </row>
    <row r="34" spans="1:16" ht="15.75" x14ac:dyDescent="0.25">
      <c r="A34" s="330"/>
      <c r="B34" s="366"/>
      <c r="C34" s="106">
        <f t="shared" si="1"/>
        <v>17800</v>
      </c>
      <c r="D34" s="337" t="s">
        <v>9</v>
      </c>
      <c r="E34" s="115" t="s">
        <v>24</v>
      </c>
      <c r="F34" s="118"/>
      <c r="G34" s="117"/>
      <c r="H34" s="105">
        <f t="shared" si="0"/>
        <v>17800</v>
      </c>
      <c r="I34" s="118"/>
      <c r="P34" s="62"/>
    </row>
    <row r="35" spans="1:16" ht="15.75" x14ac:dyDescent="0.25">
      <c r="A35" s="331">
        <v>6.8</v>
      </c>
      <c r="B35" s="367"/>
      <c r="C35" s="106">
        <f t="shared" si="1"/>
        <v>192369535</v>
      </c>
      <c r="D35" s="338"/>
      <c r="E35" s="120" t="s">
        <v>25</v>
      </c>
      <c r="F35" s="173"/>
      <c r="G35" s="122">
        <f>Techcombank!F18</f>
        <v>108514000</v>
      </c>
      <c r="H35" s="105">
        <f t="shared" si="0"/>
        <v>83855535</v>
      </c>
      <c r="I35" s="121"/>
    </row>
    <row r="36" spans="1:16" ht="15.75" x14ac:dyDescent="0.25">
      <c r="A36" s="341">
        <v>7</v>
      </c>
      <c r="B36" s="344" t="s">
        <v>141</v>
      </c>
      <c r="C36" s="56">
        <f t="shared" si="1"/>
        <v>14964283</v>
      </c>
      <c r="D36" s="347" t="s">
        <v>17</v>
      </c>
      <c r="E36" s="348"/>
      <c r="F36" s="38"/>
      <c r="G36" s="39">
        <f>'Tiền mặt'!F19</f>
        <v>570000</v>
      </c>
      <c r="H36" s="40">
        <f t="shared" si="0"/>
        <v>14394283</v>
      </c>
      <c r="I36" s="41"/>
    </row>
    <row r="37" spans="1:16" ht="15.75" x14ac:dyDescent="0.25">
      <c r="A37" s="342"/>
      <c r="B37" s="345"/>
      <c r="C37" s="80">
        <f t="shared" si="1"/>
        <v>2001936646</v>
      </c>
      <c r="D37" s="349" t="s">
        <v>11</v>
      </c>
      <c r="E37" s="350"/>
      <c r="F37" s="72"/>
      <c r="G37" s="79">
        <f>SHB!F16</f>
        <v>1000000000</v>
      </c>
      <c r="H37" s="42">
        <f t="shared" si="0"/>
        <v>1001936646</v>
      </c>
      <c r="I37" s="72"/>
    </row>
    <row r="38" spans="1:16" ht="15.75" x14ac:dyDescent="0.25">
      <c r="A38" s="342">
        <v>7.6</v>
      </c>
      <c r="B38" s="345"/>
      <c r="C38" s="80">
        <f t="shared" si="1"/>
        <v>1366874922</v>
      </c>
      <c r="D38" s="349" t="s">
        <v>10</v>
      </c>
      <c r="E38" s="350"/>
      <c r="F38" s="63">
        <f>Vietinbank!E18</f>
        <v>6406400</v>
      </c>
      <c r="G38" s="63">
        <f>Vietinbank!F18</f>
        <v>8778000</v>
      </c>
      <c r="H38" s="42">
        <f t="shared" si="0"/>
        <v>1364503322</v>
      </c>
      <c r="I38" s="44"/>
    </row>
    <row r="39" spans="1:16" ht="15.75" x14ac:dyDescent="0.25">
      <c r="A39" s="342"/>
      <c r="B39" s="345"/>
      <c r="C39" s="80">
        <f t="shared" si="1"/>
        <v>17800</v>
      </c>
      <c r="D39" s="351" t="s">
        <v>9</v>
      </c>
      <c r="E39" s="46" t="s">
        <v>24</v>
      </c>
      <c r="F39" s="64"/>
      <c r="G39" s="65"/>
      <c r="H39" s="42">
        <f t="shared" si="0"/>
        <v>17800</v>
      </c>
      <c r="I39" s="49"/>
    </row>
    <row r="40" spans="1:16" ht="15.75" x14ac:dyDescent="0.25">
      <c r="A40" s="343">
        <v>8</v>
      </c>
      <c r="B40" s="346"/>
      <c r="C40" s="80">
        <f t="shared" si="1"/>
        <v>83855535</v>
      </c>
      <c r="D40" s="352"/>
      <c r="E40" s="51" t="s">
        <v>25</v>
      </c>
      <c r="F40" s="70">
        <f>Techcombank!E24</f>
        <v>1000000000</v>
      </c>
      <c r="G40" s="66">
        <f>Techcombank!F24</f>
        <v>66999014</v>
      </c>
      <c r="H40" s="42">
        <f t="shared" si="0"/>
        <v>1016856521</v>
      </c>
      <c r="I40" s="55"/>
    </row>
    <row r="41" spans="1:16" ht="15.75" x14ac:dyDescent="0.25">
      <c r="A41" s="329">
        <v>8</v>
      </c>
      <c r="B41" s="332">
        <v>44085</v>
      </c>
      <c r="C41" s="102">
        <f t="shared" si="1"/>
        <v>14394283</v>
      </c>
      <c r="D41" s="333" t="s">
        <v>17</v>
      </c>
      <c r="E41" s="334"/>
      <c r="F41" s="103"/>
      <c r="G41" s="123">
        <f>'Tiền mặt'!F23</f>
        <v>2500000</v>
      </c>
      <c r="H41" s="124">
        <f t="shared" si="0"/>
        <v>11894283</v>
      </c>
      <c r="I41" s="103"/>
    </row>
    <row r="42" spans="1:16" ht="15.75" x14ac:dyDescent="0.25">
      <c r="A42" s="330"/>
      <c r="B42" s="330"/>
      <c r="C42" s="106">
        <f t="shared" si="1"/>
        <v>1001936646</v>
      </c>
      <c r="D42" s="335" t="s">
        <v>11</v>
      </c>
      <c r="E42" s="336"/>
      <c r="F42" s="137"/>
      <c r="G42" s="129"/>
      <c r="H42" s="105">
        <f t="shared" si="0"/>
        <v>1001936646</v>
      </c>
      <c r="I42" s="109"/>
    </row>
    <row r="43" spans="1:16" ht="15.75" x14ac:dyDescent="0.25">
      <c r="A43" s="330">
        <v>8.8000000000000007</v>
      </c>
      <c r="B43" s="330"/>
      <c r="C43" s="106">
        <f t="shared" si="1"/>
        <v>1364503322</v>
      </c>
      <c r="D43" s="335" t="s">
        <v>10</v>
      </c>
      <c r="E43" s="336"/>
      <c r="F43" s="174"/>
      <c r="G43" s="130">
        <f>Vietinbank!F21</f>
        <v>257965600</v>
      </c>
      <c r="H43" s="105">
        <f t="shared" si="0"/>
        <v>1106537722</v>
      </c>
      <c r="I43" s="113"/>
    </row>
    <row r="44" spans="1:16" ht="15.75" x14ac:dyDescent="0.25">
      <c r="A44" s="330"/>
      <c r="B44" s="330"/>
      <c r="C44" s="106">
        <f t="shared" si="1"/>
        <v>17800</v>
      </c>
      <c r="D44" s="337" t="s">
        <v>9</v>
      </c>
      <c r="E44" s="115" t="s">
        <v>24</v>
      </c>
      <c r="F44" s="118"/>
      <c r="G44" s="131"/>
      <c r="H44" s="105">
        <f t="shared" si="0"/>
        <v>17800</v>
      </c>
      <c r="I44" s="118"/>
    </row>
    <row r="45" spans="1:16" ht="15.75" x14ac:dyDescent="0.25">
      <c r="A45" s="331">
        <v>9.1999999999999993</v>
      </c>
      <c r="B45" s="331"/>
      <c r="C45" s="119">
        <f t="shared" si="1"/>
        <v>1016856521</v>
      </c>
      <c r="D45" s="338"/>
      <c r="E45" s="120" t="s">
        <v>25</v>
      </c>
      <c r="F45" s="122"/>
      <c r="G45" s="132">
        <f>Techcombank!F29</f>
        <v>5420000</v>
      </c>
      <c r="H45" s="133">
        <f t="shared" si="0"/>
        <v>1011436521</v>
      </c>
      <c r="I45" s="121"/>
    </row>
    <row r="46" spans="1:16" s="67" customFormat="1" ht="15.75" x14ac:dyDescent="0.25">
      <c r="A46" s="341">
        <v>9</v>
      </c>
      <c r="B46" s="344" t="s">
        <v>181</v>
      </c>
      <c r="C46" s="56">
        <f t="shared" si="1"/>
        <v>11894283</v>
      </c>
      <c r="D46" s="347" t="s">
        <v>17</v>
      </c>
      <c r="E46" s="348"/>
      <c r="F46" s="38"/>
      <c r="G46" s="39"/>
      <c r="H46" s="40">
        <f t="shared" si="0"/>
        <v>11894283</v>
      </c>
      <c r="I46" s="41"/>
    </row>
    <row r="47" spans="1:16" s="67" customFormat="1" ht="15.75" x14ac:dyDescent="0.25">
      <c r="A47" s="342"/>
      <c r="B47" s="345"/>
      <c r="C47" s="80">
        <f t="shared" si="1"/>
        <v>1001936646</v>
      </c>
      <c r="D47" s="349" t="s">
        <v>11</v>
      </c>
      <c r="E47" s="350"/>
      <c r="F47" s="81"/>
      <c r="G47" s="79"/>
      <c r="H47" s="42">
        <f t="shared" si="0"/>
        <v>1001936646</v>
      </c>
      <c r="I47" s="72"/>
    </row>
    <row r="48" spans="1:16" s="67" customFormat="1" ht="15.75" x14ac:dyDescent="0.25">
      <c r="A48" s="342">
        <v>7.6</v>
      </c>
      <c r="B48" s="345"/>
      <c r="C48" s="80">
        <f t="shared" si="1"/>
        <v>1106537722</v>
      </c>
      <c r="D48" s="349" t="s">
        <v>10</v>
      </c>
      <c r="E48" s="350"/>
      <c r="F48" s="63">
        <f>Vietinbank!E24</f>
        <v>333557653</v>
      </c>
      <c r="G48" s="63">
        <f>Vietinbank!F24</f>
        <v>802074338</v>
      </c>
      <c r="H48" s="42">
        <f t="shared" si="0"/>
        <v>638021037</v>
      </c>
      <c r="I48" s="44"/>
    </row>
    <row r="49" spans="1:15" s="67" customFormat="1" ht="15.75" x14ac:dyDescent="0.25">
      <c r="A49" s="342"/>
      <c r="B49" s="345"/>
      <c r="C49" s="80">
        <f t="shared" si="1"/>
        <v>17800</v>
      </c>
      <c r="D49" s="351" t="s">
        <v>9</v>
      </c>
      <c r="E49" s="46" t="s">
        <v>24</v>
      </c>
      <c r="F49" s="64"/>
      <c r="G49" s="65"/>
      <c r="H49" s="42">
        <f t="shared" si="0"/>
        <v>17800</v>
      </c>
      <c r="I49" s="49"/>
    </row>
    <row r="50" spans="1:15" s="67" customFormat="1" ht="15.75" x14ac:dyDescent="0.25">
      <c r="A50" s="343">
        <v>8</v>
      </c>
      <c r="B50" s="346"/>
      <c r="C50" s="68">
        <f t="shared" si="1"/>
        <v>1011436521</v>
      </c>
      <c r="D50" s="352"/>
      <c r="E50" s="51" t="s">
        <v>25</v>
      </c>
      <c r="F50" s="70">
        <f>Techcombank!E33</f>
        <v>472430000</v>
      </c>
      <c r="G50" s="66">
        <f>Techcombank!F33</f>
        <v>389952776</v>
      </c>
      <c r="H50" s="69">
        <f t="shared" si="0"/>
        <v>1093913745</v>
      </c>
      <c r="I50" s="55"/>
    </row>
    <row r="51" spans="1:15" s="67" customFormat="1" ht="15.75" x14ac:dyDescent="0.25">
      <c r="A51" s="329">
        <v>10</v>
      </c>
      <c r="B51" s="332">
        <v>44089</v>
      </c>
      <c r="C51" s="102">
        <f t="shared" si="1"/>
        <v>11894283</v>
      </c>
      <c r="D51" s="333" t="s">
        <v>17</v>
      </c>
      <c r="E51" s="334"/>
      <c r="F51" s="103"/>
      <c r="G51" s="123">
        <f>'Tiền mặt'!F25</f>
        <v>1253000</v>
      </c>
      <c r="H51" s="124">
        <f t="shared" si="0"/>
        <v>10641283</v>
      </c>
      <c r="I51" s="103"/>
    </row>
    <row r="52" spans="1:15" s="67" customFormat="1" ht="15.75" x14ac:dyDescent="0.25">
      <c r="A52" s="330"/>
      <c r="B52" s="330"/>
      <c r="C52" s="106">
        <f t="shared" si="1"/>
        <v>1001936646</v>
      </c>
      <c r="D52" s="335" t="s">
        <v>11</v>
      </c>
      <c r="E52" s="336"/>
      <c r="F52" s="109"/>
      <c r="G52" s="129"/>
      <c r="H52" s="105">
        <f t="shared" si="0"/>
        <v>1001936646</v>
      </c>
      <c r="I52" s="109"/>
    </row>
    <row r="53" spans="1:15" s="67" customFormat="1" ht="15.75" x14ac:dyDescent="0.25">
      <c r="A53" s="330">
        <v>8.8000000000000007</v>
      </c>
      <c r="B53" s="330"/>
      <c r="C53" s="106">
        <f t="shared" si="1"/>
        <v>638021037</v>
      </c>
      <c r="D53" s="335" t="s">
        <v>10</v>
      </c>
      <c r="E53" s="336"/>
      <c r="F53" s="134">
        <f>Vietinbank!E31</f>
        <v>172029000</v>
      </c>
      <c r="G53" s="130">
        <f>Vietinbank!F31</f>
        <v>14700000</v>
      </c>
      <c r="H53" s="105">
        <f t="shared" si="0"/>
        <v>795350037</v>
      </c>
      <c r="I53" s="113"/>
    </row>
    <row r="54" spans="1:15" s="67" customFormat="1" ht="15.75" x14ac:dyDescent="0.25">
      <c r="A54" s="330"/>
      <c r="B54" s="330"/>
      <c r="C54" s="106">
        <f t="shared" si="1"/>
        <v>17800</v>
      </c>
      <c r="D54" s="337" t="s">
        <v>9</v>
      </c>
      <c r="E54" s="115" t="s">
        <v>24</v>
      </c>
      <c r="F54" s="118"/>
      <c r="G54" s="131"/>
      <c r="H54" s="105">
        <f t="shared" si="0"/>
        <v>17800</v>
      </c>
      <c r="I54" s="118"/>
    </row>
    <row r="55" spans="1:15" s="67" customFormat="1" ht="15.75" x14ac:dyDescent="0.25">
      <c r="A55" s="331">
        <v>9.1999999999999993</v>
      </c>
      <c r="B55" s="331"/>
      <c r="C55" s="119">
        <f t="shared" si="1"/>
        <v>1093913745</v>
      </c>
      <c r="D55" s="338"/>
      <c r="E55" s="120" t="s">
        <v>25</v>
      </c>
      <c r="F55" s="122"/>
      <c r="G55" s="132">
        <f>Techcombank!F46</f>
        <v>500000</v>
      </c>
      <c r="H55" s="133">
        <f t="shared" si="0"/>
        <v>1093413745</v>
      </c>
      <c r="I55" s="121"/>
    </row>
    <row r="56" spans="1:15" s="67" customFormat="1" ht="15.75" x14ac:dyDescent="0.25">
      <c r="A56" s="341">
        <v>11</v>
      </c>
      <c r="B56" s="344" t="s">
        <v>195</v>
      </c>
      <c r="C56" s="56">
        <f t="shared" si="1"/>
        <v>10641283</v>
      </c>
      <c r="D56" s="347" t="s">
        <v>17</v>
      </c>
      <c r="E56" s="348"/>
      <c r="F56" s="38"/>
      <c r="G56" s="39">
        <f>'Tiền mặt'!F28</f>
        <v>502348</v>
      </c>
      <c r="H56" s="40">
        <f t="shared" si="0"/>
        <v>10138935</v>
      </c>
      <c r="I56" s="41"/>
    </row>
    <row r="57" spans="1:15" s="67" customFormat="1" ht="15.75" x14ac:dyDescent="0.25">
      <c r="A57" s="342"/>
      <c r="B57" s="345"/>
      <c r="C57" s="80">
        <f t="shared" si="1"/>
        <v>1001936646</v>
      </c>
      <c r="D57" s="349" t="s">
        <v>11</v>
      </c>
      <c r="E57" s="350"/>
      <c r="F57" s="81"/>
      <c r="G57" s="79"/>
      <c r="H57" s="42">
        <f t="shared" si="0"/>
        <v>1001936646</v>
      </c>
      <c r="I57" s="72"/>
    </row>
    <row r="58" spans="1:15" s="67" customFormat="1" ht="15.75" x14ac:dyDescent="0.25">
      <c r="A58" s="342">
        <v>7.6</v>
      </c>
      <c r="B58" s="345"/>
      <c r="C58" s="80">
        <f t="shared" si="1"/>
        <v>795350037</v>
      </c>
      <c r="D58" s="349" t="s">
        <v>10</v>
      </c>
      <c r="E58" s="350"/>
      <c r="F58" s="63"/>
      <c r="G58" s="63">
        <f>Vietinbank!F36</f>
        <v>57012464</v>
      </c>
      <c r="H58" s="42">
        <f t="shared" si="0"/>
        <v>738337573</v>
      </c>
      <c r="I58" s="44"/>
    </row>
    <row r="59" spans="1:15" s="67" customFormat="1" ht="15.75" x14ac:dyDescent="0.25">
      <c r="A59" s="342"/>
      <c r="B59" s="345"/>
      <c r="C59" s="80">
        <f t="shared" si="1"/>
        <v>17800</v>
      </c>
      <c r="D59" s="351" t="s">
        <v>9</v>
      </c>
      <c r="E59" s="46" t="s">
        <v>24</v>
      </c>
      <c r="F59" s="64"/>
      <c r="G59" s="65"/>
      <c r="H59" s="42">
        <f t="shared" si="0"/>
        <v>17800</v>
      </c>
      <c r="I59" s="49"/>
    </row>
    <row r="60" spans="1:15" s="67" customFormat="1" ht="15.75" x14ac:dyDescent="0.25">
      <c r="A60" s="343">
        <v>8</v>
      </c>
      <c r="B60" s="346"/>
      <c r="C60" s="68">
        <f t="shared" si="1"/>
        <v>1093413745</v>
      </c>
      <c r="D60" s="352"/>
      <c r="E60" s="51" t="s">
        <v>25</v>
      </c>
      <c r="F60" s="70"/>
      <c r="G60" s="66">
        <f>Techcombank!F48</f>
        <v>84500000</v>
      </c>
      <c r="H60" s="69">
        <f t="shared" si="0"/>
        <v>1008913745</v>
      </c>
      <c r="I60" s="55"/>
      <c r="O60" s="71"/>
    </row>
    <row r="61" spans="1:15" s="67" customFormat="1" ht="15.75" x14ac:dyDescent="0.25">
      <c r="A61" s="329">
        <v>12</v>
      </c>
      <c r="B61" s="332">
        <v>44093</v>
      </c>
      <c r="C61" s="102">
        <f t="shared" si="1"/>
        <v>10138935</v>
      </c>
      <c r="D61" s="333" t="s">
        <v>17</v>
      </c>
      <c r="E61" s="334"/>
      <c r="F61" s="135"/>
      <c r="G61" s="136">
        <f>'Tiền mặt'!F30</f>
        <v>3715000</v>
      </c>
      <c r="H61" s="124">
        <f t="shared" si="0"/>
        <v>6423935</v>
      </c>
      <c r="I61" s="103"/>
    </row>
    <row r="62" spans="1:15" s="67" customFormat="1" ht="15.75" x14ac:dyDescent="0.25">
      <c r="A62" s="330"/>
      <c r="B62" s="330"/>
      <c r="C62" s="106">
        <f t="shared" si="1"/>
        <v>1001936646</v>
      </c>
      <c r="D62" s="335" t="s">
        <v>11</v>
      </c>
      <c r="E62" s="336"/>
      <c r="F62" s="137"/>
      <c r="G62" s="138"/>
      <c r="H62" s="105">
        <f t="shared" si="0"/>
        <v>1001936646</v>
      </c>
      <c r="I62" s="109"/>
    </row>
    <row r="63" spans="1:15" s="67" customFormat="1" ht="15.75" x14ac:dyDescent="0.25">
      <c r="A63" s="330">
        <v>8.8000000000000007</v>
      </c>
      <c r="B63" s="330"/>
      <c r="C63" s="106">
        <f t="shared" si="1"/>
        <v>738337573</v>
      </c>
      <c r="D63" s="335" t="s">
        <v>10</v>
      </c>
      <c r="E63" s="336"/>
      <c r="F63" s="139">
        <f>Vietinbank!E40</f>
        <v>118060316</v>
      </c>
      <c r="G63" s="130">
        <f>Vietinbank!F40</f>
        <v>6196623</v>
      </c>
      <c r="H63" s="105">
        <f t="shared" si="0"/>
        <v>850201266</v>
      </c>
      <c r="I63" s="113"/>
    </row>
    <row r="64" spans="1:15" s="67" customFormat="1" ht="15.75" x14ac:dyDescent="0.25">
      <c r="A64" s="330"/>
      <c r="B64" s="330"/>
      <c r="C64" s="106">
        <f t="shared" si="1"/>
        <v>17800</v>
      </c>
      <c r="D64" s="337" t="s">
        <v>9</v>
      </c>
      <c r="E64" s="115" t="s">
        <v>24</v>
      </c>
      <c r="F64" s="140"/>
      <c r="G64" s="131"/>
      <c r="H64" s="105">
        <f t="shared" si="0"/>
        <v>17800</v>
      </c>
      <c r="I64" s="118"/>
    </row>
    <row r="65" spans="1:11" s="67" customFormat="1" ht="15.75" x14ac:dyDescent="0.25">
      <c r="A65" s="331">
        <v>9.1999999999999993</v>
      </c>
      <c r="B65" s="331"/>
      <c r="C65" s="119">
        <f t="shared" si="1"/>
        <v>1008913745</v>
      </c>
      <c r="D65" s="338"/>
      <c r="E65" s="120" t="s">
        <v>25</v>
      </c>
      <c r="F65" s="122"/>
      <c r="G65" s="141">
        <f>Techcombank!F54</f>
        <v>880662935</v>
      </c>
      <c r="H65" s="133">
        <f t="shared" si="0"/>
        <v>128250810</v>
      </c>
      <c r="I65" s="121"/>
    </row>
    <row r="66" spans="1:11" s="67" customFormat="1" ht="15.75" x14ac:dyDescent="0.25">
      <c r="A66" s="341">
        <v>13</v>
      </c>
      <c r="B66" s="344" t="s">
        <v>228</v>
      </c>
      <c r="C66" s="56">
        <f t="shared" ref="C66:C75" si="2">H61</f>
        <v>6423935</v>
      </c>
      <c r="D66" s="347" t="s">
        <v>17</v>
      </c>
      <c r="E66" s="348"/>
      <c r="F66" s="84"/>
      <c r="G66" s="39"/>
      <c r="H66" s="40">
        <f t="shared" ref="H66:H75" si="3">ROUND(C66+F66-G66,2)</f>
        <v>6423935</v>
      </c>
      <c r="I66" s="41"/>
    </row>
    <row r="67" spans="1:11" s="67" customFormat="1" ht="15.75" x14ac:dyDescent="0.25">
      <c r="A67" s="342"/>
      <c r="B67" s="345"/>
      <c r="C67" s="80">
        <f t="shared" si="2"/>
        <v>1001936646</v>
      </c>
      <c r="D67" s="349" t="s">
        <v>11</v>
      </c>
      <c r="E67" s="350"/>
      <c r="F67" s="85"/>
      <c r="G67" s="79"/>
      <c r="H67" s="42">
        <f t="shared" si="3"/>
        <v>1001936646</v>
      </c>
      <c r="I67" s="72"/>
      <c r="K67" s="71"/>
    </row>
    <row r="68" spans="1:11" s="67" customFormat="1" ht="15.75" x14ac:dyDescent="0.25">
      <c r="A68" s="342">
        <v>7.6</v>
      </c>
      <c r="B68" s="345"/>
      <c r="C68" s="80">
        <f t="shared" si="2"/>
        <v>850201266</v>
      </c>
      <c r="D68" s="349" t="s">
        <v>10</v>
      </c>
      <c r="E68" s="350"/>
      <c r="F68" s="86"/>
      <c r="G68" s="86">
        <f>Vietinbank!F43</f>
        <v>82965005</v>
      </c>
      <c r="H68" s="42">
        <f t="shared" si="3"/>
        <v>767236261</v>
      </c>
      <c r="I68" s="44"/>
    </row>
    <row r="69" spans="1:11" s="67" customFormat="1" ht="15.75" x14ac:dyDescent="0.25">
      <c r="A69" s="342"/>
      <c r="B69" s="345"/>
      <c r="C69" s="80">
        <f t="shared" si="2"/>
        <v>17800</v>
      </c>
      <c r="D69" s="351" t="s">
        <v>9</v>
      </c>
      <c r="E69" s="46" t="s">
        <v>24</v>
      </c>
      <c r="F69" s="87"/>
      <c r="G69" s="88"/>
      <c r="H69" s="42">
        <f t="shared" si="3"/>
        <v>17800</v>
      </c>
      <c r="I69" s="49"/>
    </row>
    <row r="70" spans="1:11" s="67" customFormat="1" ht="15.75" x14ac:dyDescent="0.25">
      <c r="A70" s="343">
        <v>8</v>
      </c>
      <c r="B70" s="346"/>
      <c r="C70" s="80">
        <f t="shared" si="2"/>
        <v>128250810</v>
      </c>
      <c r="D70" s="352"/>
      <c r="E70" s="51" t="s">
        <v>25</v>
      </c>
      <c r="F70" s="70"/>
      <c r="G70" s="66">
        <f>Techcombank!F66</f>
        <v>79927000</v>
      </c>
      <c r="H70" s="69">
        <f t="shared" si="3"/>
        <v>48323810</v>
      </c>
      <c r="I70" s="55"/>
    </row>
    <row r="71" spans="1:11" s="67" customFormat="1" ht="15.75" x14ac:dyDescent="0.25">
      <c r="A71" s="329">
        <v>14</v>
      </c>
      <c r="B71" s="332">
        <v>44096</v>
      </c>
      <c r="C71" s="102">
        <f t="shared" si="2"/>
        <v>6423935</v>
      </c>
      <c r="D71" s="333" t="s">
        <v>17</v>
      </c>
      <c r="E71" s="334"/>
      <c r="F71" s="135">
        <f>'Tiền mặt'!E33</f>
        <v>114100000</v>
      </c>
      <c r="G71" s="136">
        <f>'Tiền mặt'!F33</f>
        <v>60545000</v>
      </c>
      <c r="H71" s="124">
        <f t="shared" si="3"/>
        <v>59978935</v>
      </c>
      <c r="I71" s="103"/>
    </row>
    <row r="72" spans="1:11" s="67" customFormat="1" ht="15.75" x14ac:dyDescent="0.25">
      <c r="A72" s="330"/>
      <c r="B72" s="330"/>
      <c r="C72" s="106">
        <f t="shared" si="2"/>
        <v>1001936646</v>
      </c>
      <c r="D72" s="335" t="s">
        <v>11</v>
      </c>
      <c r="E72" s="336"/>
      <c r="F72" s="137"/>
      <c r="G72" s="138">
        <f>SHB!F18</f>
        <v>100000000</v>
      </c>
      <c r="H72" s="105">
        <f t="shared" si="3"/>
        <v>901936646</v>
      </c>
      <c r="I72" s="109"/>
    </row>
    <row r="73" spans="1:11" s="67" customFormat="1" ht="15.75" x14ac:dyDescent="0.25">
      <c r="A73" s="330">
        <v>8.8000000000000007</v>
      </c>
      <c r="B73" s="330"/>
      <c r="C73" s="106">
        <f t="shared" si="2"/>
        <v>767236261</v>
      </c>
      <c r="D73" s="335" t="s">
        <v>10</v>
      </c>
      <c r="E73" s="336"/>
      <c r="F73" s="139">
        <f>Vietinbank!E47</f>
        <v>147907095</v>
      </c>
      <c r="G73" s="130">
        <f>Vietinbank!F47</f>
        <v>114319095</v>
      </c>
      <c r="H73" s="105">
        <f t="shared" si="3"/>
        <v>800824261</v>
      </c>
      <c r="I73" s="113"/>
    </row>
    <row r="74" spans="1:11" s="67" customFormat="1" ht="15.75" x14ac:dyDescent="0.25">
      <c r="A74" s="330"/>
      <c r="B74" s="330"/>
      <c r="C74" s="106">
        <f t="shared" si="2"/>
        <v>17800</v>
      </c>
      <c r="D74" s="337" t="s">
        <v>9</v>
      </c>
      <c r="E74" s="115" t="s">
        <v>24</v>
      </c>
      <c r="F74" s="140"/>
      <c r="G74" s="131"/>
      <c r="H74" s="105">
        <f t="shared" si="3"/>
        <v>17800</v>
      </c>
      <c r="I74" s="118"/>
    </row>
    <row r="75" spans="1:11" s="67" customFormat="1" ht="15.75" x14ac:dyDescent="0.25">
      <c r="A75" s="331">
        <v>9.1999999999999993</v>
      </c>
      <c r="B75" s="331"/>
      <c r="C75" s="119">
        <f t="shared" si="2"/>
        <v>48323810</v>
      </c>
      <c r="D75" s="338"/>
      <c r="E75" s="120" t="s">
        <v>25</v>
      </c>
      <c r="F75" s="122"/>
      <c r="G75" s="141">
        <f>Techcombank!F72</f>
        <v>8733690</v>
      </c>
      <c r="H75" s="133">
        <f t="shared" si="3"/>
        <v>39590120</v>
      </c>
      <c r="I75" s="121"/>
    </row>
    <row r="76" spans="1:11" s="67" customFormat="1" ht="15.75" x14ac:dyDescent="0.25">
      <c r="A76" s="341">
        <v>15</v>
      </c>
      <c r="B76" s="344" t="s">
        <v>257</v>
      </c>
      <c r="C76" s="56">
        <f t="shared" ref="C76:C90" si="4">H71</f>
        <v>59978935</v>
      </c>
      <c r="D76" s="347" t="s">
        <v>17</v>
      </c>
      <c r="E76" s="348"/>
      <c r="F76" s="84"/>
      <c r="G76" s="39">
        <f>'Tiền mặt'!F40</f>
        <v>114000</v>
      </c>
      <c r="H76" s="40">
        <f t="shared" ref="H76:H90" si="5">ROUND(C76+F76-G76,2)</f>
        <v>59864935</v>
      </c>
      <c r="I76" s="41"/>
    </row>
    <row r="77" spans="1:11" s="67" customFormat="1" ht="15.75" x14ac:dyDescent="0.25">
      <c r="A77" s="342"/>
      <c r="B77" s="345"/>
      <c r="C77" s="80">
        <f t="shared" si="4"/>
        <v>901936646</v>
      </c>
      <c r="D77" s="349" t="s">
        <v>11</v>
      </c>
      <c r="E77" s="350"/>
      <c r="F77" s="85">
        <f>SHB!E20</f>
        <v>31451200</v>
      </c>
      <c r="G77" s="79">
        <f>SHB!F20</f>
        <v>690011000</v>
      </c>
      <c r="H77" s="42">
        <f t="shared" si="5"/>
        <v>243376846</v>
      </c>
      <c r="I77" s="72"/>
    </row>
    <row r="78" spans="1:11" s="67" customFormat="1" ht="15.75" x14ac:dyDescent="0.25">
      <c r="A78" s="342">
        <v>7.6</v>
      </c>
      <c r="B78" s="345"/>
      <c r="C78" s="80">
        <f t="shared" si="4"/>
        <v>800824261</v>
      </c>
      <c r="D78" s="349" t="s">
        <v>10</v>
      </c>
      <c r="E78" s="350"/>
      <c r="F78" s="86"/>
      <c r="G78" s="86">
        <f>Vietinbank!F52</f>
        <v>63744000</v>
      </c>
      <c r="H78" s="42">
        <f t="shared" si="5"/>
        <v>737080261</v>
      </c>
      <c r="I78" s="44"/>
    </row>
    <row r="79" spans="1:11" s="67" customFormat="1" ht="15.75" x14ac:dyDescent="0.25">
      <c r="A79" s="342"/>
      <c r="B79" s="345"/>
      <c r="C79" s="80">
        <f t="shared" si="4"/>
        <v>17800</v>
      </c>
      <c r="D79" s="351" t="s">
        <v>9</v>
      </c>
      <c r="E79" s="46" t="s">
        <v>24</v>
      </c>
      <c r="F79" s="87"/>
      <c r="G79" s="88"/>
      <c r="H79" s="42">
        <f t="shared" si="5"/>
        <v>17800</v>
      </c>
      <c r="I79" s="49"/>
    </row>
    <row r="80" spans="1:11" s="67" customFormat="1" ht="15.75" x14ac:dyDescent="0.25">
      <c r="A80" s="343">
        <v>8</v>
      </c>
      <c r="B80" s="346"/>
      <c r="C80" s="80">
        <f t="shared" si="4"/>
        <v>39590120</v>
      </c>
      <c r="D80" s="352"/>
      <c r="E80" s="51" t="s">
        <v>25</v>
      </c>
      <c r="F80" s="70">
        <f>Techcombank!E74</f>
        <v>690000000</v>
      </c>
      <c r="G80" s="66">
        <f>Techcombank!F74</f>
        <v>117859000</v>
      </c>
      <c r="H80" s="69">
        <f t="shared" si="5"/>
        <v>611731120</v>
      </c>
      <c r="I80" s="55"/>
    </row>
    <row r="81" spans="1:9" s="67" customFormat="1" ht="15.75" x14ac:dyDescent="0.25">
      <c r="A81" s="329">
        <v>16</v>
      </c>
      <c r="B81" s="332">
        <v>44102</v>
      </c>
      <c r="C81" s="102">
        <f t="shared" si="4"/>
        <v>59864935</v>
      </c>
      <c r="D81" s="333" t="s">
        <v>17</v>
      </c>
      <c r="E81" s="334"/>
      <c r="F81" s="135"/>
      <c r="G81" s="136">
        <f>'Tiền mặt'!F42</f>
        <v>41812850</v>
      </c>
      <c r="H81" s="124">
        <f t="shared" si="5"/>
        <v>18052085</v>
      </c>
      <c r="I81" s="103"/>
    </row>
    <row r="82" spans="1:9" s="67" customFormat="1" ht="15.75" x14ac:dyDescent="0.25">
      <c r="A82" s="330"/>
      <c r="B82" s="330"/>
      <c r="C82" s="106">
        <f t="shared" si="4"/>
        <v>243376846</v>
      </c>
      <c r="D82" s="335" t="s">
        <v>11</v>
      </c>
      <c r="E82" s="336"/>
      <c r="F82" s="137"/>
      <c r="G82" s="138">
        <f>SHB!F24</f>
        <v>922000</v>
      </c>
      <c r="H82" s="105">
        <f t="shared" si="5"/>
        <v>242454846</v>
      </c>
      <c r="I82" s="109"/>
    </row>
    <row r="83" spans="1:9" s="67" customFormat="1" ht="15.75" x14ac:dyDescent="0.25">
      <c r="A83" s="330">
        <v>8.8000000000000007</v>
      </c>
      <c r="B83" s="330"/>
      <c r="C83" s="106">
        <f t="shared" si="4"/>
        <v>737080261</v>
      </c>
      <c r="D83" s="335" t="s">
        <v>10</v>
      </c>
      <c r="E83" s="336"/>
      <c r="F83" s="139"/>
      <c r="G83" s="130">
        <f>Vietinbank!F54</f>
        <v>733870070</v>
      </c>
      <c r="H83" s="105">
        <f t="shared" si="5"/>
        <v>3210191</v>
      </c>
      <c r="I83" s="113"/>
    </row>
    <row r="84" spans="1:9" s="67" customFormat="1" ht="15.75" x14ac:dyDescent="0.25">
      <c r="A84" s="330"/>
      <c r="B84" s="330"/>
      <c r="C84" s="106">
        <f t="shared" si="4"/>
        <v>17800</v>
      </c>
      <c r="D84" s="337" t="s">
        <v>9</v>
      </c>
      <c r="E84" s="115" t="s">
        <v>24</v>
      </c>
      <c r="F84" s="140"/>
      <c r="G84" s="131"/>
      <c r="H84" s="105">
        <f t="shared" si="5"/>
        <v>17800</v>
      </c>
      <c r="I84" s="118"/>
    </row>
    <row r="85" spans="1:9" s="67" customFormat="1" ht="15.75" x14ac:dyDescent="0.25">
      <c r="A85" s="331">
        <v>9.1999999999999993</v>
      </c>
      <c r="B85" s="331"/>
      <c r="C85" s="119">
        <f t="shared" si="4"/>
        <v>611731120</v>
      </c>
      <c r="D85" s="338"/>
      <c r="E85" s="120" t="s">
        <v>25</v>
      </c>
      <c r="F85" s="122">
        <f>Techcombank!E82</f>
        <v>501517372</v>
      </c>
      <c r="G85" s="141">
        <f>Techcombank!F82</f>
        <v>104147725</v>
      </c>
      <c r="H85" s="133">
        <f t="shared" si="5"/>
        <v>1009100767</v>
      </c>
      <c r="I85" s="121"/>
    </row>
    <row r="86" spans="1:9" s="67" customFormat="1" ht="15.75" x14ac:dyDescent="0.25">
      <c r="A86" s="341">
        <v>17</v>
      </c>
      <c r="B86" s="344" t="s">
        <v>281</v>
      </c>
      <c r="C86" s="56">
        <f t="shared" si="4"/>
        <v>18052085</v>
      </c>
      <c r="D86" s="347" t="s">
        <v>17</v>
      </c>
      <c r="E86" s="348"/>
      <c r="F86" s="84"/>
      <c r="G86" s="39">
        <f>'Tiền mặt'!F45</f>
        <v>1220000</v>
      </c>
      <c r="H86" s="40">
        <f t="shared" si="5"/>
        <v>16832085</v>
      </c>
      <c r="I86" s="41"/>
    </row>
    <row r="87" spans="1:9" s="67" customFormat="1" ht="15.75" x14ac:dyDescent="0.25">
      <c r="A87" s="342"/>
      <c r="B87" s="345"/>
      <c r="C87" s="80">
        <f t="shared" si="4"/>
        <v>242454846</v>
      </c>
      <c r="D87" s="349" t="s">
        <v>11</v>
      </c>
      <c r="E87" s="350"/>
      <c r="F87" s="85"/>
      <c r="G87" s="79"/>
      <c r="H87" s="42">
        <f t="shared" si="5"/>
        <v>242454846</v>
      </c>
      <c r="I87" s="72"/>
    </row>
    <row r="88" spans="1:9" s="67" customFormat="1" ht="15.75" x14ac:dyDescent="0.25">
      <c r="A88" s="342">
        <v>7.6</v>
      </c>
      <c r="B88" s="345"/>
      <c r="C88" s="80">
        <f t="shared" si="4"/>
        <v>3210191</v>
      </c>
      <c r="D88" s="349" t="s">
        <v>10</v>
      </c>
      <c r="E88" s="350"/>
      <c r="F88" s="86">
        <f>Vietinbank!E58</f>
        <v>1110165761</v>
      </c>
      <c r="G88" s="86">
        <f>Vietinbank!F58</f>
        <v>1000000</v>
      </c>
      <c r="H88" s="42">
        <f t="shared" si="5"/>
        <v>1112375952</v>
      </c>
      <c r="I88" s="44"/>
    </row>
    <row r="89" spans="1:9" s="67" customFormat="1" ht="15.75" x14ac:dyDescent="0.25">
      <c r="A89" s="342"/>
      <c r="B89" s="345"/>
      <c r="C89" s="80">
        <f t="shared" si="4"/>
        <v>17800</v>
      </c>
      <c r="D89" s="351" t="s">
        <v>9</v>
      </c>
      <c r="E89" s="46" t="s">
        <v>24</v>
      </c>
      <c r="F89" s="87"/>
      <c r="G89" s="88"/>
      <c r="H89" s="42">
        <f t="shared" si="5"/>
        <v>17800</v>
      </c>
      <c r="I89" s="49"/>
    </row>
    <row r="90" spans="1:9" s="67" customFormat="1" ht="15.75" x14ac:dyDescent="0.25">
      <c r="A90" s="343">
        <v>8</v>
      </c>
      <c r="B90" s="346"/>
      <c r="C90" s="68">
        <f t="shared" si="4"/>
        <v>1009100767</v>
      </c>
      <c r="D90" s="352"/>
      <c r="E90" s="51" t="s">
        <v>25</v>
      </c>
      <c r="F90" s="70"/>
      <c r="G90" s="66">
        <f>Techcombank!F93</f>
        <v>56492900</v>
      </c>
      <c r="H90" s="69">
        <f t="shared" si="5"/>
        <v>952607867</v>
      </c>
      <c r="I90" s="55"/>
    </row>
    <row r="91" spans="1:9" s="67" customFormat="1" ht="15.75" x14ac:dyDescent="0.25">
      <c r="A91" s="329">
        <v>18</v>
      </c>
      <c r="B91" s="332">
        <v>44104</v>
      </c>
      <c r="C91" s="102">
        <f>H86</f>
        <v>16832085</v>
      </c>
      <c r="D91" s="333" t="s">
        <v>17</v>
      </c>
      <c r="E91" s="334"/>
      <c r="F91" s="135"/>
      <c r="G91" s="136"/>
      <c r="H91" s="124">
        <f>ROUND(C91+F91-G91,2)</f>
        <v>16832085</v>
      </c>
      <c r="I91" s="103"/>
    </row>
    <row r="92" spans="1:9" s="67" customFormat="1" ht="15.75" x14ac:dyDescent="0.25">
      <c r="A92" s="330"/>
      <c r="B92" s="330"/>
      <c r="C92" s="106">
        <f>H87</f>
        <v>242454846</v>
      </c>
      <c r="D92" s="335" t="s">
        <v>11</v>
      </c>
      <c r="E92" s="336"/>
      <c r="F92" s="137"/>
      <c r="G92" s="138"/>
      <c r="H92" s="105">
        <f>ROUND(C92+F92-G92,2)</f>
        <v>242454846</v>
      </c>
      <c r="I92" s="109"/>
    </row>
    <row r="93" spans="1:9" s="67" customFormat="1" ht="15.75" x14ac:dyDescent="0.25">
      <c r="A93" s="330">
        <v>8.8000000000000007</v>
      </c>
      <c r="B93" s="330"/>
      <c r="C93" s="106">
        <f>H88</f>
        <v>1112375952</v>
      </c>
      <c r="D93" s="335" t="s">
        <v>10</v>
      </c>
      <c r="E93" s="336"/>
      <c r="F93" s="139">
        <f>Vietinbank!E61</f>
        <v>58027738</v>
      </c>
      <c r="G93" s="130">
        <f>Vietinbank!F61</f>
        <v>745458116</v>
      </c>
      <c r="H93" s="105">
        <f>ROUND(C93+F93-G93,2)</f>
        <v>424945574</v>
      </c>
      <c r="I93" s="113"/>
    </row>
    <row r="94" spans="1:9" s="67" customFormat="1" ht="15.75" x14ac:dyDescent="0.25">
      <c r="A94" s="330"/>
      <c r="B94" s="330"/>
      <c r="C94" s="106">
        <f>H89</f>
        <v>17800</v>
      </c>
      <c r="D94" s="337" t="s">
        <v>9</v>
      </c>
      <c r="E94" s="115" t="s">
        <v>24</v>
      </c>
      <c r="F94" s="140"/>
      <c r="G94" s="131"/>
      <c r="H94" s="105">
        <f>ROUND(C94+F94-G94,2)</f>
        <v>17800</v>
      </c>
      <c r="I94" s="118"/>
    </row>
    <row r="95" spans="1:9" s="67" customFormat="1" ht="15.75" x14ac:dyDescent="0.25">
      <c r="A95" s="331">
        <v>9.1999999999999993</v>
      </c>
      <c r="B95" s="331"/>
      <c r="C95" s="119">
        <f>H90</f>
        <v>952607867</v>
      </c>
      <c r="D95" s="338"/>
      <c r="E95" s="120" t="s">
        <v>25</v>
      </c>
      <c r="F95" s="122">
        <f>Techcombank!E96</f>
        <v>723070000</v>
      </c>
      <c r="G95" s="141">
        <f>Techcombank!F96</f>
        <v>21217000</v>
      </c>
      <c r="H95" s="133">
        <f>ROUND(C95+F95-G95,2)</f>
        <v>1654460867</v>
      </c>
      <c r="I95" s="121"/>
    </row>
    <row r="96" spans="1:9" ht="15.75" x14ac:dyDescent="0.25">
      <c r="A96" s="73"/>
      <c r="B96" s="314" t="s">
        <v>26</v>
      </c>
      <c r="C96" s="315"/>
      <c r="D96" s="315"/>
      <c r="E96" s="316"/>
      <c r="F96" s="74">
        <f>SUM(F6:F95)</f>
        <v>7035377380</v>
      </c>
      <c r="G96" s="75">
        <f>SUM(G6:G95)</f>
        <v>7146809798</v>
      </c>
      <c r="H96" s="339"/>
      <c r="I96" s="340"/>
    </row>
  </sheetData>
  <mergeCells count="119">
    <mergeCell ref="A86:A90"/>
    <mergeCell ref="B86:B90"/>
    <mergeCell ref="D86:E86"/>
    <mergeCell ref="D87:E87"/>
    <mergeCell ref="D88:E88"/>
    <mergeCell ref="D89:D90"/>
    <mergeCell ref="A81:A85"/>
    <mergeCell ref="B81:B85"/>
    <mergeCell ref="D81:E81"/>
    <mergeCell ref="D82:E82"/>
    <mergeCell ref="D83:E83"/>
    <mergeCell ref="D84:D85"/>
    <mergeCell ref="A76:A80"/>
    <mergeCell ref="B76:B80"/>
    <mergeCell ref="D76:E76"/>
    <mergeCell ref="D77:E77"/>
    <mergeCell ref="D78:E78"/>
    <mergeCell ref="D79:D80"/>
    <mergeCell ref="A61:A65"/>
    <mergeCell ref="B61:B65"/>
    <mergeCell ref="D61:E61"/>
    <mergeCell ref="D62:E62"/>
    <mergeCell ref="D63:E63"/>
    <mergeCell ref="D64:D65"/>
    <mergeCell ref="A56:A60"/>
    <mergeCell ref="B56:B60"/>
    <mergeCell ref="D56:E56"/>
    <mergeCell ref="D57:E57"/>
    <mergeCell ref="D58:E58"/>
    <mergeCell ref="D59:D60"/>
    <mergeCell ref="A51:A55"/>
    <mergeCell ref="B51:B55"/>
    <mergeCell ref="D51:E51"/>
    <mergeCell ref="D52:E52"/>
    <mergeCell ref="D53:E53"/>
    <mergeCell ref="D54:D55"/>
    <mergeCell ref="A46:A50"/>
    <mergeCell ref="B46:B50"/>
    <mergeCell ref="D46:E46"/>
    <mergeCell ref="D47:E47"/>
    <mergeCell ref="D48:E48"/>
    <mergeCell ref="D49:D50"/>
    <mergeCell ref="A41:A45"/>
    <mergeCell ref="B41:B45"/>
    <mergeCell ref="D41:E41"/>
    <mergeCell ref="D42:E42"/>
    <mergeCell ref="D43:E43"/>
    <mergeCell ref="D44:D45"/>
    <mergeCell ref="A36:A40"/>
    <mergeCell ref="B36:B40"/>
    <mergeCell ref="D36:E36"/>
    <mergeCell ref="D37:E37"/>
    <mergeCell ref="D38:E38"/>
    <mergeCell ref="D39:D40"/>
    <mergeCell ref="A31:A35"/>
    <mergeCell ref="B31:B35"/>
    <mergeCell ref="D31:E31"/>
    <mergeCell ref="D32:E32"/>
    <mergeCell ref="D33:E33"/>
    <mergeCell ref="D34:D35"/>
    <mergeCell ref="A26:A30"/>
    <mergeCell ref="B26:B30"/>
    <mergeCell ref="D26:E26"/>
    <mergeCell ref="D27:E27"/>
    <mergeCell ref="D28:E28"/>
    <mergeCell ref="D29:D30"/>
    <mergeCell ref="A21:A25"/>
    <mergeCell ref="B21:B25"/>
    <mergeCell ref="D21:E21"/>
    <mergeCell ref="D22:E22"/>
    <mergeCell ref="D23:E23"/>
    <mergeCell ref="D24:D25"/>
    <mergeCell ref="A16:A20"/>
    <mergeCell ref="B16:B20"/>
    <mergeCell ref="D16:E16"/>
    <mergeCell ref="D17:E17"/>
    <mergeCell ref="D18:E18"/>
    <mergeCell ref="D19:D20"/>
    <mergeCell ref="A11:A15"/>
    <mergeCell ref="B11:B15"/>
    <mergeCell ref="D11:E11"/>
    <mergeCell ref="D12:E12"/>
    <mergeCell ref="D13:E13"/>
    <mergeCell ref="D14:D15"/>
    <mergeCell ref="I4:I5"/>
    <mergeCell ref="A6:A10"/>
    <mergeCell ref="B6:B10"/>
    <mergeCell ref="D6:E6"/>
    <mergeCell ref="D7:E7"/>
    <mergeCell ref="D8:E8"/>
    <mergeCell ref="D9:D10"/>
    <mergeCell ref="A71:A75"/>
    <mergeCell ref="B71:B75"/>
    <mergeCell ref="D1:I1"/>
    <mergeCell ref="D2:I2"/>
    <mergeCell ref="A4:A5"/>
    <mergeCell ref="B4:B5"/>
    <mergeCell ref="C4:C5"/>
    <mergeCell ref="D4:E5"/>
    <mergeCell ref="F4:G4"/>
    <mergeCell ref="H4:H5"/>
    <mergeCell ref="A66:A70"/>
    <mergeCell ref="B66:B70"/>
    <mergeCell ref="D66:E66"/>
    <mergeCell ref="D67:E67"/>
    <mergeCell ref="D68:E68"/>
    <mergeCell ref="D69:D70"/>
    <mergeCell ref="D71:E71"/>
    <mergeCell ref="D72:E72"/>
    <mergeCell ref="D73:E73"/>
    <mergeCell ref="D74:D75"/>
    <mergeCell ref="B96:E96"/>
    <mergeCell ref="H96:I96"/>
    <mergeCell ref="A91:A95"/>
    <mergeCell ref="B91:B95"/>
    <mergeCell ref="D91:E91"/>
    <mergeCell ref="D92:E92"/>
    <mergeCell ref="D93:E93"/>
    <mergeCell ref="D94:D95"/>
  </mergeCells>
  <pageMargins left="0.7" right="0.7" top="0.75" bottom="0.75" header="0.3" footer="0.3"/>
  <pageSetup paperSize="9" scale="7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22" workbookViewId="0">
      <selection activeCell="A96" sqref="A96:H101"/>
    </sheetView>
  </sheetViews>
  <sheetFormatPr defaultRowHeight="12.75" x14ac:dyDescent="0.2"/>
  <cols>
    <col min="1" max="1" width="9.140625" style="77"/>
    <col min="2" max="2" width="12.85546875" style="77" customWidth="1"/>
    <col min="3" max="3" width="18.28515625" style="77" customWidth="1"/>
    <col min="4" max="4" width="45.5703125" style="77" customWidth="1"/>
    <col min="5" max="5" width="18.140625" style="77" customWidth="1"/>
    <col min="6" max="6" width="18.42578125" style="77" customWidth="1"/>
    <col min="7" max="7" width="17.28515625" style="77" customWidth="1"/>
    <col min="8" max="8" width="18.28515625" style="77" customWidth="1"/>
    <col min="9" max="16384" width="9.140625" style="77"/>
  </cols>
  <sheetData>
    <row r="1" spans="1:8" ht="22.5" x14ac:dyDescent="0.3">
      <c r="D1" s="353" t="s">
        <v>29</v>
      </c>
      <c r="E1" s="353"/>
      <c r="F1" s="353"/>
      <c r="G1" s="353"/>
      <c r="H1" s="353"/>
    </row>
    <row r="2" spans="1:8" ht="22.5" x14ac:dyDescent="0.3">
      <c r="D2" s="353" t="s">
        <v>60</v>
      </c>
      <c r="E2" s="353"/>
      <c r="F2" s="353"/>
      <c r="G2" s="353"/>
      <c r="H2" s="353"/>
    </row>
    <row r="4" spans="1:8" ht="18.75" x14ac:dyDescent="0.2">
      <c r="A4" s="361" t="s">
        <v>19</v>
      </c>
      <c r="B4" s="355" t="s">
        <v>20</v>
      </c>
      <c r="C4" s="361" t="s">
        <v>21</v>
      </c>
      <c r="D4" s="361" t="s">
        <v>28</v>
      </c>
      <c r="E4" s="375" t="s">
        <v>1</v>
      </c>
      <c r="F4" s="376"/>
      <c r="G4" s="361" t="s">
        <v>23</v>
      </c>
      <c r="H4" s="361" t="s">
        <v>5</v>
      </c>
    </row>
    <row r="5" spans="1:8" ht="18.75" x14ac:dyDescent="0.2">
      <c r="A5" s="356"/>
      <c r="B5" s="374"/>
      <c r="C5" s="356"/>
      <c r="D5" s="356"/>
      <c r="E5" s="192" t="s">
        <v>12</v>
      </c>
      <c r="F5" s="192" t="s">
        <v>13</v>
      </c>
      <c r="G5" s="356"/>
      <c r="H5" s="356"/>
    </row>
    <row r="6" spans="1:8" ht="15.75" x14ac:dyDescent="0.25">
      <c r="A6" s="379">
        <v>1</v>
      </c>
      <c r="B6" s="377">
        <v>44075</v>
      </c>
      <c r="C6" s="203">
        <v>337107535</v>
      </c>
      <c r="D6" s="204"/>
      <c r="E6" s="205">
        <f>SUM(E7:E7)</f>
        <v>0</v>
      </c>
      <c r="F6" s="205">
        <f>SUM(F7:F7)</f>
        <v>3240000</v>
      </c>
      <c r="G6" s="198">
        <f>ROUND(C6+E6-F6,2)</f>
        <v>333867535</v>
      </c>
      <c r="H6" s="202"/>
    </row>
    <row r="7" spans="1:8" ht="15" x14ac:dyDescent="0.25">
      <c r="A7" s="380"/>
      <c r="B7" s="378"/>
      <c r="C7" s="167"/>
      <c r="D7" s="168" t="s">
        <v>64</v>
      </c>
      <c r="E7" s="167"/>
      <c r="F7" s="149">
        <v>3240000</v>
      </c>
      <c r="G7" s="167"/>
      <c r="H7" s="167"/>
    </row>
    <row r="8" spans="1:8" ht="15.75" x14ac:dyDescent="0.25">
      <c r="A8" s="370">
        <v>2</v>
      </c>
      <c r="B8" s="373">
        <v>44077</v>
      </c>
      <c r="C8" s="203">
        <f>G6</f>
        <v>333867535</v>
      </c>
      <c r="D8" s="204"/>
      <c r="E8" s="205">
        <f>SUM(E9:E9)</f>
        <v>0</v>
      </c>
      <c r="F8" s="205">
        <f>SUM(F9:F9)</f>
        <v>72000000</v>
      </c>
      <c r="G8" s="198">
        <f>ROUND(C8+E8-F8,2)</f>
        <v>261867535</v>
      </c>
      <c r="H8" s="202"/>
    </row>
    <row r="9" spans="1:8" ht="30" x14ac:dyDescent="0.25">
      <c r="A9" s="372"/>
      <c r="B9" s="372"/>
      <c r="C9" s="91"/>
      <c r="D9" s="148" t="s">
        <v>76</v>
      </c>
      <c r="E9" s="91"/>
      <c r="F9" s="149">
        <v>72000000</v>
      </c>
      <c r="G9" s="91"/>
      <c r="H9" s="91"/>
    </row>
    <row r="10" spans="1:8" ht="15.75" x14ac:dyDescent="0.25">
      <c r="A10" s="370">
        <v>3</v>
      </c>
      <c r="B10" s="373">
        <v>44078</v>
      </c>
      <c r="C10" s="203">
        <f>G8</f>
        <v>261867535</v>
      </c>
      <c r="D10" s="204"/>
      <c r="E10" s="205">
        <f>SUM(E11:E11)</f>
        <v>0</v>
      </c>
      <c r="F10" s="205">
        <f>SUM(F11:F11)</f>
        <v>42010000</v>
      </c>
      <c r="G10" s="198">
        <f>ROUND(C10+E10-F10,2)</f>
        <v>219857535</v>
      </c>
      <c r="H10" s="202"/>
    </row>
    <row r="11" spans="1:8" ht="15" x14ac:dyDescent="0.25">
      <c r="A11" s="372"/>
      <c r="B11" s="372"/>
      <c r="C11" s="91"/>
      <c r="D11" s="148" t="s">
        <v>91</v>
      </c>
      <c r="E11" s="91"/>
      <c r="F11" s="149">
        <v>42010000</v>
      </c>
      <c r="G11" s="91"/>
      <c r="H11" s="91"/>
    </row>
    <row r="12" spans="1:8" ht="15.75" x14ac:dyDescent="0.25">
      <c r="A12" s="370">
        <v>4</v>
      </c>
      <c r="B12" s="373">
        <v>44079</v>
      </c>
      <c r="C12" s="203">
        <f>G10</f>
        <v>219857535</v>
      </c>
      <c r="D12" s="204"/>
      <c r="E12" s="205">
        <f>SUM(E13:E15)</f>
        <v>0</v>
      </c>
      <c r="F12" s="205">
        <f>SUM(F13:F15)</f>
        <v>23000000</v>
      </c>
      <c r="G12" s="198">
        <f>ROUND(C12+E12-F12,2)</f>
        <v>196857535</v>
      </c>
      <c r="H12" s="202"/>
    </row>
    <row r="13" spans="1:8" ht="15" x14ac:dyDescent="0.25">
      <c r="A13" s="371"/>
      <c r="B13" s="371"/>
      <c r="C13" s="90"/>
      <c r="D13" s="100" t="s">
        <v>94</v>
      </c>
      <c r="E13" s="90"/>
      <c r="F13" s="83">
        <v>5000000</v>
      </c>
      <c r="G13" s="90"/>
      <c r="H13" s="90"/>
    </row>
    <row r="14" spans="1:8" ht="15" x14ac:dyDescent="0.25">
      <c r="A14" s="371"/>
      <c r="B14" s="371"/>
      <c r="C14" s="90"/>
      <c r="D14" s="100" t="s">
        <v>95</v>
      </c>
      <c r="E14" s="90"/>
      <c r="F14" s="83">
        <v>4000000</v>
      </c>
      <c r="G14" s="90"/>
      <c r="H14" s="90"/>
    </row>
    <row r="15" spans="1:8" ht="15" x14ac:dyDescent="0.25">
      <c r="A15" s="372"/>
      <c r="B15" s="372"/>
      <c r="C15" s="91"/>
      <c r="D15" s="148" t="s">
        <v>96</v>
      </c>
      <c r="E15" s="91"/>
      <c r="F15" s="149">
        <v>14000000</v>
      </c>
      <c r="G15" s="91"/>
      <c r="H15" s="91"/>
    </row>
    <row r="16" spans="1:8" ht="15.75" x14ac:dyDescent="0.25">
      <c r="A16" s="370">
        <v>5</v>
      </c>
      <c r="B16" s="373">
        <v>44081</v>
      </c>
      <c r="C16" s="203">
        <f>G12</f>
        <v>196857535</v>
      </c>
      <c r="D16" s="204"/>
      <c r="E16" s="205">
        <f>SUM(E17:E17)</f>
        <v>0</v>
      </c>
      <c r="F16" s="205">
        <f>SUM(F17:F17)</f>
        <v>4488000</v>
      </c>
      <c r="G16" s="198">
        <f>ROUND(C16+E16-F16,2)</f>
        <v>192369535</v>
      </c>
      <c r="H16" s="202"/>
    </row>
    <row r="17" spans="1:8" ht="15" x14ac:dyDescent="0.25">
      <c r="A17" s="372"/>
      <c r="B17" s="372"/>
      <c r="C17" s="91"/>
      <c r="D17" s="148" t="s">
        <v>99</v>
      </c>
      <c r="E17" s="91"/>
      <c r="F17" s="149">
        <v>4488000</v>
      </c>
      <c r="G17" s="91"/>
      <c r="H17" s="91"/>
    </row>
    <row r="18" spans="1:8" ht="15.75" x14ac:dyDescent="0.25">
      <c r="A18" s="370">
        <v>6</v>
      </c>
      <c r="B18" s="373">
        <v>44083</v>
      </c>
      <c r="C18" s="203">
        <f>G16</f>
        <v>192369535</v>
      </c>
      <c r="D18" s="204"/>
      <c r="E18" s="205">
        <f>SUM(E19:E23)</f>
        <v>0</v>
      </c>
      <c r="F18" s="205">
        <f>SUM(F19:F23)</f>
        <v>108514000</v>
      </c>
      <c r="G18" s="198">
        <f>ROUND(C18+E18-F18,2)</f>
        <v>83855535</v>
      </c>
      <c r="H18" s="202"/>
    </row>
    <row r="19" spans="1:8" ht="30" x14ac:dyDescent="0.25">
      <c r="A19" s="371"/>
      <c r="B19" s="371"/>
      <c r="C19" s="90"/>
      <c r="D19" s="100" t="s">
        <v>115</v>
      </c>
      <c r="E19" s="90"/>
      <c r="F19" s="83">
        <v>21000000</v>
      </c>
      <c r="G19" s="90"/>
      <c r="H19" s="90"/>
    </row>
    <row r="20" spans="1:8" ht="30" x14ac:dyDescent="0.2">
      <c r="A20" s="371"/>
      <c r="B20" s="371"/>
      <c r="C20" s="90"/>
      <c r="D20" s="155" t="s">
        <v>116</v>
      </c>
      <c r="E20" s="90"/>
      <c r="F20" s="156">
        <v>5790000</v>
      </c>
      <c r="G20" s="90"/>
      <c r="H20" s="90"/>
    </row>
    <row r="21" spans="1:8" ht="15" x14ac:dyDescent="0.25">
      <c r="A21" s="371"/>
      <c r="B21" s="371"/>
      <c r="C21" s="90"/>
      <c r="D21" s="100" t="s">
        <v>117</v>
      </c>
      <c r="E21" s="90"/>
      <c r="F21" s="83">
        <v>2469000</v>
      </c>
      <c r="G21" s="90"/>
      <c r="H21" s="90"/>
    </row>
    <row r="22" spans="1:8" ht="15" x14ac:dyDescent="0.25">
      <c r="A22" s="371"/>
      <c r="B22" s="371"/>
      <c r="C22" s="90"/>
      <c r="D22" s="100" t="s">
        <v>118</v>
      </c>
      <c r="E22" s="90"/>
      <c r="F22" s="83">
        <v>76000000</v>
      </c>
      <c r="G22" s="90"/>
      <c r="H22" s="90"/>
    </row>
    <row r="23" spans="1:8" ht="15" x14ac:dyDescent="0.25">
      <c r="A23" s="372"/>
      <c r="B23" s="372"/>
      <c r="C23" s="91"/>
      <c r="D23" s="148" t="s">
        <v>119</v>
      </c>
      <c r="E23" s="91"/>
      <c r="F23" s="149">
        <v>3255000</v>
      </c>
      <c r="G23" s="91"/>
      <c r="H23" s="91"/>
    </row>
    <row r="24" spans="1:8" ht="15.75" x14ac:dyDescent="0.25">
      <c r="A24" s="370">
        <v>7</v>
      </c>
      <c r="B24" s="373">
        <v>44084</v>
      </c>
      <c r="C24" s="203">
        <f>G18</f>
        <v>83855535</v>
      </c>
      <c r="D24" s="204"/>
      <c r="E24" s="205">
        <f>SUM(E25:E28)</f>
        <v>1000000000</v>
      </c>
      <c r="F24" s="205">
        <f>SUM(F25:F28)</f>
        <v>66999014</v>
      </c>
      <c r="G24" s="198">
        <f>ROUND(C24+E24-F24,2)</f>
        <v>1016856521</v>
      </c>
      <c r="H24" s="202"/>
    </row>
    <row r="25" spans="1:8" ht="30" x14ac:dyDescent="0.25">
      <c r="A25" s="371"/>
      <c r="B25" s="371"/>
      <c r="C25" s="90"/>
      <c r="D25" s="100" t="s">
        <v>125</v>
      </c>
      <c r="E25" s="83">
        <v>1000000000</v>
      </c>
      <c r="F25" s="83"/>
      <c r="G25" s="90"/>
      <c r="H25" s="90"/>
    </row>
    <row r="26" spans="1:8" ht="15" x14ac:dyDescent="0.25">
      <c r="A26" s="371"/>
      <c r="B26" s="371"/>
      <c r="C26" s="90"/>
      <c r="D26" s="100" t="s">
        <v>126</v>
      </c>
      <c r="E26" s="90"/>
      <c r="F26" s="83">
        <v>37523689</v>
      </c>
      <c r="G26" s="90"/>
      <c r="H26" s="90"/>
    </row>
    <row r="27" spans="1:8" ht="15" x14ac:dyDescent="0.25">
      <c r="A27" s="371"/>
      <c r="B27" s="371"/>
      <c r="C27" s="90"/>
      <c r="D27" s="100" t="s">
        <v>128</v>
      </c>
      <c r="E27" s="90"/>
      <c r="F27" s="156">
        <v>13400000</v>
      </c>
      <c r="G27" s="90"/>
      <c r="H27" s="90"/>
    </row>
    <row r="28" spans="1:8" ht="30" x14ac:dyDescent="0.25">
      <c r="A28" s="372"/>
      <c r="B28" s="372"/>
      <c r="C28" s="91"/>
      <c r="D28" s="148" t="s">
        <v>130</v>
      </c>
      <c r="E28" s="91"/>
      <c r="F28" s="149">
        <v>16075325</v>
      </c>
      <c r="G28" s="91"/>
      <c r="H28" s="91"/>
    </row>
    <row r="29" spans="1:8" ht="15.75" x14ac:dyDescent="0.25">
      <c r="A29" s="370">
        <v>8</v>
      </c>
      <c r="B29" s="373">
        <v>44085</v>
      </c>
      <c r="C29" s="203">
        <f>G24</f>
        <v>1016856521</v>
      </c>
      <c r="D29" s="204"/>
      <c r="E29" s="205">
        <f>SUM(E30:E32)</f>
        <v>0</v>
      </c>
      <c r="F29" s="205">
        <f>SUM(F30:F32)</f>
        <v>5420000</v>
      </c>
      <c r="G29" s="198">
        <f>ROUND(C29+E29-F29,2)</f>
        <v>1011436521</v>
      </c>
      <c r="H29" s="202"/>
    </row>
    <row r="30" spans="1:8" ht="15" x14ac:dyDescent="0.25">
      <c r="A30" s="371"/>
      <c r="B30" s="371"/>
      <c r="C30" s="90"/>
      <c r="D30" s="100" t="s">
        <v>146</v>
      </c>
      <c r="E30" s="90"/>
      <c r="F30" s="83">
        <v>600000</v>
      </c>
      <c r="G30" s="90"/>
      <c r="H30" s="90"/>
    </row>
    <row r="31" spans="1:8" ht="15" x14ac:dyDescent="0.25">
      <c r="A31" s="371"/>
      <c r="B31" s="371"/>
      <c r="C31" s="90"/>
      <c r="D31" s="100" t="s">
        <v>148</v>
      </c>
      <c r="E31" s="90"/>
      <c r="F31" s="83">
        <v>3743000</v>
      </c>
      <c r="G31" s="90"/>
      <c r="H31" s="90"/>
    </row>
    <row r="32" spans="1:8" ht="15" x14ac:dyDescent="0.25">
      <c r="A32" s="372"/>
      <c r="B32" s="372"/>
      <c r="C32" s="91"/>
      <c r="D32" s="148" t="s">
        <v>148</v>
      </c>
      <c r="E32" s="91"/>
      <c r="F32" s="149">
        <v>1077000</v>
      </c>
      <c r="G32" s="91"/>
      <c r="H32" s="91"/>
    </row>
    <row r="33" spans="1:8" ht="15.75" x14ac:dyDescent="0.25">
      <c r="A33" s="370">
        <v>9</v>
      </c>
      <c r="B33" s="373">
        <v>44088</v>
      </c>
      <c r="C33" s="203">
        <f>G29</f>
        <v>1011436521</v>
      </c>
      <c r="D33" s="204"/>
      <c r="E33" s="205">
        <f>SUM(E34:E45)</f>
        <v>472430000</v>
      </c>
      <c r="F33" s="205">
        <f>SUM(F34:F45)</f>
        <v>389952776</v>
      </c>
      <c r="G33" s="198">
        <f>ROUND(C33+E33-F33,2)</f>
        <v>1093913745</v>
      </c>
      <c r="H33" s="202"/>
    </row>
    <row r="34" spans="1:8" ht="15" x14ac:dyDescent="0.25">
      <c r="A34" s="371"/>
      <c r="B34" s="371"/>
      <c r="C34" s="90"/>
      <c r="D34" s="100" t="s">
        <v>173</v>
      </c>
      <c r="E34" s="83">
        <v>472330000</v>
      </c>
      <c r="F34" s="83"/>
      <c r="G34" s="90"/>
      <c r="H34" s="90"/>
    </row>
    <row r="35" spans="1:8" ht="15" x14ac:dyDescent="0.25">
      <c r="A35" s="371"/>
      <c r="B35" s="371"/>
      <c r="C35" s="90"/>
      <c r="D35" s="100" t="s">
        <v>69</v>
      </c>
      <c r="E35" s="83">
        <v>100000</v>
      </c>
      <c r="F35" s="83"/>
      <c r="G35" s="90"/>
      <c r="H35" s="90"/>
    </row>
    <row r="36" spans="1:8" ht="15" x14ac:dyDescent="0.25">
      <c r="A36" s="371"/>
      <c r="B36" s="371"/>
      <c r="C36" s="90"/>
      <c r="D36" s="100" t="s">
        <v>158</v>
      </c>
      <c r="E36" s="90"/>
      <c r="F36" s="83">
        <v>41112000</v>
      </c>
      <c r="G36" s="90"/>
      <c r="H36" s="90"/>
    </row>
    <row r="37" spans="1:8" ht="15" x14ac:dyDescent="0.25">
      <c r="A37" s="371"/>
      <c r="B37" s="371"/>
      <c r="C37" s="90"/>
      <c r="D37" s="100" t="s">
        <v>159</v>
      </c>
      <c r="E37" s="90"/>
      <c r="F37" s="83">
        <v>5000000</v>
      </c>
      <c r="G37" s="90"/>
      <c r="H37" s="90"/>
    </row>
    <row r="38" spans="1:8" ht="15" x14ac:dyDescent="0.25">
      <c r="A38" s="371"/>
      <c r="B38" s="371"/>
      <c r="C38" s="90"/>
      <c r="D38" s="96" t="s">
        <v>161</v>
      </c>
      <c r="E38" s="90"/>
      <c r="F38" s="83">
        <v>4514000</v>
      </c>
      <c r="G38" s="90"/>
      <c r="H38" s="90"/>
    </row>
    <row r="39" spans="1:8" ht="15" x14ac:dyDescent="0.25">
      <c r="A39" s="371"/>
      <c r="B39" s="371"/>
      <c r="C39" s="90"/>
      <c r="D39" s="172" t="s">
        <v>162</v>
      </c>
      <c r="E39" s="90"/>
      <c r="F39" s="83">
        <v>157000</v>
      </c>
      <c r="G39" s="90"/>
      <c r="H39" s="90"/>
    </row>
    <row r="40" spans="1:8" ht="15" x14ac:dyDescent="0.25">
      <c r="A40" s="371"/>
      <c r="B40" s="371"/>
      <c r="C40" s="90"/>
      <c r="D40" s="100" t="s">
        <v>163</v>
      </c>
      <c r="E40" s="90"/>
      <c r="F40" s="83">
        <v>942000</v>
      </c>
      <c r="G40" s="90"/>
      <c r="H40" s="90"/>
    </row>
    <row r="41" spans="1:8" ht="15" x14ac:dyDescent="0.25">
      <c r="A41" s="371"/>
      <c r="B41" s="371"/>
      <c r="C41" s="90"/>
      <c r="D41" s="100" t="s">
        <v>165</v>
      </c>
      <c r="E41" s="90"/>
      <c r="F41" s="83">
        <v>39925000</v>
      </c>
      <c r="G41" s="90"/>
      <c r="H41" s="90"/>
    </row>
    <row r="42" spans="1:8" ht="30" x14ac:dyDescent="0.25">
      <c r="A42" s="371"/>
      <c r="B42" s="371"/>
      <c r="C42" s="90"/>
      <c r="D42" s="100" t="s">
        <v>166</v>
      </c>
      <c r="E42" s="90"/>
      <c r="F42" s="83">
        <v>1960000</v>
      </c>
      <c r="G42" s="90"/>
      <c r="H42" s="90"/>
    </row>
    <row r="43" spans="1:8" ht="30" x14ac:dyDescent="0.25">
      <c r="A43" s="371"/>
      <c r="B43" s="371"/>
      <c r="C43" s="90"/>
      <c r="D43" s="100" t="s">
        <v>168</v>
      </c>
      <c r="E43" s="90"/>
      <c r="F43" s="156">
        <v>290658776</v>
      </c>
      <c r="G43" s="90"/>
      <c r="H43" s="90"/>
    </row>
    <row r="44" spans="1:8" ht="15" x14ac:dyDescent="0.25">
      <c r="A44" s="371"/>
      <c r="B44" s="371"/>
      <c r="C44" s="90"/>
      <c r="D44" s="100" t="s">
        <v>170</v>
      </c>
      <c r="E44" s="90"/>
      <c r="F44" s="83">
        <v>1980000</v>
      </c>
      <c r="G44" s="90"/>
      <c r="H44" s="90"/>
    </row>
    <row r="45" spans="1:8" ht="15" x14ac:dyDescent="0.25">
      <c r="A45" s="372"/>
      <c r="B45" s="372"/>
      <c r="C45" s="91"/>
      <c r="D45" s="148" t="s">
        <v>171</v>
      </c>
      <c r="E45" s="91"/>
      <c r="F45" s="149">
        <v>3704000</v>
      </c>
      <c r="G45" s="91"/>
      <c r="H45" s="91"/>
    </row>
    <row r="46" spans="1:8" ht="15.75" x14ac:dyDescent="0.25">
      <c r="A46" s="370">
        <v>10</v>
      </c>
      <c r="B46" s="373">
        <v>44089</v>
      </c>
      <c r="C46" s="203">
        <f>G33</f>
        <v>1093913745</v>
      </c>
      <c r="D46" s="204"/>
      <c r="E46" s="205">
        <f>SUM(E47:E47)</f>
        <v>0</v>
      </c>
      <c r="F46" s="205">
        <f>SUM(F47:F47)</f>
        <v>500000</v>
      </c>
      <c r="G46" s="198">
        <f>ROUND(C46+E46-F46,2)</f>
        <v>1093413745</v>
      </c>
      <c r="H46" s="202"/>
    </row>
    <row r="47" spans="1:8" ht="15" x14ac:dyDescent="0.2">
      <c r="A47" s="372"/>
      <c r="B47" s="372"/>
      <c r="C47" s="91"/>
      <c r="D47" s="209" t="s">
        <v>178</v>
      </c>
      <c r="E47" s="91"/>
      <c r="F47" s="210">
        <v>500000</v>
      </c>
      <c r="G47" s="91"/>
      <c r="H47" s="91"/>
    </row>
    <row r="48" spans="1:8" ht="15.75" x14ac:dyDescent="0.25">
      <c r="A48" s="370">
        <v>11</v>
      </c>
      <c r="B48" s="373">
        <v>44090</v>
      </c>
      <c r="C48" s="203">
        <f>G46</f>
        <v>1093413745</v>
      </c>
      <c r="D48" s="204"/>
      <c r="E48" s="205">
        <f>SUM(E49:E53)</f>
        <v>0</v>
      </c>
      <c r="F48" s="205">
        <f>SUM(F49:F53)</f>
        <v>84500000</v>
      </c>
      <c r="G48" s="198">
        <f>ROUND(C48+E48-F48,2)</f>
        <v>1008913745</v>
      </c>
      <c r="H48" s="202"/>
    </row>
    <row r="49" spans="1:12" ht="15" x14ac:dyDescent="0.2">
      <c r="A49" s="371"/>
      <c r="B49" s="371"/>
      <c r="C49" s="90"/>
      <c r="D49" s="155" t="s">
        <v>189</v>
      </c>
      <c r="E49" s="90"/>
      <c r="F49" s="156">
        <v>1047000</v>
      </c>
      <c r="G49" s="90"/>
      <c r="H49" s="90"/>
    </row>
    <row r="50" spans="1:12" ht="15" x14ac:dyDescent="0.25">
      <c r="A50" s="371"/>
      <c r="B50" s="371"/>
      <c r="C50" s="90"/>
      <c r="D50" s="100" t="s">
        <v>190</v>
      </c>
      <c r="E50" s="90"/>
      <c r="F50" s="83">
        <v>2513000</v>
      </c>
      <c r="G50" s="90"/>
      <c r="H50" s="90"/>
    </row>
    <row r="51" spans="1:12" ht="15" x14ac:dyDescent="0.25">
      <c r="A51" s="371"/>
      <c r="B51" s="371"/>
      <c r="C51" s="90"/>
      <c r="D51" s="100" t="s">
        <v>191</v>
      </c>
      <c r="E51" s="90"/>
      <c r="F51" s="83">
        <v>58000000</v>
      </c>
      <c r="G51" s="90"/>
      <c r="H51" s="90"/>
    </row>
    <row r="52" spans="1:12" ht="15" x14ac:dyDescent="0.25">
      <c r="A52" s="371"/>
      <c r="B52" s="371"/>
      <c r="C52" s="90"/>
      <c r="D52" s="100" t="s">
        <v>192</v>
      </c>
      <c r="E52" s="90"/>
      <c r="F52" s="83">
        <v>13450000</v>
      </c>
      <c r="G52" s="90"/>
      <c r="H52" s="90"/>
    </row>
    <row r="53" spans="1:12" ht="30" x14ac:dyDescent="0.25">
      <c r="A53" s="372"/>
      <c r="B53" s="372"/>
      <c r="C53" s="91"/>
      <c r="D53" s="148" t="s">
        <v>193</v>
      </c>
      <c r="E53" s="91"/>
      <c r="F53" s="149">
        <v>9490000</v>
      </c>
      <c r="G53" s="91"/>
      <c r="H53" s="91"/>
    </row>
    <row r="54" spans="1:12" ht="15.75" x14ac:dyDescent="0.25">
      <c r="A54" s="370">
        <v>12</v>
      </c>
      <c r="B54" s="373">
        <v>44093</v>
      </c>
      <c r="C54" s="203">
        <f>G48</f>
        <v>1008913745</v>
      </c>
      <c r="D54" s="204"/>
      <c r="E54" s="205">
        <f>SUM(E55:E65)</f>
        <v>0</v>
      </c>
      <c r="F54" s="205">
        <f>SUM(F55:F65)</f>
        <v>880662935</v>
      </c>
      <c r="G54" s="198">
        <f>ROUND(C54+E54-F54,2)</f>
        <v>128250810</v>
      </c>
      <c r="H54" s="202"/>
    </row>
    <row r="55" spans="1:12" ht="15" x14ac:dyDescent="0.25">
      <c r="A55" s="371"/>
      <c r="B55" s="371"/>
      <c r="C55" s="90"/>
      <c r="D55" s="100" t="s">
        <v>196</v>
      </c>
      <c r="E55" s="90"/>
      <c r="F55" s="83">
        <v>2000000</v>
      </c>
      <c r="G55" s="90"/>
      <c r="H55" s="90"/>
      <c r="L55" s="212"/>
    </row>
    <row r="56" spans="1:12" ht="15" x14ac:dyDescent="0.25">
      <c r="A56" s="371"/>
      <c r="B56" s="371"/>
      <c r="C56" s="90"/>
      <c r="D56" s="100" t="s">
        <v>199</v>
      </c>
      <c r="E56" s="90"/>
      <c r="F56" s="83">
        <v>9645195</v>
      </c>
      <c r="G56" s="90"/>
      <c r="H56" s="90"/>
    </row>
    <row r="57" spans="1:12" ht="30" x14ac:dyDescent="0.25">
      <c r="A57" s="371"/>
      <c r="B57" s="371"/>
      <c r="C57" s="90"/>
      <c r="D57" s="100" t="s">
        <v>200</v>
      </c>
      <c r="E57" s="90"/>
      <c r="F57" s="83">
        <v>10550440</v>
      </c>
      <c r="G57" s="90"/>
      <c r="H57" s="90"/>
    </row>
    <row r="58" spans="1:12" ht="15" x14ac:dyDescent="0.25">
      <c r="A58" s="371"/>
      <c r="B58" s="371"/>
      <c r="C58" s="90"/>
      <c r="D58" s="100" t="s">
        <v>211</v>
      </c>
      <c r="E58" s="83"/>
      <c r="F58" s="83">
        <v>5880000</v>
      </c>
      <c r="G58" s="90"/>
      <c r="H58" s="90"/>
    </row>
    <row r="59" spans="1:12" ht="15" x14ac:dyDescent="0.25">
      <c r="A59" s="371"/>
      <c r="B59" s="371"/>
      <c r="C59" s="90"/>
      <c r="D59" s="100" t="s">
        <v>213</v>
      </c>
      <c r="E59" s="83"/>
      <c r="F59" s="83">
        <v>270000</v>
      </c>
      <c r="G59" s="90"/>
      <c r="H59" s="90"/>
    </row>
    <row r="60" spans="1:12" ht="30" x14ac:dyDescent="0.25">
      <c r="A60" s="371"/>
      <c r="B60" s="371"/>
      <c r="C60" s="90"/>
      <c r="D60" s="100" t="s">
        <v>215</v>
      </c>
      <c r="E60" s="83"/>
      <c r="F60" s="83">
        <f>429000+193000</f>
        <v>622000</v>
      </c>
      <c r="G60" s="90"/>
      <c r="H60" s="90"/>
    </row>
    <row r="61" spans="1:12" ht="15" x14ac:dyDescent="0.25">
      <c r="A61" s="371"/>
      <c r="B61" s="371"/>
      <c r="C61" s="90"/>
      <c r="D61" s="100" t="s">
        <v>217</v>
      </c>
      <c r="E61" s="83"/>
      <c r="F61" s="83">
        <v>156000</v>
      </c>
      <c r="G61" s="90"/>
      <c r="H61" s="90"/>
    </row>
    <row r="62" spans="1:12" ht="15" x14ac:dyDescent="0.25">
      <c r="A62" s="371"/>
      <c r="B62" s="371"/>
      <c r="C62" s="90"/>
      <c r="D62" s="100" t="s">
        <v>201</v>
      </c>
      <c r="E62" s="90"/>
      <c r="F62" s="83">
        <v>20472800</v>
      </c>
      <c r="G62" s="90"/>
      <c r="H62" s="90"/>
    </row>
    <row r="63" spans="1:12" ht="15" x14ac:dyDescent="0.25">
      <c r="A63" s="371"/>
      <c r="B63" s="371"/>
      <c r="C63" s="90"/>
      <c r="D63" s="100" t="s">
        <v>202</v>
      </c>
      <c r="E63" s="90"/>
      <c r="F63" s="83">
        <v>18666500</v>
      </c>
      <c r="G63" s="90"/>
      <c r="H63" s="90"/>
    </row>
    <row r="64" spans="1:12" ht="15" x14ac:dyDescent="0.25">
      <c r="A64" s="371"/>
      <c r="B64" s="371"/>
      <c r="C64" s="90"/>
      <c r="D64" s="100" t="s">
        <v>209</v>
      </c>
      <c r="E64" s="90"/>
      <c r="F64" s="83">
        <v>800000000</v>
      </c>
      <c r="G64" s="90"/>
      <c r="H64" s="90"/>
    </row>
    <row r="65" spans="1:8" ht="15" x14ac:dyDescent="0.25">
      <c r="A65" s="372"/>
      <c r="B65" s="372"/>
      <c r="C65" s="91"/>
      <c r="D65" s="148" t="s">
        <v>203</v>
      </c>
      <c r="E65" s="91"/>
      <c r="F65" s="149">
        <v>12400000</v>
      </c>
      <c r="G65" s="91"/>
      <c r="H65" s="91"/>
    </row>
    <row r="66" spans="1:8" ht="15.75" x14ac:dyDescent="0.25">
      <c r="A66" s="370">
        <v>13</v>
      </c>
      <c r="B66" s="373">
        <v>44095</v>
      </c>
      <c r="C66" s="203">
        <f>G54</f>
        <v>128250810</v>
      </c>
      <c r="D66" s="204"/>
      <c r="E66" s="205">
        <f>SUM(E67:E71)</f>
        <v>0</v>
      </c>
      <c r="F66" s="205">
        <f>SUM(F67:F71)</f>
        <v>79927000</v>
      </c>
      <c r="G66" s="198">
        <f>ROUND(C66+E66-F66,2)</f>
        <v>48323810</v>
      </c>
      <c r="H66" s="202"/>
    </row>
    <row r="67" spans="1:8" ht="15" x14ac:dyDescent="0.25">
      <c r="A67" s="371"/>
      <c r="B67" s="371"/>
      <c r="C67" s="90"/>
      <c r="D67" s="100" t="s">
        <v>222</v>
      </c>
      <c r="E67" s="90"/>
      <c r="F67" s="83">
        <v>28000000</v>
      </c>
      <c r="G67" s="90"/>
      <c r="H67" s="90"/>
    </row>
    <row r="68" spans="1:8" ht="15" x14ac:dyDescent="0.25">
      <c r="A68" s="371"/>
      <c r="B68" s="371"/>
      <c r="C68" s="90"/>
      <c r="D68" s="100" t="s">
        <v>223</v>
      </c>
      <c r="E68" s="90"/>
      <c r="F68" s="83">
        <v>6000000</v>
      </c>
      <c r="G68" s="90"/>
      <c r="H68" s="90"/>
    </row>
    <row r="69" spans="1:8" ht="15" x14ac:dyDescent="0.25">
      <c r="A69" s="371"/>
      <c r="B69" s="371"/>
      <c r="C69" s="90"/>
      <c r="D69" s="100" t="s">
        <v>224</v>
      </c>
      <c r="E69" s="90"/>
      <c r="F69" s="83">
        <v>18450000</v>
      </c>
      <c r="G69" s="90"/>
      <c r="H69" s="90"/>
    </row>
    <row r="70" spans="1:8" ht="15" x14ac:dyDescent="0.25">
      <c r="A70" s="371"/>
      <c r="B70" s="371"/>
      <c r="C70" s="90"/>
      <c r="D70" s="100" t="s">
        <v>226</v>
      </c>
      <c r="E70" s="90"/>
      <c r="F70" s="83">
        <v>22477000</v>
      </c>
      <c r="G70" s="90"/>
      <c r="H70" s="90"/>
    </row>
    <row r="71" spans="1:8" ht="15" x14ac:dyDescent="0.25">
      <c r="A71" s="372"/>
      <c r="B71" s="372"/>
      <c r="C71" s="91"/>
      <c r="D71" s="148" t="s">
        <v>227</v>
      </c>
      <c r="E71" s="91"/>
      <c r="F71" s="149">
        <v>5000000</v>
      </c>
      <c r="G71" s="91"/>
      <c r="H71" s="91"/>
    </row>
    <row r="72" spans="1:8" ht="15.75" x14ac:dyDescent="0.25">
      <c r="A72" s="370">
        <v>14</v>
      </c>
      <c r="B72" s="373">
        <v>44096</v>
      </c>
      <c r="C72" s="203">
        <f>G66</f>
        <v>48323810</v>
      </c>
      <c r="D72" s="204"/>
      <c r="E72" s="205">
        <f>SUM(E73:E73)</f>
        <v>0</v>
      </c>
      <c r="F72" s="205">
        <f>SUM(F73:F73)</f>
        <v>8733690</v>
      </c>
      <c r="G72" s="198">
        <f>ROUND(C72+E72-F72,2)</f>
        <v>39590120</v>
      </c>
      <c r="H72" s="202"/>
    </row>
    <row r="73" spans="1:8" ht="15" x14ac:dyDescent="0.25">
      <c r="A73" s="372"/>
      <c r="B73" s="372"/>
      <c r="C73" s="91"/>
      <c r="D73" s="148" t="s">
        <v>236</v>
      </c>
      <c r="E73" s="91"/>
      <c r="F73" s="149">
        <v>8733690</v>
      </c>
      <c r="G73" s="91"/>
      <c r="H73" s="91"/>
    </row>
    <row r="74" spans="1:8" ht="15.75" x14ac:dyDescent="0.25">
      <c r="A74" s="370">
        <v>15</v>
      </c>
      <c r="B74" s="373">
        <v>44097</v>
      </c>
      <c r="C74" s="203">
        <f>G72</f>
        <v>39590120</v>
      </c>
      <c r="D74" s="204"/>
      <c r="E74" s="205">
        <f>SUM(E75:E81)</f>
        <v>690000000</v>
      </c>
      <c r="F74" s="205">
        <f>SUM(F75:F81)</f>
        <v>117859000</v>
      </c>
      <c r="G74" s="198">
        <f>ROUND(C74+E74-F74,2)</f>
        <v>611731120</v>
      </c>
      <c r="H74" s="202"/>
    </row>
    <row r="75" spans="1:8" ht="15" x14ac:dyDescent="0.25">
      <c r="A75" s="371"/>
      <c r="B75" s="371"/>
      <c r="C75" s="90"/>
      <c r="D75" s="96" t="s">
        <v>246</v>
      </c>
      <c r="E75" s="83">
        <v>690000000</v>
      </c>
      <c r="F75" s="83"/>
      <c r="G75" s="90"/>
      <c r="H75" s="90"/>
    </row>
    <row r="76" spans="1:8" ht="15" x14ac:dyDescent="0.25">
      <c r="A76" s="371"/>
      <c r="B76" s="371"/>
      <c r="C76" s="90"/>
      <c r="D76" s="96" t="s">
        <v>247</v>
      </c>
      <c r="E76" s="90"/>
      <c r="F76" s="83">
        <v>7557000</v>
      </c>
      <c r="G76" s="90"/>
      <c r="H76" s="90"/>
    </row>
    <row r="77" spans="1:8" ht="15" x14ac:dyDescent="0.25">
      <c r="A77" s="371"/>
      <c r="B77" s="371"/>
      <c r="C77" s="90"/>
      <c r="D77" s="96" t="s">
        <v>248</v>
      </c>
      <c r="E77" s="90"/>
      <c r="F77" s="83">
        <v>4860000</v>
      </c>
      <c r="G77" s="90"/>
      <c r="H77" s="90"/>
    </row>
    <row r="78" spans="1:8" ht="15" x14ac:dyDescent="0.25">
      <c r="A78" s="371"/>
      <c r="B78" s="371"/>
      <c r="C78" s="90"/>
      <c r="D78" s="96" t="s">
        <v>249</v>
      </c>
      <c r="E78" s="90"/>
      <c r="F78" s="83">
        <v>222000</v>
      </c>
      <c r="G78" s="90"/>
      <c r="H78" s="90"/>
    </row>
    <row r="79" spans="1:8" ht="15" x14ac:dyDescent="0.25">
      <c r="A79" s="371"/>
      <c r="B79" s="371"/>
      <c r="C79" s="90"/>
      <c r="D79" s="96" t="s">
        <v>258</v>
      </c>
      <c r="E79" s="90"/>
      <c r="F79" s="83">
        <v>101500000</v>
      </c>
      <c r="G79" s="90"/>
      <c r="H79" s="90"/>
    </row>
    <row r="80" spans="1:8" ht="15" x14ac:dyDescent="0.25">
      <c r="A80" s="371"/>
      <c r="B80" s="371"/>
      <c r="C80" s="90"/>
      <c r="D80" s="96" t="s">
        <v>250</v>
      </c>
      <c r="E80" s="90"/>
      <c r="F80" s="83">
        <v>1720000</v>
      </c>
      <c r="G80" s="90"/>
      <c r="H80" s="90"/>
    </row>
    <row r="81" spans="1:8" ht="15" x14ac:dyDescent="0.25">
      <c r="A81" s="372"/>
      <c r="B81" s="372"/>
      <c r="C81" s="91"/>
      <c r="D81" s="168" t="s">
        <v>251</v>
      </c>
      <c r="E81" s="91"/>
      <c r="F81" s="149">
        <v>2000000</v>
      </c>
      <c r="G81" s="91"/>
      <c r="H81" s="91"/>
    </row>
    <row r="82" spans="1:8" ht="15.75" x14ac:dyDescent="0.25">
      <c r="A82" s="370">
        <v>16</v>
      </c>
      <c r="B82" s="373">
        <v>44102</v>
      </c>
      <c r="C82" s="203">
        <f>G74</f>
        <v>611731120</v>
      </c>
      <c r="D82" s="204"/>
      <c r="E82" s="205">
        <f>SUM(E83:E92)</f>
        <v>501517372</v>
      </c>
      <c r="F82" s="205">
        <f>SUM(F83:F92)</f>
        <v>104147725</v>
      </c>
      <c r="G82" s="198">
        <f>ROUND(C82+E82-F82,2)</f>
        <v>1009100767</v>
      </c>
      <c r="H82" s="202"/>
    </row>
    <row r="83" spans="1:8" ht="15" x14ac:dyDescent="0.25">
      <c r="A83" s="371"/>
      <c r="B83" s="371"/>
      <c r="C83" s="90"/>
      <c r="D83" s="96" t="s">
        <v>265</v>
      </c>
      <c r="E83" s="90"/>
      <c r="F83" s="83">
        <v>5122000</v>
      </c>
      <c r="G83" s="90"/>
      <c r="H83" s="90"/>
    </row>
    <row r="84" spans="1:8" ht="15" x14ac:dyDescent="0.25">
      <c r="A84" s="371"/>
      <c r="B84" s="371"/>
      <c r="C84" s="90"/>
      <c r="D84" s="96" t="s">
        <v>266</v>
      </c>
      <c r="E84" s="90"/>
      <c r="F84" s="83">
        <v>1200000</v>
      </c>
      <c r="G84" s="90"/>
      <c r="H84" s="90"/>
    </row>
    <row r="85" spans="1:8" ht="15" x14ac:dyDescent="0.25">
      <c r="A85" s="371"/>
      <c r="B85" s="371"/>
      <c r="C85" s="90"/>
      <c r="D85" s="96" t="s">
        <v>269</v>
      </c>
      <c r="E85" s="90"/>
      <c r="F85" s="83">
        <v>14000000</v>
      </c>
      <c r="G85" s="90"/>
      <c r="H85" s="90"/>
    </row>
    <row r="86" spans="1:8" ht="15" x14ac:dyDescent="0.25">
      <c r="A86" s="371"/>
      <c r="B86" s="371"/>
      <c r="C86" s="90"/>
      <c r="D86" s="96" t="s">
        <v>270</v>
      </c>
      <c r="E86" s="90"/>
      <c r="F86" s="83">
        <v>12400000</v>
      </c>
      <c r="G86" s="90"/>
      <c r="H86" s="90"/>
    </row>
    <row r="87" spans="1:8" ht="15" x14ac:dyDescent="0.25">
      <c r="A87" s="371"/>
      <c r="B87" s="371"/>
      <c r="C87" s="90"/>
      <c r="D87" s="96" t="s">
        <v>271</v>
      </c>
      <c r="E87" s="90"/>
      <c r="F87" s="83">
        <v>2651000</v>
      </c>
      <c r="G87" s="90"/>
      <c r="H87" s="90"/>
    </row>
    <row r="88" spans="1:8" ht="15" x14ac:dyDescent="0.25">
      <c r="A88" s="371"/>
      <c r="B88" s="371"/>
      <c r="C88" s="90"/>
      <c r="D88" s="96" t="s">
        <v>272</v>
      </c>
      <c r="E88" s="90"/>
      <c r="F88" s="83">
        <v>63574725</v>
      </c>
      <c r="G88" s="90"/>
      <c r="H88" s="90"/>
    </row>
    <row r="89" spans="1:8" ht="15" x14ac:dyDescent="0.25">
      <c r="A89" s="371"/>
      <c r="B89" s="371"/>
      <c r="C89" s="90"/>
      <c r="D89" s="96" t="s">
        <v>284</v>
      </c>
      <c r="E89" s="90"/>
      <c r="F89" s="83">
        <v>5100000</v>
      </c>
      <c r="G89" s="90"/>
      <c r="H89" s="90"/>
    </row>
    <row r="90" spans="1:8" ht="15" x14ac:dyDescent="0.25">
      <c r="A90" s="371"/>
      <c r="B90" s="371"/>
      <c r="C90" s="90"/>
      <c r="D90" s="96" t="s">
        <v>275</v>
      </c>
      <c r="E90" s="83">
        <f>201481000+300000000</f>
        <v>501481000</v>
      </c>
      <c r="F90" s="83"/>
      <c r="G90" s="90"/>
      <c r="H90" s="90"/>
    </row>
    <row r="91" spans="1:8" ht="15.75" x14ac:dyDescent="0.2">
      <c r="A91" s="371"/>
      <c r="B91" s="371"/>
      <c r="C91" s="90"/>
      <c r="D91" s="101" t="s">
        <v>273</v>
      </c>
      <c r="E91" s="94">
        <v>36372</v>
      </c>
      <c r="F91" s="94"/>
      <c r="G91" s="90"/>
      <c r="H91" s="90"/>
    </row>
    <row r="92" spans="1:8" ht="15" x14ac:dyDescent="0.25">
      <c r="A92" s="372"/>
      <c r="B92" s="372"/>
      <c r="C92" s="91"/>
      <c r="D92" s="168" t="s">
        <v>274</v>
      </c>
      <c r="E92" s="91"/>
      <c r="F92" s="149">
        <v>100000</v>
      </c>
      <c r="G92" s="91"/>
      <c r="H92" s="91"/>
    </row>
    <row r="93" spans="1:8" ht="15.75" x14ac:dyDescent="0.25">
      <c r="A93" s="370">
        <v>17</v>
      </c>
      <c r="B93" s="373">
        <v>44103</v>
      </c>
      <c r="C93" s="203">
        <f>G82</f>
        <v>1009100767</v>
      </c>
      <c r="D93" s="204"/>
      <c r="E93" s="205">
        <f>SUM(E94:E95)</f>
        <v>0</v>
      </c>
      <c r="F93" s="205">
        <f>SUM(F94:F95)</f>
        <v>56492900</v>
      </c>
      <c r="G93" s="198">
        <f>ROUND(C93+E93-F93,2)</f>
        <v>952607867</v>
      </c>
      <c r="H93" s="202"/>
    </row>
    <row r="94" spans="1:8" ht="15" x14ac:dyDescent="0.25">
      <c r="A94" s="371"/>
      <c r="B94" s="371"/>
      <c r="C94" s="90"/>
      <c r="D94" s="96" t="s">
        <v>268</v>
      </c>
      <c r="E94" s="90"/>
      <c r="F94" s="83">
        <v>51762900</v>
      </c>
      <c r="G94" s="90"/>
      <c r="H94" s="90"/>
    </row>
    <row r="95" spans="1:8" ht="15" x14ac:dyDescent="0.25">
      <c r="A95" s="372"/>
      <c r="B95" s="372"/>
      <c r="C95" s="91"/>
      <c r="D95" s="168" t="s">
        <v>283</v>
      </c>
      <c r="E95" s="91"/>
      <c r="F95" s="216">
        <v>4730000</v>
      </c>
      <c r="G95" s="91"/>
      <c r="H95" s="91"/>
    </row>
    <row r="96" spans="1:8" ht="15.75" x14ac:dyDescent="0.25">
      <c r="A96" s="370">
        <v>18</v>
      </c>
      <c r="B96" s="373">
        <v>44104</v>
      </c>
      <c r="C96" s="203">
        <f>G93</f>
        <v>952607867</v>
      </c>
      <c r="D96" s="204"/>
      <c r="E96" s="205">
        <f>SUM(E97:E101)</f>
        <v>723070000</v>
      </c>
      <c r="F96" s="205">
        <f>SUM(F97:F101)</f>
        <v>21217000</v>
      </c>
      <c r="G96" s="198">
        <f>ROUND(C96+E96-F96,2)</f>
        <v>1654460867</v>
      </c>
      <c r="H96" s="202"/>
    </row>
    <row r="97" spans="1:8" ht="15" x14ac:dyDescent="0.25">
      <c r="A97" s="371"/>
      <c r="B97" s="371"/>
      <c r="C97" s="90"/>
      <c r="D97" s="96" t="s">
        <v>275</v>
      </c>
      <c r="E97" s="93">
        <v>723070000</v>
      </c>
      <c r="F97" s="93"/>
      <c r="G97" s="90"/>
      <c r="H97" s="90"/>
    </row>
    <row r="98" spans="1:8" ht="15" x14ac:dyDescent="0.25">
      <c r="A98" s="371"/>
      <c r="B98" s="371"/>
      <c r="C98" s="90"/>
      <c r="D98" s="96" t="s">
        <v>291</v>
      </c>
      <c r="E98" s="90"/>
      <c r="F98" s="93">
        <v>17798000</v>
      </c>
      <c r="G98" s="90"/>
      <c r="H98" s="90"/>
    </row>
    <row r="99" spans="1:8" ht="15" x14ac:dyDescent="0.25">
      <c r="A99" s="371"/>
      <c r="B99" s="371"/>
      <c r="C99" s="90"/>
      <c r="D99" s="96" t="s">
        <v>294</v>
      </c>
      <c r="E99" s="90"/>
      <c r="F99" s="93">
        <v>3000000</v>
      </c>
      <c r="G99" s="90"/>
      <c r="H99" s="90"/>
    </row>
    <row r="100" spans="1:8" ht="15" x14ac:dyDescent="0.25">
      <c r="A100" s="371"/>
      <c r="B100" s="371"/>
      <c r="C100" s="90"/>
      <c r="D100" s="96" t="s">
        <v>296</v>
      </c>
      <c r="E100" s="90"/>
      <c r="F100" s="93">
        <v>200000</v>
      </c>
      <c r="G100" s="90"/>
      <c r="H100" s="90"/>
    </row>
    <row r="101" spans="1:8" ht="15" x14ac:dyDescent="0.25">
      <c r="A101" s="372"/>
      <c r="B101" s="372"/>
      <c r="C101" s="91"/>
      <c r="D101" s="168" t="s">
        <v>297</v>
      </c>
      <c r="E101" s="91"/>
      <c r="F101" s="216">
        <v>219000</v>
      </c>
      <c r="G101" s="91"/>
      <c r="H101" s="91"/>
    </row>
  </sheetData>
  <mergeCells count="45">
    <mergeCell ref="B33:B45"/>
    <mergeCell ref="B46:B47"/>
    <mergeCell ref="A93:A95"/>
    <mergeCell ref="B93:B95"/>
    <mergeCell ref="A82:A92"/>
    <mergeCell ref="B82:B92"/>
    <mergeCell ref="A74:A81"/>
    <mergeCell ref="B74:B81"/>
    <mergeCell ref="A72:A73"/>
    <mergeCell ref="B72:B73"/>
    <mergeCell ref="B24:B28"/>
    <mergeCell ref="A66:A71"/>
    <mergeCell ref="B66:B71"/>
    <mergeCell ref="A54:A65"/>
    <mergeCell ref="B54:B65"/>
    <mergeCell ref="A29:A32"/>
    <mergeCell ref="B29:B32"/>
    <mergeCell ref="A48:A53"/>
    <mergeCell ref="B48:B53"/>
    <mergeCell ref="A33:A45"/>
    <mergeCell ref="B6:B7"/>
    <mergeCell ref="A4:A5"/>
    <mergeCell ref="A6:A7"/>
    <mergeCell ref="A10:A11"/>
    <mergeCell ref="B10:B11"/>
    <mergeCell ref="A8:A9"/>
    <mergeCell ref="B8:B9"/>
    <mergeCell ref="G4:G5"/>
    <mergeCell ref="D1:H1"/>
    <mergeCell ref="D2:H2"/>
    <mergeCell ref="H4:H5"/>
    <mergeCell ref="B4:B5"/>
    <mergeCell ref="E4:F4"/>
    <mergeCell ref="C4:C5"/>
    <mergeCell ref="D4:D5"/>
    <mergeCell ref="A96:A101"/>
    <mergeCell ref="B96:B101"/>
    <mergeCell ref="A12:A15"/>
    <mergeCell ref="B12:B15"/>
    <mergeCell ref="A18:A23"/>
    <mergeCell ref="B18:B23"/>
    <mergeCell ref="A46:A47"/>
    <mergeCell ref="A16:A17"/>
    <mergeCell ref="B16:B17"/>
    <mergeCell ref="A24:A28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33" workbookViewId="0">
      <selection activeCell="F61" sqref="F61"/>
    </sheetView>
  </sheetViews>
  <sheetFormatPr defaultRowHeight="12.75" x14ac:dyDescent="0.2"/>
  <cols>
    <col min="1" max="1" width="9.140625" style="77"/>
    <col min="2" max="2" width="14" style="77" customWidth="1"/>
    <col min="3" max="3" width="19" style="77" customWidth="1"/>
    <col min="4" max="4" width="61.42578125" style="77" customWidth="1"/>
    <col min="5" max="5" width="18" style="77" customWidth="1"/>
    <col min="6" max="6" width="18.7109375" style="77" customWidth="1"/>
    <col min="7" max="7" width="18.28515625" style="77" customWidth="1"/>
    <col min="8" max="8" width="18.140625" style="77" customWidth="1"/>
    <col min="9" max="16384" width="9.140625" style="77"/>
  </cols>
  <sheetData>
    <row r="1" spans="1:8" ht="22.5" x14ac:dyDescent="0.3">
      <c r="D1" s="353" t="s">
        <v>30</v>
      </c>
      <c r="E1" s="353"/>
      <c r="F1" s="353"/>
      <c r="G1" s="353"/>
      <c r="H1" s="353"/>
    </row>
    <row r="2" spans="1:8" ht="22.5" x14ac:dyDescent="0.3">
      <c r="D2" s="353" t="s">
        <v>60</v>
      </c>
      <c r="E2" s="353"/>
      <c r="F2" s="353"/>
      <c r="G2" s="353"/>
      <c r="H2" s="353"/>
    </row>
    <row r="4" spans="1:8" ht="18.75" x14ac:dyDescent="0.2">
      <c r="A4" s="361" t="s">
        <v>19</v>
      </c>
      <c r="B4" s="355" t="s">
        <v>20</v>
      </c>
      <c r="C4" s="361" t="s">
        <v>21</v>
      </c>
      <c r="D4" s="361" t="s">
        <v>28</v>
      </c>
      <c r="E4" s="375" t="s">
        <v>1</v>
      </c>
      <c r="F4" s="376"/>
      <c r="G4" s="361" t="s">
        <v>23</v>
      </c>
      <c r="H4" s="361" t="s">
        <v>5</v>
      </c>
    </row>
    <row r="5" spans="1:8" ht="18.75" x14ac:dyDescent="0.2">
      <c r="A5" s="356"/>
      <c r="B5" s="374"/>
      <c r="C5" s="356"/>
      <c r="D5" s="356"/>
      <c r="E5" s="192" t="s">
        <v>12</v>
      </c>
      <c r="F5" s="192" t="s">
        <v>13</v>
      </c>
      <c r="G5" s="356"/>
      <c r="H5" s="356"/>
    </row>
    <row r="6" spans="1:8" ht="15.75" x14ac:dyDescent="0.25">
      <c r="A6" s="370">
        <v>1</v>
      </c>
      <c r="B6" s="373">
        <v>44075</v>
      </c>
      <c r="C6" s="198">
        <v>1430471754</v>
      </c>
      <c r="D6" s="202"/>
      <c r="E6" s="200">
        <f>SUM(E7:E7)</f>
        <v>0</v>
      </c>
      <c r="F6" s="200">
        <f>SUM(F7:F7)</f>
        <v>9900000</v>
      </c>
      <c r="G6" s="201">
        <f>ROUND(C6+E6-F6,2)</f>
        <v>1420571754</v>
      </c>
      <c r="H6" s="202"/>
    </row>
    <row r="7" spans="1:8" ht="15.75" x14ac:dyDescent="0.25">
      <c r="A7" s="343"/>
      <c r="B7" s="383"/>
      <c r="C7" s="182"/>
      <c r="D7" s="168" t="s">
        <v>62</v>
      </c>
      <c r="E7" s="183"/>
      <c r="F7" s="149">
        <v>9900000</v>
      </c>
      <c r="G7" s="184"/>
      <c r="H7" s="185"/>
    </row>
    <row r="8" spans="1:8" ht="15.75" x14ac:dyDescent="0.25">
      <c r="A8" s="370">
        <v>2</v>
      </c>
      <c r="B8" s="373">
        <v>44078</v>
      </c>
      <c r="C8" s="198">
        <f>G6</f>
        <v>1420571754</v>
      </c>
      <c r="D8" s="202"/>
      <c r="E8" s="200">
        <f>SUM(E9:E12)</f>
        <v>212948417</v>
      </c>
      <c r="F8" s="200">
        <f>SUM(F9:F12)</f>
        <v>151966848</v>
      </c>
      <c r="G8" s="201">
        <f>ROUND(C8+E8-F8,2)</f>
        <v>1481553323</v>
      </c>
      <c r="H8" s="202"/>
    </row>
    <row r="9" spans="1:8" ht="15" x14ac:dyDescent="0.25">
      <c r="A9" s="371"/>
      <c r="B9" s="371"/>
      <c r="C9" s="90"/>
      <c r="D9" s="100" t="s">
        <v>81</v>
      </c>
      <c r="E9" s="83">
        <v>212948417</v>
      </c>
      <c r="F9" s="83"/>
      <c r="G9" s="90"/>
      <c r="H9" s="90"/>
    </row>
    <row r="10" spans="1:8" ht="15" x14ac:dyDescent="0.25">
      <c r="A10" s="371"/>
      <c r="B10" s="371"/>
      <c r="C10" s="90"/>
      <c r="D10" s="100" t="s">
        <v>82</v>
      </c>
      <c r="E10" s="90"/>
      <c r="F10" s="83">
        <v>147217488</v>
      </c>
      <c r="G10" s="90"/>
      <c r="H10" s="90"/>
    </row>
    <row r="11" spans="1:8" ht="15" x14ac:dyDescent="0.25">
      <c r="A11" s="371"/>
      <c r="B11" s="371"/>
      <c r="C11" s="90"/>
      <c r="D11" s="100" t="s">
        <v>84</v>
      </c>
      <c r="E11" s="90"/>
      <c r="F11" s="83">
        <v>3649360</v>
      </c>
      <c r="G11" s="90"/>
      <c r="H11" s="90"/>
    </row>
    <row r="12" spans="1:8" ht="15" x14ac:dyDescent="0.25">
      <c r="A12" s="372"/>
      <c r="B12" s="372"/>
      <c r="C12" s="91"/>
      <c r="D12" s="148" t="s">
        <v>85</v>
      </c>
      <c r="E12" s="91"/>
      <c r="F12" s="149">
        <v>1100000</v>
      </c>
      <c r="G12" s="91"/>
      <c r="H12" s="91"/>
    </row>
    <row r="13" spans="1:8" ht="15.75" x14ac:dyDescent="0.25">
      <c r="A13" s="370">
        <v>3</v>
      </c>
      <c r="B13" s="373">
        <v>44081</v>
      </c>
      <c r="C13" s="198">
        <f>G8</f>
        <v>1481553323</v>
      </c>
      <c r="D13" s="202"/>
      <c r="E13" s="200">
        <f>SUM(E14:E14)</f>
        <v>0</v>
      </c>
      <c r="F13" s="200">
        <f>SUM(F14:F14)</f>
        <v>82826351</v>
      </c>
      <c r="G13" s="201">
        <f>ROUND(C13+E13-F13,2)</f>
        <v>1398726972</v>
      </c>
      <c r="H13" s="202"/>
    </row>
    <row r="14" spans="1:8" ht="15" x14ac:dyDescent="0.25">
      <c r="A14" s="372"/>
      <c r="B14" s="372"/>
      <c r="C14" s="91"/>
      <c r="D14" s="148" t="s">
        <v>106</v>
      </c>
      <c r="E14" s="91"/>
      <c r="F14" s="149">
        <v>82826351</v>
      </c>
      <c r="G14" s="91"/>
      <c r="H14" s="91"/>
    </row>
    <row r="15" spans="1:8" ht="15.75" x14ac:dyDescent="0.25">
      <c r="A15" s="370">
        <v>4</v>
      </c>
      <c r="B15" s="373">
        <v>44083</v>
      </c>
      <c r="C15" s="198">
        <f>G13</f>
        <v>1398726972</v>
      </c>
      <c r="D15" s="202"/>
      <c r="E15" s="200">
        <f>SUM(E16:E16)</f>
        <v>0</v>
      </c>
      <c r="F15" s="200">
        <f>SUM(F16:F17)</f>
        <v>31852050</v>
      </c>
      <c r="G15" s="201">
        <f>ROUND(C15+E15-F15,2)</f>
        <v>1366874922</v>
      </c>
      <c r="H15" s="202"/>
    </row>
    <row r="16" spans="1:8" ht="15" x14ac:dyDescent="0.25">
      <c r="A16" s="371"/>
      <c r="B16" s="371"/>
      <c r="C16" s="90"/>
      <c r="D16" s="100" t="s">
        <v>110</v>
      </c>
      <c r="E16" s="90"/>
      <c r="F16" s="83">
        <v>859050</v>
      </c>
      <c r="G16" s="90"/>
      <c r="H16" s="90"/>
    </row>
    <row r="17" spans="1:8" ht="15" x14ac:dyDescent="0.25">
      <c r="A17" s="372"/>
      <c r="B17" s="372"/>
      <c r="C17" s="91"/>
      <c r="D17" s="148" t="s">
        <v>111</v>
      </c>
      <c r="E17" s="91"/>
      <c r="F17" s="149">
        <v>30993000</v>
      </c>
      <c r="G17" s="91"/>
      <c r="H17" s="91"/>
    </row>
    <row r="18" spans="1:8" ht="15.75" x14ac:dyDescent="0.25">
      <c r="A18" s="370">
        <v>5</v>
      </c>
      <c r="B18" s="373">
        <v>44084</v>
      </c>
      <c r="C18" s="198">
        <f>G15</f>
        <v>1366874922</v>
      </c>
      <c r="D18" s="202"/>
      <c r="E18" s="200">
        <f>SUM(E19:E20)</f>
        <v>6406400</v>
      </c>
      <c r="F18" s="200">
        <f>SUM(F19:F20)</f>
        <v>8778000</v>
      </c>
      <c r="G18" s="201">
        <f>ROUND(C18+E18-F18,2)</f>
        <v>1364503322</v>
      </c>
      <c r="H18" s="202"/>
    </row>
    <row r="19" spans="1:8" ht="15" x14ac:dyDescent="0.25">
      <c r="A19" s="371"/>
      <c r="B19" s="371"/>
      <c r="C19" s="90"/>
      <c r="D19" s="100" t="s">
        <v>134</v>
      </c>
      <c r="E19" s="90"/>
      <c r="F19" s="83">
        <v>8778000</v>
      </c>
      <c r="G19" s="90"/>
      <c r="H19" s="90"/>
    </row>
    <row r="20" spans="1:8" ht="15" x14ac:dyDescent="0.25">
      <c r="A20" s="372"/>
      <c r="B20" s="372"/>
      <c r="C20" s="91"/>
      <c r="D20" s="148" t="s">
        <v>135</v>
      </c>
      <c r="E20" s="149">
        <v>6406400</v>
      </c>
      <c r="F20" s="149"/>
      <c r="G20" s="91"/>
      <c r="H20" s="91"/>
    </row>
    <row r="21" spans="1:8" ht="15.75" x14ac:dyDescent="0.25">
      <c r="A21" s="370">
        <v>6</v>
      </c>
      <c r="B21" s="373">
        <v>44085</v>
      </c>
      <c r="C21" s="198">
        <f>G18</f>
        <v>1364503322</v>
      </c>
      <c r="D21" s="202"/>
      <c r="E21" s="200">
        <f>SUM(E22:E23)</f>
        <v>0</v>
      </c>
      <c r="F21" s="200">
        <f>SUM(F22:F23)</f>
        <v>257965600</v>
      </c>
      <c r="G21" s="201">
        <f>ROUND(C21+E21-F21,2)</f>
        <v>1106537722</v>
      </c>
      <c r="H21" s="202"/>
    </row>
    <row r="22" spans="1:8" ht="15" x14ac:dyDescent="0.25">
      <c r="A22" s="371"/>
      <c r="B22" s="371"/>
      <c r="C22" s="90"/>
      <c r="D22" s="100" t="s">
        <v>150</v>
      </c>
      <c r="E22" s="90"/>
      <c r="F22" s="83">
        <v>200000000</v>
      </c>
      <c r="G22" s="90"/>
      <c r="H22" s="90"/>
    </row>
    <row r="23" spans="1:8" ht="15" x14ac:dyDescent="0.25">
      <c r="A23" s="372"/>
      <c r="B23" s="372"/>
      <c r="C23" s="91"/>
      <c r="D23" s="148" t="s">
        <v>151</v>
      </c>
      <c r="E23" s="91"/>
      <c r="F23" s="149">
        <v>57965600</v>
      </c>
      <c r="G23" s="91"/>
      <c r="H23" s="91"/>
    </row>
    <row r="24" spans="1:8" ht="15.75" x14ac:dyDescent="0.25">
      <c r="A24" s="370">
        <v>7</v>
      </c>
      <c r="B24" s="373">
        <v>44088</v>
      </c>
      <c r="C24" s="198">
        <f>G21</f>
        <v>1106537722</v>
      </c>
      <c r="D24" s="202"/>
      <c r="E24" s="200">
        <f>SUM(E25:E30)</f>
        <v>333557653</v>
      </c>
      <c r="F24" s="200">
        <f>SUM(F25:F30)</f>
        <v>802074338</v>
      </c>
      <c r="G24" s="201">
        <f>ROUND(C24+E24-F24,2)</f>
        <v>638021037</v>
      </c>
      <c r="H24" s="202"/>
    </row>
    <row r="25" spans="1:8" ht="15" x14ac:dyDescent="0.25">
      <c r="A25" s="371"/>
      <c r="B25" s="371"/>
      <c r="C25" s="90"/>
      <c r="D25" s="100" t="s">
        <v>153</v>
      </c>
      <c r="E25" s="90"/>
      <c r="F25" s="217">
        <f>33632500+24750000+28379670+36229600+17098400+31755970+27500000+40040000+25099800+43976295+39831000+9900000+25500000+28519040+22278080+16500000+21340000</f>
        <v>472330355</v>
      </c>
      <c r="G25" s="90"/>
      <c r="H25" s="90"/>
    </row>
    <row r="26" spans="1:8" ht="15" x14ac:dyDescent="0.25">
      <c r="A26" s="371"/>
      <c r="B26" s="371"/>
      <c r="C26" s="90"/>
      <c r="D26" s="100" t="s">
        <v>154</v>
      </c>
      <c r="E26" s="90"/>
      <c r="F26" s="83">
        <v>113479983</v>
      </c>
      <c r="G26" s="90"/>
      <c r="H26" s="90"/>
    </row>
    <row r="27" spans="1:8" ht="15" x14ac:dyDescent="0.25">
      <c r="A27" s="371"/>
      <c r="B27" s="371"/>
      <c r="C27" s="90"/>
      <c r="D27" s="100" t="s">
        <v>155</v>
      </c>
      <c r="E27" s="90"/>
      <c r="F27" s="83">
        <v>2864400</v>
      </c>
      <c r="G27" s="90"/>
      <c r="H27" s="90"/>
    </row>
    <row r="28" spans="1:8" ht="15" x14ac:dyDescent="0.25">
      <c r="A28" s="371"/>
      <c r="B28" s="371"/>
      <c r="C28" s="90"/>
      <c r="D28" s="100" t="s">
        <v>156</v>
      </c>
      <c r="E28" s="90"/>
      <c r="F28" s="83">
        <v>46600000</v>
      </c>
      <c r="G28" s="90"/>
      <c r="H28" s="90"/>
    </row>
    <row r="29" spans="1:8" ht="15" x14ac:dyDescent="0.25">
      <c r="A29" s="371"/>
      <c r="B29" s="371"/>
      <c r="C29" s="90"/>
      <c r="D29" s="100" t="s">
        <v>157</v>
      </c>
      <c r="E29" s="90"/>
      <c r="F29" s="83">
        <v>166799600</v>
      </c>
      <c r="G29" s="90"/>
      <c r="H29" s="90"/>
    </row>
    <row r="30" spans="1:8" ht="15" x14ac:dyDescent="0.25">
      <c r="A30" s="372"/>
      <c r="B30" s="372"/>
      <c r="C30" s="91"/>
      <c r="D30" s="148" t="s">
        <v>172</v>
      </c>
      <c r="E30" s="149">
        <v>333557653</v>
      </c>
      <c r="F30" s="149"/>
      <c r="G30" s="91"/>
      <c r="H30" s="91"/>
    </row>
    <row r="31" spans="1:8" ht="15.75" x14ac:dyDescent="0.25">
      <c r="A31" s="370">
        <v>8</v>
      </c>
      <c r="B31" s="373">
        <v>44089</v>
      </c>
      <c r="C31" s="198">
        <f>G24</f>
        <v>638021037</v>
      </c>
      <c r="D31" s="202"/>
      <c r="E31" s="200">
        <f>SUM(E32:E35)</f>
        <v>172029000</v>
      </c>
      <c r="F31" s="200">
        <f>SUM(F32:F35)</f>
        <v>14700000</v>
      </c>
      <c r="G31" s="201">
        <f>ROUND(C31+E31-F31,2)</f>
        <v>795350037</v>
      </c>
      <c r="H31" s="202"/>
    </row>
    <row r="32" spans="1:8" ht="15" customHeight="1" x14ac:dyDescent="0.2">
      <c r="A32" s="371"/>
      <c r="B32" s="381"/>
      <c r="C32" s="90"/>
      <c r="D32" s="155" t="s">
        <v>175</v>
      </c>
      <c r="E32" s="90"/>
      <c r="F32" s="156">
        <v>1500000</v>
      </c>
      <c r="G32" s="90"/>
      <c r="H32" s="90"/>
    </row>
    <row r="33" spans="1:8" ht="15" customHeight="1" x14ac:dyDescent="0.2">
      <c r="A33" s="371"/>
      <c r="B33" s="381"/>
      <c r="C33" s="90"/>
      <c r="D33" s="155" t="s">
        <v>176</v>
      </c>
      <c r="E33" s="90"/>
      <c r="F33" s="156">
        <v>6270000</v>
      </c>
      <c r="G33" s="90"/>
      <c r="H33" s="90"/>
    </row>
    <row r="34" spans="1:8" ht="15" customHeight="1" x14ac:dyDescent="0.25">
      <c r="A34" s="371"/>
      <c r="B34" s="381"/>
      <c r="C34" s="90"/>
      <c r="D34" s="100" t="s">
        <v>177</v>
      </c>
      <c r="E34" s="90"/>
      <c r="F34" s="83">
        <v>6930000</v>
      </c>
      <c r="G34" s="90"/>
      <c r="H34" s="90"/>
    </row>
    <row r="35" spans="1:8" ht="15" x14ac:dyDescent="0.25">
      <c r="A35" s="372"/>
      <c r="B35" s="382"/>
      <c r="C35" s="91"/>
      <c r="D35" s="148" t="s">
        <v>183</v>
      </c>
      <c r="E35" s="149">
        <v>172029000</v>
      </c>
      <c r="F35" s="149"/>
      <c r="G35" s="91"/>
      <c r="H35" s="91"/>
    </row>
    <row r="36" spans="1:8" ht="15.75" x14ac:dyDescent="0.25">
      <c r="A36" s="370">
        <v>9</v>
      </c>
      <c r="B36" s="373">
        <v>44090</v>
      </c>
      <c r="C36" s="198">
        <f>G31</f>
        <v>795350037</v>
      </c>
      <c r="D36" s="202"/>
      <c r="E36" s="200">
        <f>SUM(E37:E39)</f>
        <v>0</v>
      </c>
      <c r="F36" s="200">
        <f>SUM(F37:F39)</f>
        <v>57012464</v>
      </c>
      <c r="G36" s="201">
        <f>ROUND(C36+E36-F36,2)</f>
        <v>738337573</v>
      </c>
      <c r="H36" s="202"/>
    </row>
    <row r="37" spans="1:8" ht="15" x14ac:dyDescent="0.2">
      <c r="A37" s="371"/>
      <c r="B37" s="371"/>
      <c r="C37" s="90"/>
      <c r="D37" s="155" t="s">
        <v>185</v>
      </c>
      <c r="E37" s="90"/>
      <c r="F37" s="156">
        <v>20328864</v>
      </c>
      <c r="G37" s="90"/>
      <c r="H37" s="90"/>
    </row>
    <row r="38" spans="1:8" ht="15" x14ac:dyDescent="0.25">
      <c r="A38" s="371"/>
      <c r="B38" s="371"/>
      <c r="C38" s="90"/>
      <c r="D38" s="100" t="s">
        <v>186</v>
      </c>
      <c r="E38" s="90"/>
      <c r="F38" s="83">
        <v>6683600</v>
      </c>
      <c r="G38" s="90"/>
      <c r="H38" s="90"/>
    </row>
    <row r="39" spans="1:8" ht="15" x14ac:dyDescent="0.25">
      <c r="A39" s="372"/>
      <c r="B39" s="372"/>
      <c r="C39" s="91"/>
      <c r="D39" s="148" t="s">
        <v>187</v>
      </c>
      <c r="E39" s="91"/>
      <c r="F39" s="149">
        <v>30000000</v>
      </c>
      <c r="G39" s="91"/>
      <c r="H39" s="91"/>
    </row>
    <row r="40" spans="1:8" ht="15.75" x14ac:dyDescent="0.25">
      <c r="A40" s="370">
        <v>10</v>
      </c>
      <c r="B40" s="373">
        <v>44093</v>
      </c>
      <c r="C40" s="198">
        <f>G36</f>
        <v>738337573</v>
      </c>
      <c r="D40" s="202"/>
      <c r="E40" s="200">
        <f>SUM(E41:E42)</f>
        <v>118060316</v>
      </c>
      <c r="F40" s="200">
        <f>SUM(F41:F42)</f>
        <v>6196623</v>
      </c>
      <c r="G40" s="201">
        <f>ROUND(C40+E40-F40,2)</f>
        <v>850201266</v>
      </c>
      <c r="H40" s="202"/>
    </row>
    <row r="41" spans="1:8" ht="15" x14ac:dyDescent="0.25">
      <c r="A41" s="371"/>
      <c r="B41" s="371"/>
      <c r="C41" s="90"/>
      <c r="D41" s="100" t="s">
        <v>205</v>
      </c>
      <c r="E41" s="90"/>
      <c r="F41" s="83">
        <v>6196623</v>
      </c>
      <c r="G41" s="90"/>
      <c r="H41" s="90"/>
    </row>
    <row r="42" spans="1:8" ht="15" x14ac:dyDescent="0.25">
      <c r="A42" s="372"/>
      <c r="B42" s="372"/>
      <c r="C42" s="91"/>
      <c r="D42" s="148" t="s">
        <v>206</v>
      </c>
      <c r="E42" s="149">
        <v>118060316</v>
      </c>
      <c r="F42" s="149"/>
      <c r="G42" s="91"/>
      <c r="H42" s="91"/>
    </row>
    <row r="43" spans="1:8" ht="15.75" x14ac:dyDescent="0.25">
      <c r="A43" s="370">
        <v>11</v>
      </c>
      <c r="B43" s="373">
        <v>44095</v>
      </c>
      <c r="C43" s="198">
        <f>G40</f>
        <v>850201266</v>
      </c>
      <c r="D43" s="202"/>
      <c r="E43" s="200">
        <f>SUM(E44:E46)</f>
        <v>0</v>
      </c>
      <c r="F43" s="200">
        <f>SUM(F44:F46)</f>
        <v>82965005</v>
      </c>
      <c r="G43" s="201">
        <f>ROUND(C43+E43-F43,2)</f>
        <v>767236261</v>
      </c>
      <c r="H43" s="202"/>
    </row>
    <row r="44" spans="1:8" ht="15" x14ac:dyDescent="0.25">
      <c r="A44" s="371"/>
      <c r="B44" s="371"/>
      <c r="C44" s="90"/>
      <c r="D44" s="100" t="s">
        <v>219</v>
      </c>
      <c r="E44" s="90"/>
      <c r="F44" s="83">
        <v>16535405</v>
      </c>
      <c r="G44" s="90"/>
      <c r="H44" s="90"/>
    </row>
    <row r="45" spans="1:8" ht="15" x14ac:dyDescent="0.25">
      <c r="A45" s="371"/>
      <c r="B45" s="371"/>
      <c r="C45" s="90"/>
      <c r="D45" s="100" t="s">
        <v>220</v>
      </c>
      <c r="E45" s="90"/>
      <c r="F45" s="83">
        <v>41529600</v>
      </c>
      <c r="G45" s="90"/>
      <c r="H45" s="90"/>
    </row>
    <row r="46" spans="1:8" ht="15" x14ac:dyDescent="0.25">
      <c r="A46" s="372"/>
      <c r="B46" s="372"/>
      <c r="C46" s="91"/>
      <c r="D46" s="148" t="s">
        <v>221</v>
      </c>
      <c r="E46" s="91"/>
      <c r="F46" s="149">
        <v>24900000</v>
      </c>
      <c r="G46" s="91"/>
      <c r="H46" s="91"/>
    </row>
    <row r="47" spans="1:8" ht="15.75" x14ac:dyDescent="0.25">
      <c r="A47" s="370">
        <v>12</v>
      </c>
      <c r="B47" s="373">
        <v>44096</v>
      </c>
      <c r="C47" s="198">
        <f>G43</f>
        <v>767236261</v>
      </c>
      <c r="D47" s="202"/>
      <c r="E47" s="200">
        <f>SUM(E48:E51)</f>
        <v>147907095</v>
      </c>
      <c r="F47" s="200">
        <f>SUM(F48:F51)</f>
        <v>114319095</v>
      </c>
      <c r="G47" s="201">
        <f>ROUND(C47+E47-F47,2)</f>
        <v>800824261</v>
      </c>
      <c r="H47" s="202"/>
    </row>
    <row r="48" spans="1:8" ht="15" customHeight="1" x14ac:dyDescent="0.25">
      <c r="A48" s="371"/>
      <c r="B48" s="381"/>
      <c r="C48" s="90"/>
      <c r="D48" s="96" t="s">
        <v>241</v>
      </c>
      <c r="E48" s="83">
        <v>39000000</v>
      </c>
      <c r="F48" s="90"/>
      <c r="G48" s="90"/>
      <c r="H48" s="90"/>
    </row>
    <row r="49" spans="1:8" ht="15" customHeight="1" x14ac:dyDescent="0.25">
      <c r="A49" s="371"/>
      <c r="B49" s="381"/>
      <c r="C49" s="90"/>
      <c r="D49" s="96" t="s">
        <v>244</v>
      </c>
      <c r="E49" s="83"/>
      <c r="F49" s="83">
        <v>5412000</v>
      </c>
      <c r="G49" s="90"/>
      <c r="H49" s="90"/>
    </row>
    <row r="50" spans="1:8" ht="15" customHeight="1" x14ac:dyDescent="0.25">
      <c r="A50" s="371"/>
      <c r="B50" s="381"/>
      <c r="C50" s="90"/>
      <c r="D50" s="96" t="s">
        <v>240</v>
      </c>
      <c r="E50" s="83">
        <v>108907095</v>
      </c>
      <c r="F50" s="90"/>
      <c r="G50" s="90"/>
      <c r="H50" s="90"/>
    </row>
    <row r="51" spans="1:8" ht="15" x14ac:dyDescent="0.25">
      <c r="A51" s="372"/>
      <c r="B51" s="382"/>
      <c r="C51" s="91"/>
      <c r="D51" s="213" t="s">
        <v>243</v>
      </c>
      <c r="E51" s="91"/>
      <c r="F51" s="149">
        <v>108907095</v>
      </c>
      <c r="G51" s="91"/>
      <c r="H51" s="91"/>
    </row>
    <row r="52" spans="1:8" ht="15.75" x14ac:dyDescent="0.25">
      <c r="A52" s="370">
        <v>13</v>
      </c>
      <c r="B52" s="373">
        <v>44097</v>
      </c>
      <c r="C52" s="198">
        <f>G47</f>
        <v>800824261</v>
      </c>
      <c r="D52" s="202"/>
      <c r="E52" s="200">
        <f>SUM(E53:E53)</f>
        <v>0</v>
      </c>
      <c r="F52" s="200">
        <f>SUM(F53:F53)</f>
        <v>63744000</v>
      </c>
      <c r="G52" s="201">
        <f>ROUND(C52+E52-F52,2)</f>
        <v>737080261</v>
      </c>
      <c r="H52" s="202"/>
    </row>
    <row r="53" spans="1:8" ht="15" x14ac:dyDescent="0.25">
      <c r="A53" s="372"/>
      <c r="B53" s="372"/>
      <c r="C53" s="91"/>
      <c r="D53" s="168" t="s">
        <v>256</v>
      </c>
      <c r="E53" s="91"/>
      <c r="F53" s="149">
        <v>63744000</v>
      </c>
      <c r="G53" s="91"/>
      <c r="H53" s="91"/>
    </row>
    <row r="54" spans="1:8" ht="15.75" x14ac:dyDescent="0.25">
      <c r="A54" s="370">
        <v>14</v>
      </c>
      <c r="B54" s="373">
        <v>44102</v>
      </c>
      <c r="C54" s="198">
        <f>G52</f>
        <v>737080261</v>
      </c>
      <c r="D54" s="202"/>
      <c r="E54" s="200">
        <f>SUM(E55:E55)</f>
        <v>0</v>
      </c>
      <c r="F54" s="200">
        <f>SUM(F55:F57)</f>
        <v>733870070</v>
      </c>
      <c r="G54" s="201">
        <f>ROUND(C54+E54-F54,2)</f>
        <v>3210191</v>
      </c>
      <c r="H54" s="202"/>
    </row>
    <row r="55" spans="1:8" ht="15" x14ac:dyDescent="0.25">
      <c r="A55" s="371"/>
      <c r="B55" s="371"/>
      <c r="C55" s="90"/>
      <c r="D55" s="96" t="s">
        <v>263</v>
      </c>
      <c r="E55" s="90"/>
      <c r="F55" s="83">
        <v>10736249</v>
      </c>
      <c r="G55" s="90"/>
      <c r="H55" s="90"/>
    </row>
    <row r="56" spans="1:8" ht="15" x14ac:dyDescent="0.25">
      <c r="A56" s="371"/>
      <c r="B56" s="371"/>
      <c r="C56" s="90"/>
      <c r="D56" s="96" t="s">
        <v>264</v>
      </c>
      <c r="E56" s="90"/>
      <c r="F56" s="217">
        <v>501481121</v>
      </c>
      <c r="G56" s="90"/>
      <c r="H56" s="90"/>
    </row>
    <row r="57" spans="1:8" ht="15" x14ac:dyDescent="0.25">
      <c r="A57" s="372"/>
      <c r="B57" s="372"/>
      <c r="C57" s="91"/>
      <c r="D57" s="168" t="s">
        <v>268</v>
      </c>
      <c r="E57" s="91"/>
      <c r="F57" s="149">
        <v>221652700</v>
      </c>
      <c r="G57" s="91"/>
      <c r="H57" s="91"/>
    </row>
    <row r="58" spans="1:8" ht="15.75" x14ac:dyDescent="0.25">
      <c r="A58" s="370">
        <v>15</v>
      </c>
      <c r="B58" s="373">
        <v>44103</v>
      </c>
      <c r="C58" s="198">
        <f>G54</f>
        <v>3210191</v>
      </c>
      <c r="D58" s="202"/>
      <c r="E58" s="200">
        <f>SUM(E59:E60)</f>
        <v>1110165761</v>
      </c>
      <c r="F58" s="200">
        <f>SUM(F59:F60)</f>
        <v>1000000</v>
      </c>
      <c r="G58" s="201">
        <f>ROUND(C58+E58-F58,2)</f>
        <v>1112375952</v>
      </c>
      <c r="H58" s="202"/>
    </row>
    <row r="59" spans="1:8" ht="15" x14ac:dyDescent="0.25">
      <c r="A59" s="371"/>
      <c r="B59" s="371"/>
      <c r="C59" s="90"/>
      <c r="D59" s="96" t="s">
        <v>282</v>
      </c>
      <c r="E59" s="90"/>
      <c r="F59" s="93">
        <v>1000000</v>
      </c>
      <c r="G59" s="90"/>
      <c r="H59" s="90"/>
    </row>
    <row r="60" spans="1:8" ht="15" x14ac:dyDescent="0.25">
      <c r="A60" s="372"/>
      <c r="B60" s="372"/>
      <c r="C60" s="91"/>
      <c r="D60" s="168" t="s">
        <v>288</v>
      </c>
      <c r="E60" s="216">
        <v>1110165761</v>
      </c>
      <c r="F60" s="216"/>
      <c r="G60" s="91"/>
      <c r="H60" s="91"/>
    </row>
    <row r="61" spans="1:8" ht="15.75" x14ac:dyDescent="0.25">
      <c r="A61" s="370">
        <v>16</v>
      </c>
      <c r="B61" s="373">
        <v>44104</v>
      </c>
      <c r="C61" s="198">
        <f>G58</f>
        <v>1112375952</v>
      </c>
      <c r="D61" s="202"/>
      <c r="E61" s="200">
        <f>SUM(E62:E65)</f>
        <v>58027738</v>
      </c>
      <c r="F61" s="200">
        <f>SUM(F62:F65)</f>
        <v>745458116</v>
      </c>
      <c r="G61" s="201">
        <f>ROUND(C61+E61-F61,2)</f>
        <v>424945574</v>
      </c>
      <c r="H61" s="202"/>
    </row>
    <row r="62" spans="1:8" ht="15" x14ac:dyDescent="0.25">
      <c r="A62" s="371"/>
      <c r="B62" s="371"/>
      <c r="C62" s="90"/>
      <c r="D62" s="96" t="s">
        <v>273</v>
      </c>
      <c r="E62" s="93">
        <v>167738</v>
      </c>
      <c r="F62" s="93"/>
      <c r="G62" s="90"/>
      <c r="H62" s="90"/>
    </row>
    <row r="63" spans="1:8" ht="15" x14ac:dyDescent="0.25">
      <c r="A63" s="371"/>
      <c r="B63" s="371"/>
      <c r="C63" s="90"/>
      <c r="D63" s="96" t="s">
        <v>264</v>
      </c>
      <c r="E63" s="90"/>
      <c r="F63" s="218">
        <v>723070916</v>
      </c>
      <c r="G63" s="90"/>
      <c r="H63" s="90"/>
    </row>
    <row r="64" spans="1:8" ht="15" x14ac:dyDescent="0.25">
      <c r="A64" s="371"/>
      <c r="B64" s="371"/>
      <c r="C64" s="90"/>
      <c r="D64" s="96" t="s">
        <v>292</v>
      </c>
      <c r="E64" s="90"/>
      <c r="F64" s="93">
        <v>22387200</v>
      </c>
      <c r="G64" s="90"/>
      <c r="H64" s="90"/>
    </row>
    <row r="65" spans="1:8" ht="15" x14ac:dyDescent="0.25">
      <c r="A65" s="372"/>
      <c r="B65" s="372"/>
      <c r="C65" s="91"/>
      <c r="D65" s="168" t="s">
        <v>293</v>
      </c>
      <c r="E65" s="216">
        <v>57860000</v>
      </c>
      <c r="F65" s="216"/>
      <c r="G65" s="91"/>
      <c r="H65" s="91"/>
    </row>
  </sheetData>
  <mergeCells count="41">
    <mergeCell ref="D1:H1"/>
    <mergeCell ref="D2:H2"/>
    <mergeCell ref="B6:B7"/>
    <mergeCell ref="A4:A5"/>
    <mergeCell ref="B4:B5"/>
    <mergeCell ref="A15:A17"/>
    <mergeCell ref="B8:B12"/>
    <mergeCell ref="A6:A7"/>
    <mergeCell ref="A8:A12"/>
    <mergeCell ref="C4:C5"/>
    <mergeCell ref="A43:A46"/>
    <mergeCell ref="B43:B46"/>
    <mergeCell ref="A40:A42"/>
    <mergeCell ref="B40:B42"/>
    <mergeCell ref="A24:A30"/>
    <mergeCell ref="B24:B30"/>
    <mergeCell ref="B15:B17"/>
    <mergeCell ref="A21:A23"/>
    <mergeCell ref="B21:B23"/>
    <mergeCell ref="A36:A39"/>
    <mergeCell ref="B36:B39"/>
    <mergeCell ref="A31:A35"/>
    <mergeCell ref="B31:B35"/>
    <mergeCell ref="A47:A51"/>
    <mergeCell ref="B47:B51"/>
    <mergeCell ref="H4:H5"/>
    <mergeCell ref="D4:D5"/>
    <mergeCell ref="G4:G5"/>
    <mergeCell ref="A18:A20"/>
    <mergeCell ref="B18:B20"/>
    <mergeCell ref="B13:B14"/>
    <mergeCell ref="E4:F4"/>
    <mergeCell ref="A13:A14"/>
    <mergeCell ref="A61:A65"/>
    <mergeCell ref="B61:B65"/>
    <mergeCell ref="A54:A57"/>
    <mergeCell ref="B54:B57"/>
    <mergeCell ref="A52:A53"/>
    <mergeCell ref="B52:B53"/>
    <mergeCell ref="A58:A60"/>
    <mergeCell ref="B58:B6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E31" sqref="E31"/>
    </sheetView>
  </sheetViews>
  <sheetFormatPr defaultRowHeight="12.75" x14ac:dyDescent="0.2"/>
  <cols>
    <col min="1" max="1" width="7.85546875" style="77" customWidth="1"/>
    <col min="2" max="2" width="13.140625" style="77" customWidth="1"/>
    <col min="3" max="3" width="16.42578125" style="77" customWidth="1"/>
    <col min="4" max="4" width="46.140625" style="77" customWidth="1"/>
    <col min="5" max="5" width="16.28515625" style="77" customWidth="1"/>
    <col min="6" max="6" width="16" style="77" customWidth="1"/>
    <col min="7" max="7" width="17" style="77" customWidth="1"/>
    <col min="8" max="8" width="15.140625" style="77" customWidth="1"/>
    <col min="9" max="16384" width="9.140625" style="77"/>
  </cols>
  <sheetData>
    <row r="1" spans="1:8" ht="22.5" x14ac:dyDescent="0.3">
      <c r="D1" s="353" t="s">
        <v>31</v>
      </c>
      <c r="E1" s="353"/>
      <c r="F1" s="353"/>
      <c r="G1" s="353"/>
      <c r="H1" s="353"/>
    </row>
    <row r="2" spans="1:8" ht="22.5" x14ac:dyDescent="0.3">
      <c r="D2" s="353" t="s">
        <v>60</v>
      </c>
      <c r="E2" s="353"/>
      <c r="F2" s="353"/>
      <c r="G2" s="353"/>
      <c r="H2" s="353"/>
    </row>
    <row r="4" spans="1:8" ht="18.75" x14ac:dyDescent="0.2">
      <c r="A4" s="354" t="s">
        <v>19</v>
      </c>
      <c r="B4" s="355" t="s">
        <v>20</v>
      </c>
      <c r="C4" s="354" t="s">
        <v>21</v>
      </c>
      <c r="D4" s="358" t="s">
        <v>28</v>
      </c>
      <c r="E4" s="354" t="s">
        <v>1</v>
      </c>
      <c r="F4" s="354"/>
      <c r="G4" s="354" t="s">
        <v>23</v>
      </c>
      <c r="H4" s="361" t="s">
        <v>5</v>
      </c>
    </row>
    <row r="5" spans="1:8" ht="18.75" x14ac:dyDescent="0.2">
      <c r="A5" s="354"/>
      <c r="B5" s="356"/>
      <c r="C5" s="354"/>
      <c r="D5" s="360"/>
      <c r="E5" s="192" t="s">
        <v>12</v>
      </c>
      <c r="F5" s="192" t="s">
        <v>13</v>
      </c>
      <c r="G5" s="354"/>
      <c r="H5" s="356"/>
    </row>
    <row r="6" spans="1:8" ht="15.75" x14ac:dyDescent="0.2">
      <c r="A6" s="370">
        <v>1</v>
      </c>
      <c r="B6" s="373">
        <v>44075</v>
      </c>
      <c r="C6" s="198">
        <v>659130218</v>
      </c>
      <c r="D6" s="199"/>
      <c r="E6" s="200">
        <f>SUM(E7:E8)</f>
        <v>120221221</v>
      </c>
      <c r="F6" s="200">
        <f>SUM(F7:F8)</f>
        <v>0</v>
      </c>
      <c r="G6" s="201">
        <f>ROUND(C6+E6-F6,2)</f>
        <v>779351439</v>
      </c>
      <c r="H6" s="199"/>
    </row>
    <row r="7" spans="1:8" ht="15.75" x14ac:dyDescent="0.2">
      <c r="A7" s="342"/>
      <c r="B7" s="369"/>
      <c r="C7" s="150"/>
      <c r="D7" s="187" t="s">
        <v>69</v>
      </c>
      <c r="E7" s="151">
        <v>221221</v>
      </c>
      <c r="F7" s="151"/>
      <c r="G7" s="152"/>
      <c r="H7" s="186"/>
    </row>
    <row r="8" spans="1:8" ht="15.75" x14ac:dyDescent="0.25">
      <c r="A8" s="343"/>
      <c r="B8" s="383"/>
      <c r="C8" s="178"/>
      <c r="D8" s="168" t="s">
        <v>65</v>
      </c>
      <c r="E8" s="149">
        <v>120000000</v>
      </c>
      <c r="F8" s="179"/>
      <c r="G8" s="180"/>
      <c r="H8" s="181"/>
    </row>
    <row r="9" spans="1:8" ht="15.75" x14ac:dyDescent="0.2">
      <c r="A9" s="370">
        <v>2</v>
      </c>
      <c r="B9" s="373">
        <v>44077</v>
      </c>
      <c r="C9" s="198">
        <f>G6</f>
        <v>779351439</v>
      </c>
      <c r="D9" s="199"/>
      <c r="E9" s="200">
        <f>SUM(E10:E11)</f>
        <v>780151370</v>
      </c>
      <c r="F9" s="200">
        <f>SUM(F10:F11)</f>
        <v>0</v>
      </c>
      <c r="G9" s="201">
        <f>ROUND(C9+E9-F9,2)</f>
        <v>1559502809</v>
      </c>
      <c r="H9" s="199"/>
    </row>
    <row r="10" spans="1:8" ht="15" x14ac:dyDescent="0.25">
      <c r="A10" s="371"/>
      <c r="B10" s="371"/>
      <c r="C10" s="90"/>
      <c r="D10" s="100" t="s">
        <v>72</v>
      </c>
      <c r="E10" s="83">
        <v>300000000</v>
      </c>
      <c r="F10" s="90"/>
      <c r="G10" s="90"/>
      <c r="H10" s="90"/>
    </row>
    <row r="11" spans="1:8" ht="15" x14ac:dyDescent="0.25">
      <c r="A11" s="372"/>
      <c r="B11" s="372"/>
      <c r="C11" s="91"/>
      <c r="D11" s="148" t="s">
        <v>74</v>
      </c>
      <c r="E11" s="149">
        <v>480151370</v>
      </c>
      <c r="F11" s="91"/>
      <c r="G11" s="91"/>
      <c r="H11" s="91"/>
    </row>
    <row r="12" spans="1:8" ht="15.75" x14ac:dyDescent="0.2">
      <c r="A12" s="370">
        <v>3</v>
      </c>
      <c r="B12" s="373">
        <v>44081</v>
      </c>
      <c r="C12" s="198">
        <f>G9</f>
        <v>1559502809</v>
      </c>
      <c r="D12" s="199"/>
      <c r="E12" s="200">
        <f>SUM(E13:E13)</f>
        <v>0</v>
      </c>
      <c r="F12" s="200">
        <f>SUM(F13:F13)</f>
        <v>900000</v>
      </c>
      <c r="G12" s="201">
        <f>ROUND(C12+E12-F12,2)</f>
        <v>1558602809</v>
      </c>
      <c r="H12" s="208"/>
    </row>
    <row r="13" spans="1:8" ht="15" x14ac:dyDescent="0.25">
      <c r="A13" s="372"/>
      <c r="B13" s="372"/>
      <c r="C13" s="91"/>
      <c r="D13" s="148" t="s">
        <v>104</v>
      </c>
      <c r="E13" s="91"/>
      <c r="F13" s="149">
        <v>900000</v>
      </c>
      <c r="G13" s="91"/>
      <c r="H13" s="91"/>
    </row>
    <row r="14" spans="1:8" ht="15.75" x14ac:dyDescent="0.2">
      <c r="A14" s="370">
        <v>4</v>
      </c>
      <c r="B14" s="373">
        <v>44083</v>
      </c>
      <c r="C14" s="198">
        <f>G12</f>
        <v>1558602809</v>
      </c>
      <c r="D14" s="199"/>
      <c r="E14" s="200">
        <f>SUM(E15:E15)</f>
        <v>443333837</v>
      </c>
      <c r="F14" s="200">
        <f>SUM(F15:F15)</f>
        <v>0</v>
      </c>
      <c r="G14" s="201">
        <f>ROUND(C14+E14-F14,2)</f>
        <v>2001936646</v>
      </c>
      <c r="H14" s="208"/>
    </row>
    <row r="15" spans="1:8" ht="15" x14ac:dyDescent="0.25">
      <c r="A15" s="372"/>
      <c r="B15" s="372"/>
      <c r="C15" s="91"/>
      <c r="D15" s="148" t="s">
        <v>120</v>
      </c>
      <c r="E15" s="149">
        <v>443333837</v>
      </c>
      <c r="F15" s="91"/>
      <c r="G15" s="91"/>
      <c r="H15" s="91"/>
    </row>
    <row r="16" spans="1:8" ht="15.75" x14ac:dyDescent="0.2">
      <c r="A16" s="370">
        <v>5</v>
      </c>
      <c r="B16" s="373">
        <v>44084</v>
      </c>
      <c r="C16" s="198">
        <f>G14</f>
        <v>2001936646</v>
      </c>
      <c r="D16" s="199"/>
      <c r="E16" s="200">
        <f>SUM(E17:E17)</f>
        <v>0</v>
      </c>
      <c r="F16" s="200">
        <f>SUM(F17:F17)</f>
        <v>1000000000</v>
      </c>
      <c r="G16" s="201">
        <f>ROUND(C16+E16-F16,2)</f>
        <v>1001936646</v>
      </c>
      <c r="H16" s="208"/>
    </row>
    <row r="17" spans="1:8" ht="15" x14ac:dyDescent="0.25">
      <c r="A17" s="372"/>
      <c r="B17" s="372"/>
      <c r="C17" s="91"/>
      <c r="D17" s="148" t="s">
        <v>124</v>
      </c>
      <c r="E17" s="91"/>
      <c r="F17" s="149">
        <v>1000000000</v>
      </c>
      <c r="G17" s="91"/>
      <c r="H17" s="91"/>
    </row>
    <row r="18" spans="1:8" ht="15.75" x14ac:dyDescent="0.2">
      <c r="A18" s="370">
        <v>6</v>
      </c>
      <c r="B18" s="373">
        <v>44096</v>
      </c>
      <c r="C18" s="198">
        <f>G16</f>
        <v>1001936646</v>
      </c>
      <c r="D18" s="199"/>
      <c r="E18" s="200">
        <f>SUM(E19:E19)</f>
        <v>0</v>
      </c>
      <c r="F18" s="200">
        <f>SUM(F19:F19)</f>
        <v>100000000</v>
      </c>
      <c r="G18" s="201">
        <f>ROUND(C18+E18-F18,2)</f>
        <v>901936646</v>
      </c>
      <c r="H18" s="208"/>
    </row>
    <row r="19" spans="1:8" ht="15" x14ac:dyDescent="0.25">
      <c r="A19" s="372"/>
      <c r="B19" s="372"/>
      <c r="C19" s="91"/>
      <c r="D19" s="148" t="s">
        <v>238</v>
      </c>
      <c r="E19" s="91"/>
      <c r="F19" s="149">
        <v>100000000</v>
      </c>
      <c r="G19" s="91"/>
      <c r="H19" s="91"/>
    </row>
    <row r="20" spans="1:8" ht="15.75" x14ac:dyDescent="0.2">
      <c r="A20" s="370">
        <v>7</v>
      </c>
      <c r="B20" s="373">
        <v>44097</v>
      </c>
      <c r="C20" s="198">
        <f>G18</f>
        <v>901936646</v>
      </c>
      <c r="D20" s="199"/>
      <c r="E20" s="200">
        <f>SUM(E21:E21)</f>
        <v>31451200</v>
      </c>
      <c r="F20" s="200">
        <f>SUM(F21:F23)</f>
        <v>690011000</v>
      </c>
      <c r="G20" s="201">
        <f>ROUND(C20+E20-F20,2)</f>
        <v>243376846</v>
      </c>
      <c r="H20" s="208"/>
    </row>
    <row r="21" spans="1:8" ht="15" x14ac:dyDescent="0.25">
      <c r="A21" s="371"/>
      <c r="B21" s="371"/>
      <c r="C21" s="90"/>
      <c r="D21" s="96" t="s">
        <v>254</v>
      </c>
      <c r="E21" s="83">
        <v>31451200</v>
      </c>
      <c r="F21" s="83"/>
      <c r="G21" s="90"/>
      <c r="H21" s="90"/>
    </row>
    <row r="22" spans="1:8" ht="15" x14ac:dyDescent="0.25">
      <c r="A22" s="384"/>
      <c r="B22" s="384"/>
      <c r="C22" s="214"/>
      <c r="D22" s="96" t="s">
        <v>259</v>
      </c>
      <c r="E22" s="215"/>
      <c r="F22" s="83">
        <v>11000</v>
      </c>
      <c r="G22" s="214"/>
      <c r="H22" s="214"/>
    </row>
    <row r="23" spans="1:8" ht="15" x14ac:dyDescent="0.25">
      <c r="A23" s="372"/>
      <c r="B23" s="372"/>
      <c r="C23" s="91"/>
      <c r="D23" s="168" t="s">
        <v>255</v>
      </c>
      <c r="E23" s="91"/>
      <c r="F23" s="149">
        <v>690000000</v>
      </c>
      <c r="G23" s="91"/>
      <c r="H23" s="91"/>
    </row>
    <row r="24" spans="1:8" ht="15.75" x14ac:dyDescent="0.2">
      <c r="A24" s="370">
        <v>8</v>
      </c>
      <c r="B24" s="373">
        <v>44102</v>
      </c>
      <c r="C24" s="198">
        <f>G20</f>
        <v>243376846</v>
      </c>
      <c r="D24" s="199"/>
      <c r="E24" s="200">
        <f>SUM(E25:E26)</f>
        <v>0</v>
      </c>
      <c r="F24" s="200">
        <f>SUM(F25:F26)</f>
        <v>922000</v>
      </c>
      <c r="G24" s="201">
        <f>ROUND(C24+E24-F24,2)</f>
        <v>242454846</v>
      </c>
      <c r="H24" s="208"/>
    </row>
    <row r="25" spans="1:8" ht="15.75" x14ac:dyDescent="0.2">
      <c r="A25" s="371"/>
      <c r="B25" s="371"/>
      <c r="C25" s="90"/>
      <c r="D25" s="101" t="s">
        <v>276</v>
      </c>
      <c r="E25" s="90"/>
      <c r="F25" s="94">
        <v>900000</v>
      </c>
      <c r="G25" s="90"/>
      <c r="H25" s="90"/>
    </row>
    <row r="26" spans="1:8" ht="15" x14ac:dyDescent="0.25">
      <c r="A26" s="372"/>
      <c r="B26" s="372"/>
      <c r="C26" s="91"/>
      <c r="D26" s="168" t="s">
        <v>277</v>
      </c>
      <c r="E26" s="91"/>
      <c r="F26" s="149">
        <v>22000</v>
      </c>
      <c r="G26" s="91"/>
      <c r="H26" s="91"/>
    </row>
    <row r="32" spans="1:8" x14ac:dyDescent="0.2">
      <c r="E32" s="212"/>
    </row>
  </sheetData>
  <mergeCells count="25">
    <mergeCell ref="B6:B8"/>
    <mergeCell ref="D1:H1"/>
    <mergeCell ref="D2:H2"/>
    <mergeCell ref="B4:B5"/>
    <mergeCell ref="E4:F4"/>
    <mergeCell ref="G4:G5"/>
    <mergeCell ref="H4:H5"/>
    <mergeCell ref="C4:C5"/>
    <mergeCell ref="D4:D5"/>
    <mergeCell ref="A9:A11"/>
    <mergeCell ref="A18:A19"/>
    <mergeCell ref="B18:B19"/>
    <mergeCell ref="A16:A17"/>
    <mergeCell ref="B16:B17"/>
    <mergeCell ref="A4:A5"/>
    <mergeCell ref="A14:A15"/>
    <mergeCell ref="B14:B15"/>
    <mergeCell ref="B9:B11"/>
    <mergeCell ref="A6:A8"/>
    <mergeCell ref="A24:A26"/>
    <mergeCell ref="B24:B26"/>
    <mergeCell ref="A20:A23"/>
    <mergeCell ref="B20:B23"/>
    <mergeCell ref="A12:A13"/>
    <mergeCell ref="B12:B13"/>
  </mergeCells>
  <pageMargins left="0.7" right="0.7" top="0.75" bottom="0.75" header="0.3" footer="0.3"/>
  <pageSetup paperSize="9"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9" workbookViewId="0">
      <selection activeCell="D48" sqref="D48"/>
    </sheetView>
  </sheetViews>
  <sheetFormatPr defaultRowHeight="12.75" x14ac:dyDescent="0.2"/>
  <cols>
    <col min="1" max="1" width="8" style="77" customWidth="1"/>
    <col min="2" max="2" width="13" style="77" customWidth="1"/>
    <col min="3" max="3" width="15.5703125" style="77" customWidth="1"/>
    <col min="4" max="4" width="45.85546875" style="77" customWidth="1"/>
    <col min="5" max="5" width="15.7109375" style="77" customWidth="1"/>
    <col min="6" max="6" width="16" style="77" customWidth="1"/>
    <col min="7" max="7" width="16.42578125" style="77" customWidth="1"/>
    <col min="8" max="8" width="16.140625" style="77" customWidth="1"/>
    <col min="9" max="16384" width="9.140625" style="77"/>
  </cols>
  <sheetData>
    <row r="1" spans="1:8" ht="22.5" x14ac:dyDescent="0.3">
      <c r="A1" s="92"/>
      <c r="B1" s="92"/>
      <c r="C1" s="92"/>
      <c r="D1" s="353" t="s">
        <v>27</v>
      </c>
      <c r="E1" s="353"/>
      <c r="F1" s="353"/>
      <c r="G1" s="353"/>
      <c r="H1" s="353"/>
    </row>
    <row r="2" spans="1:8" ht="22.5" x14ac:dyDescent="0.3">
      <c r="A2" s="92"/>
      <c r="B2" s="92"/>
      <c r="C2" s="92"/>
      <c r="D2" s="353" t="s">
        <v>60</v>
      </c>
      <c r="E2" s="353"/>
      <c r="F2" s="353"/>
      <c r="G2" s="353"/>
      <c r="H2" s="353"/>
    </row>
    <row r="3" spans="1:8" ht="15" x14ac:dyDescent="0.25">
      <c r="A3" s="92"/>
      <c r="B3" s="92"/>
      <c r="C3" s="92"/>
      <c r="D3" s="92"/>
      <c r="E3" s="92"/>
      <c r="F3" s="92"/>
      <c r="G3" s="92"/>
      <c r="H3" s="92"/>
    </row>
    <row r="4" spans="1:8" ht="18.75" x14ac:dyDescent="0.2">
      <c r="A4" s="354" t="s">
        <v>19</v>
      </c>
      <c r="B4" s="355" t="s">
        <v>20</v>
      </c>
      <c r="C4" s="354" t="s">
        <v>21</v>
      </c>
      <c r="D4" s="358" t="s">
        <v>28</v>
      </c>
      <c r="E4" s="354" t="s">
        <v>1</v>
      </c>
      <c r="F4" s="354"/>
      <c r="G4" s="354" t="s">
        <v>23</v>
      </c>
      <c r="H4" s="361" t="s">
        <v>5</v>
      </c>
    </row>
    <row r="5" spans="1:8" ht="18.75" x14ac:dyDescent="0.2">
      <c r="A5" s="361"/>
      <c r="B5" s="386"/>
      <c r="C5" s="361"/>
      <c r="D5" s="385"/>
      <c r="E5" s="193" t="s">
        <v>12</v>
      </c>
      <c r="F5" s="193" t="s">
        <v>13</v>
      </c>
      <c r="G5" s="361"/>
      <c r="H5" s="386"/>
    </row>
    <row r="6" spans="1:8" ht="18.75" x14ac:dyDescent="0.2">
      <c r="A6" s="370">
        <v>1</v>
      </c>
      <c r="B6" s="373">
        <v>44075</v>
      </c>
      <c r="C6" s="194">
        <v>23416385</v>
      </c>
      <c r="D6" s="195"/>
      <c r="E6" s="196">
        <f>SUM(E7:E8)</f>
        <v>0</v>
      </c>
      <c r="F6" s="196">
        <f>SUM(F7:F8)</f>
        <v>2282000</v>
      </c>
      <c r="G6" s="197">
        <f>ROUND(C6+E6-F6,2)</f>
        <v>21134385</v>
      </c>
      <c r="H6" s="195"/>
    </row>
    <row r="7" spans="1:8" ht="18.75" x14ac:dyDescent="0.25">
      <c r="A7" s="342"/>
      <c r="B7" s="369"/>
      <c r="C7" s="188"/>
      <c r="D7" s="96" t="s">
        <v>70</v>
      </c>
      <c r="E7" s="190"/>
      <c r="F7" s="83">
        <v>500000</v>
      </c>
      <c r="G7" s="191"/>
      <c r="H7" s="189"/>
    </row>
    <row r="8" spans="1:8" ht="15" customHeight="1" x14ac:dyDescent="0.25">
      <c r="A8" s="372"/>
      <c r="B8" s="382"/>
      <c r="C8" s="91"/>
      <c r="D8" s="148" t="s">
        <v>63</v>
      </c>
      <c r="E8" s="91"/>
      <c r="F8" s="149">
        <v>1782000</v>
      </c>
      <c r="G8" s="91"/>
      <c r="H8" s="91"/>
    </row>
    <row r="9" spans="1:8" ht="18.75" x14ac:dyDescent="0.2">
      <c r="A9" s="370">
        <v>2</v>
      </c>
      <c r="B9" s="373">
        <v>44077</v>
      </c>
      <c r="C9" s="194">
        <f>G6</f>
        <v>21134385</v>
      </c>
      <c r="D9" s="195"/>
      <c r="E9" s="196">
        <f>SUM(E10:E10)</f>
        <v>0</v>
      </c>
      <c r="F9" s="196">
        <f>SUM(F10:F10)</f>
        <v>215000</v>
      </c>
      <c r="G9" s="197">
        <f>ROUND(C9+E9-F9,2)</f>
        <v>20919385</v>
      </c>
      <c r="H9" s="195"/>
    </row>
    <row r="10" spans="1:8" ht="15" x14ac:dyDescent="0.25">
      <c r="A10" s="372"/>
      <c r="B10" s="372"/>
      <c r="C10" s="91"/>
      <c r="D10" s="148" t="s">
        <v>75</v>
      </c>
      <c r="E10" s="91"/>
      <c r="F10" s="149">
        <v>215000</v>
      </c>
      <c r="G10" s="91"/>
      <c r="H10" s="91"/>
    </row>
    <row r="11" spans="1:8" ht="18.75" x14ac:dyDescent="0.2">
      <c r="A11" s="370">
        <v>3</v>
      </c>
      <c r="B11" s="373">
        <v>44078</v>
      </c>
      <c r="C11" s="194">
        <f>G9</f>
        <v>20919385</v>
      </c>
      <c r="D11" s="195"/>
      <c r="E11" s="196">
        <f>SUM(E12:E13)</f>
        <v>0</v>
      </c>
      <c r="F11" s="196">
        <f>SUM(F12:F13)</f>
        <v>2084000</v>
      </c>
      <c r="G11" s="197">
        <f>ROUND(C11+E11-F11,2)</f>
        <v>18835385</v>
      </c>
      <c r="H11" s="195"/>
    </row>
    <row r="12" spans="1:8" ht="15" x14ac:dyDescent="0.25">
      <c r="A12" s="371"/>
      <c r="B12" s="371"/>
      <c r="C12" s="90"/>
      <c r="D12" s="100" t="s">
        <v>89</v>
      </c>
      <c r="E12" s="90"/>
      <c r="F12" s="83">
        <v>264000</v>
      </c>
      <c r="G12" s="90"/>
      <c r="H12" s="90"/>
    </row>
    <row r="13" spans="1:8" ht="15" x14ac:dyDescent="0.25">
      <c r="A13" s="372"/>
      <c r="B13" s="372"/>
      <c r="C13" s="91"/>
      <c r="D13" s="148" t="s">
        <v>90</v>
      </c>
      <c r="E13" s="91"/>
      <c r="F13" s="149">
        <v>1820000</v>
      </c>
      <c r="G13" s="91"/>
      <c r="H13" s="91"/>
    </row>
    <row r="14" spans="1:8" ht="18.75" x14ac:dyDescent="0.2">
      <c r="A14" s="370">
        <v>4</v>
      </c>
      <c r="B14" s="373">
        <v>44081</v>
      </c>
      <c r="C14" s="194">
        <f>G11</f>
        <v>18835385</v>
      </c>
      <c r="D14" s="195"/>
      <c r="E14" s="196">
        <f>SUM(E15:E16)</f>
        <v>0</v>
      </c>
      <c r="F14" s="196">
        <f>SUM(F15:F16)</f>
        <v>3121000</v>
      </c>
      <c r="G14" s="197">
        <f>ROUND(C14+E14-F14,2)</f>
        <v>15714385</v>
      </c>
      <c r="H14" s="195"/>
    </row>
    <row r="15" spans="1:8" ht="15" x14ac:dyDescent="0.25">
      <c r="A15" s="371"/>
      <c r="B15" s="371"/>
      <c r="C15" s="90"/>
      <c r="D15" s="100" t="s">
        <v>97</v>
      </c>
      <c r="E15" s="90"/>
      <c r="F15" s="83">
        <v>591000</v>
      </c>
      <c r="G15" s="90"/>
      <c r="H15" s="90"/>
    </row>
    <row r="16" spans="1:8" ht="30" x14ac:dyDescent="0.25">
      <c r="A16" s="372"/>
      <c r="B16" s="372"/>
      <c r="C16" s="91"/>
      <c r="D16" s="148" t="s">
        <v>100</v>
      </c>
      <c r="E16" s="91"/>
      <c r="F16" s="149">
        <v>2530000</v>
      </c>
      <c r="G16" s="91"/>
      <c r="H16" s="91"/>
    </row>
    <row r="17" spans="1:8" ht="18.75" x14ac:dyDescent="0.2">
      <c r="A17" s="370">
        <v>5</v>
      </c>
      <c r="B17" s="373">
        <v>44083</v>
      </c>
      <c r="C17" s="194">
        <f>G14</f>
        <v>15714385</v>
      </c>
      <c r="D17" s="195"/>
      <c r="E17" s="196">
        <f>SUM(E18:E18)</f>
        <v>0</v>
      </c>
      <c r="F17" s="196">
        <f>SUM(F18:F18)</f>
        <v>750000</v>
      </c>
      <c r="G17" s="197">
        <f>ROUND(C17+E17-F17,2)</f>
        <v>14964385</v>
      </c>
      <c r="H17" s="195"/>
    </row>
    <row r="18" spans="1:8" ht="15" x14ac:dyDescent="0.25">
      <c r="A18" s="372"/>
      <c r="B18" s="372"/>
      <c r="C18" s="91"/>
      <c r="D18" s="148" t="s">
        <v>108</v>
      </c>
      <c r="E18" s="91"/>
      <c r="F18" s="149">
        <v>750000</v>
      </c>
      <c r="G18" s="91"/>
      <c r="H18" s="91"/>
    </row>
    <row r="19" spans="1:8" ht="18.75" x14ac:dyDescent="0.2">
      <c r="A19" s="370">
        <v>6</v>
      </c>
      <c r="B19" s="373">
        <v>44084</v>
      </c>
      <c r="C19" s="194">
        <f>G17</f>
        <v>14964385</v>
      </c>
      <c r="D19" s="195"/>
      <c r="E19" s="196">
        <f>SUM(E20:E22)</f>
        <v>0</v>
      </c>
      <c r="F19" s="196">
        <f>SUM(F20:F22)</f>
        <v>570000</v>
      </c>
      <c r="G19" s="197">
        <f>ROUND(C19+E19-F19,2)</f>
        <v>14394385</v>
      </c>
      <c r="H19" s="195"/>
    </row>
    <row r="20" spans="1:8" ht="30" x14ac:dyDescent="0.25">
      <c r="A20" s="371"/>
      <c r="B20" s="381"/>
      <c r="C20" s="90"/>
      <c r="D20" s="100" t="s">
        <v>131</v>
      </c>
      <c r="E20" s="90"/>
      <c r="F20" s="83">
        <v>165000</v>
      </c>
      <c r="G20" s="90"/>
      <c r="H20" s="90"/>
    </row>
    <row r="21" spans="1:8" ht="30" x14ac:dyDescent="0.25">
      <c r="A21" s="371"/>
      <c r="B21" s="381"/>
      <c r="C21" s="90"/>
      <c r="D21" s="100" t="s">
        <v>132</v>
      </c>
      <c r="E21" s="90"/>
      <c r="F21" s="83">
        <v>219000</v>
      </c>
      <c r="G21" s="90"/>
      <c r="H21" s="90"/>
    </row>
    <row r="22" spans="1:8" ht="15" x14ac:dyDescent="0.25">
      <c r="A22" s="372"/>
      <c r="B22" s="382"/>
      <c r="C22" s="91"/>
      <c r="D22" s="148" t="s">
        <v>133</v>
      </c>
      <c r="E22" s="91"/>
      <c r="F22" s="149">
        <v>186000</v>
      </c>
      <c r="G22" s="91"/>
      <c r="H22" s="91"/>
    </row>
    <row r="23" spans="1:8" ht="18.75" x14ac:dyDescent="0.2">
      <c r="A23" s="370">
        <v>7</v>
      </c>
      <c r="B23" s="373">
        <v>44085</v>
      </c>
      <c r="C23" s="194">
        <f>G19</f>
        <v>14394385</v>
      </c>
      <c r="D23" s="195"/>
      <c r="E23" s="196">
        <f>SUM(E24:E24)</f>
        <v>0</v>
      </c>
      <c r="F23" s="196">
        <f>SUM(F24:F24)</f>
        <v>2500000</v>
      </c>
      <c r="G23" s="197">
        <f>ROUND(C23+E23-F23,2)</f>
        <v>11894385</v>
      </c>
      <c r="H23" s="195"/>
    </row>
    <row r="24" spans="1:8" ht="15.75" x14ac:dyDescent="0.25">
      <c r="A24" s="372"/>
      <c r="B24" s="372"/>
      <c r="C24" s="91"/>
      <c r="D24" s="148" t="s">
        <v>143</v>
      </c>
      <c r="E24" s="91"/>
      <c r="F24" s="179">
        <v>2500000</v>
      </c>
      <c r="G24" s="91"/>
      <c r="H24" s="91"/>
    </row>
    <row r="25" spans="1:8" ht="18.75" x14ac:dyDescent="0.2">
      <c r="A25" s="370">
        <v>8</v>
      </c>
      <c r="B25" s="373">
        <v>44089</v>
      </c>
      <c r="C25" s="194">
        <f>G23</f>
        <v>11894385</v>
      </c>
      <c r="D25" s="195"/>
      <c r="E25" s="196">
        <f>SUM(E26:E27)</f>
        <v>0</v>
      </c>
      <c r="F25" s="196">
        <f>SUM(F26:F27)</f>
        <v>1253000</v>
      </c>
      <c r="G25" s="197">
        <f>ROUND(C25+E25-F25,2)</f>
        <v>10641385</v>
      </c>
      <c r="H25" s="195"/>
    </row>
    <row r="26" spans="1:8" ht="15" x14ac:dyDescent="0.25">
      <c r="A26" s="371"/>
      <c r="B26" s="371"/>
      <c r="C26" s="90"/>
      <c r="D26" s="96" t="s">
        <v>179</v>
      </c>
      <c r="E26" s="90"/>
      <c r="F26" s="83">
        <v>250000</v>
      </c>
      <c r="G26" s="90"/>
      <c r="H26" s="90"/>
    </row>
    <row r="27" spans="1:8" ht="15" x14ac:dyDescent="0.25">
      <c r="A27" s="372"/>
      <c r="B27" s="372"/>
      <c r="C27" s="91"/>
      <c r="D27" s="148" t="s">
        <v>180</v>
      </c>
      <c r="E27" s="91"/>
      <c r="F27" s="149">
        <v>1003000</v>
      </c>
      <c r="G27" s="91"/>
      <c r="H27" s="91"/>
    </row>
    <row r="28" spans="1:8" ht="18.75" x14ac:dyDescent="0.2">
      <c r="A28" s="370">
        <v>9</v>
      </c>
      <c r="B28" s="373">
        <v>44090</v>
      </c>
      <c r="C28" s="194">
        <f>G25</f>
        <v>10641385</v>
      </c>
      <c r="D28" s="195"/>
      <c r="E28" s="196">
        <f>SUM(E29:E29)</f>
        <v>0</v>
      </c>
      <c r="F28" s="196">
        <f>SUM(F29:F29)</f>
        <v>502348</v>
      </c>
      <c r="G28" s="197">
        <f>ROUND(C28+E28-F28,2)</f>
        <v>10139037</v>
      </c>
      <c r="H28" s="195"/>
    </row>
    <row r="29" spans="1:8" ht="15.75" customHeight="1" x14ac:dyDescent="0.2">
      <c r="A29" s="372"/>
      <c r="B29" s="372"/>
      <c r="C29" s="211"/>
      <c r="D29" s="209" t="s">
        <v>194</v>
      </c>
      <c r="E29" s="211"/>
      <c r="F29" s="210">
        <v>502348</v>
      </c>
      <c r="G29" s="211"/>
      <c r="H29" s="211"/>
    </row>
    <row r="30" spans="1:8" ht="18.75" x14ac:dyDescent="0.2">
      <c r="A30" s="370">
        <v>10</v>
      </c>
      <c r="B30" s="373">
        <v>44093</v>
      </c>
      <c r="C30" s="194">
        <f>G28</f>
        <v>10139037</v>
      </c>
      <c r="D30" s="195"/>
      <c r="E30" s="196">
        <f>SUM(E31:E32)</f>
        <v>0</v>
      </c>
      <c r="F30" s="196">
        <f>SUM(F31:F32)</f>
        <v>3715000</v>
      </c>
      <c r="G30" s="197">
        <f>ROUND(C30+E30-F30,2)</f>
        <v>6424037</v>
      </c>
      <c r="H30" s="195"/>
    </row>
    <row r="31" spans="1:8" ht="15" x14ac:dyDescent="0.25">
      <c r="A31" s="371"/>
      <c r="B31" s="371"/>
      <c r="C31" s="90"/>
      <c r="D31" s="100" t="s">
        <v>204</v>
      </c>
      <c r="E31" s="90"/>
      <c r="F31" s="83">
        <v>3200000</v>
      </c>
      <c r="G31" s="90"/>
      <c r="H31" s="90"/>
    </row>
    <row r="32" spans="1:8" ht="30" x14ac:dyDescent="0.25">
      <c r="A32" s="372"/>
      <c r="B32" s="372"/>
      <c r="C32" s="91"/>
      <c r="D32" s="148" t="s">
        <v>210</v>
      </c>
      <c r="E32" s="91"/>
      <c r="F32" s="149">
        <v>515000</v>
      </c>
      <c r="G32" s="91"/>
      <c r="H32" s="91"/>
    </row>
    <row r="33" spans="1:8" ht="18.75" x14ac:dyDescent="0.2">
      <c r="A33" s="370">
        <v>11</v>
      </c>
      <c r="B33" s="373">
        <v>44096</v>
      </c>
      <c r="C33" s="194">
        <f>G30</f>
        <v>6424037</v>
      </c>
      <c r="D33" s="195"/>
      <c r="E33" s="196">
        <f>SUM(E34:E39)</f>
        <v>114100000</v>
      </c>
      <c r="F33" s="196">
        <f>SUM(F34:F39)</f>
        <v>60545000</v>
      </c>
      <c r="G33" s="197">
        <f>ROUND(C33+E33-F33,2)</f>
        <v>59979037</v>
      </c>
      <c r="H33" s="195"/>
    </row>
    <row r="34" spans="1:8" ht="15" x14ac:dyDescent="0.25">
      <c r="A34" s="371"/>
      <c r="B34" s="371"/>
      <c r="C34" s="90"/>
      <c r="D34" s="100" t="s">
        <v>229</v>
      </c>
      <c r="E34" s="90"/>
      <c r="F34" s="83">
        <v>500000</v>
      </c>
      <c r="G34" s="90"/>
      <c r="H34" s="90"/>
    </row>
    <row r="35" spans="1:8" ht="15" x14ac:dyDescent="0.25">
      <c r="A35" s="371"/>
      <c r="B35" s="371"/>
      <c r="C35" s="90"/>
      <c r="D35" s="100" t="s">
        <v>231</v>
      </c>
      <c r="E35" s="83">
        <v>14100000</v>
      </c>
      <c r="F35" s="83"/>
      <c r="G35" s="90"/>
      <c r="H35" s="90"/>
    </row>
    <row r="36" spans="1:8" ht="15" x14ac:dyDescent="0.25">
      <c r="A36" s="371"/>
      <c r="B36" s="371"/>
      <c r="C36" s="90"/>
      <c r="D36" s="96" t="s">
        <v>232</v>
      </c>
      <c r="E36" s="90"/>
      <c r="F36" s="83">
        <v>125000</v>
      </c>
      <c r="G36" s="90"/>
      <c r="H36" s="90"/>
    </row>
    <row r="37" spans="1:8" ht="15" x14ac:dyDescent="0.25">
      <c r="A37" s="371"/>
      <c r="B37" s="371"/>
      <c r="C37" s="90"/>
      <c r="D37" s="100" t="s">
        <v>233</v>
      </c>
      <c r="E37" s="90"/>
      <c r="F37" s="83">
        <v>4920000</v>
      </c>
      <c r="G37" s="90"/>
      <c r="H37" s="90"/>
    </row>
    <row r="38" spans="1:8" ht="15" x14ac:dyDescent="0.25">
      <c r="A38" s="371"/>
      <c r="B38" s="371"/>
      <c r="C38" s="90"/>
      <c r="D38" s="100" t="s">
        <v>234</v>
      </c>
      <c r="E38" s="83">
        <v>100000000</v>
      </c>
      <c r="F38" s="83"/>
      <c r="G38" s="90"/>
      <c r="H38" s="90"/>
    </row>
    <row r="39" spans="1:8" ht="15" x14ac:dyDescent="0.25">
      <c r="A39" s="372"/>
      <c r="B39" s="372"/>
      <c r="C39" s="91"/>
      <c r="D39" s="148" t="s">
        <v>235</v>
      </c>
      <c r="E39" s="91"/>
      <c r="F39" s="149">
        <v>55000000</v>
      </c>
      <c r="G39" s="91"/>
      <c r="H39" s="91"/>
    </row>
    <row r="40" spans="1:8" ht="18.75" x14ac:dyDescent="0.2">
      <c r="A40" s="370">
        <v>12</v>
      </c>
      <c r="B40" s="373">
        <v>44097</v>
      </c>
      <c r="C40" s="194">
        <f>G33</f>
        <v>59979037</v>
      </c>
      <c r="D40" s="195"/>
      <c r="E40" s="196">
        <f>SUM(E41:E41)</f>
        <v>0</v>
      </c>
      <c r="F40" s="196">
        <f>SUM(F41:F41)</f>
        <v>114000</v>
      </c>
      <c r="G40" s="197">
        <f>ROUND(C40+E40-F40,2)</f>
        <v>59865037</v>
      </c>
      <c r="H40" s="195"/>
    </row>
    <row r="41" spans="1:8" ht="15" x14ac:dyDescent="0.25">
      <c r="A41" s="372"/>
      <c r="B41" s="372"/>
      <c r="C41" s="91"/>
      <c r="D41" s="168" t="s">
        <v>252</v>
      </c>
      <c r="E41" s="91"/>
      <c r="F41" s="149">
        <v>114000</v>
      </c>
      <c r="G41" s="91"/>
      <c r="H41" s="91"/>
    </row>
    <row r="42" spans="1:8" ht="18.75" x14ac:dyDescent="0.2">
      <c r="A42" s="370">
        <v>13</v>
      </c>
      <c r="B42" s="373">
        <v>44102</v>
      </c>
      <c r="C42" s="194">
        <f>G40</f>
        <v>59865037</v>
      </c>
      <c r="D42" s="195"/>
      <c r="E42" s="196">
        <f>SUM(E43:E44)</f>
        <v>0</v>
      </c>
      <c r="F42" s="196">
        <f>SUM(F43:F44)</f>
        <v>41812850</v>
      </c>
      <c r="G42" s="197">
        <f>ROUND(C42+E42-F42,2)</f>
        <v>18052187</v>
      </c>
      <c r="H42" s="195"/>
    </row>
    <row r="43" spans="1:8" ht="15" x14ac:dyDescent="0.25">
      <c r="A43" s="371"/>
      <c r="B43" s="371"/>
      <c r="C43" s="90"/>
      <c r="D43" s="96" t="s">
        <v>261</v>
      </c>
      <c r="E43" s="90"/>
      <c r="F43" s="83">
        <f>45000000-3287150</f>
        <v>41712850</v>
      </c>
      <c r="G43" s="90"/>
      <c r="H43" s="90"/>
    </row>
    <row r="44" spans="1:8" ht="15" x14ac:dyDescent="0.25">
      <c r="A44" s="372"/>
      <c r="B44" s="372"/>
      <c r="C44" s="91"/>
      <c r="D44" s="168" t="s">
        <v>262</v>
      </c>
      <c r="E44" s="91"/>
      <c r="F44" s="149">
        <v>100000</v>
      </c>
      <c r="G44" s="91"/>
      <c r="H44" s="91"/>
    </row>
    <row r="45" spans="1:8" ht="18.75" x14ac:dyDescent="0.2">
      <c r="A45" s="370">
        <v>14</v>
      </c>
      <c r="B45" s="373">
        <v>44103</v>
      </c>
      <c r="C45" s="194">
        <f>G42</f>
        <v>18052187</v>
      </c>
      <c r="D45" s="195"/>
      <c r="E45" s="196">
        <f>SUM(E46:E46)</f>
        <v>0</v>
      </c>
      <c r="F45" s="196">
        <f>SUM(F46:F46)</f>
        <v>1220000</v>
      </c>
      <c r="G45" s="197">
        <f>ROUND(C45+E45-F45,2)</f>
        <v>16832187</v>
      </c>
      <c r="H45" s="195"/>
    </row>
    <row r="46" spans="1:8" ht="15" x14ac:dyDescent="0.25">
      <c r="A46" s="372"/>
      <c r="B46" s="372"/>
      <c r="C46" s="91"/>
      <c r="D46" s="168" t="s">
        <v>287</v>
      </c>
      <c r="E46" s="91"/>
      <c r="F46" s="216">
        <v>1220000</v>
      </c>
      <c r="G46" s="91"/>
      <c r="H46" s="91"/>
    </row>
  </sheetData>
  <mergeCells count="37">
    <mergeCell ref="A45:A46"/>
    <mergeCell ref="B45:B46"/>
    <mergeCell ref="B14:B16"/>
    <mergeCell ref="B6:B8"/>
    <mergeCell ref="B30:B32"/>
    <mergeCell ref="E4:F4"/>
    <mergeCell ref="A11:A13"/>
    <mergeCell ref="B11:B13"/>
    <mergeCell ref="A23:A24"/>
    <mergeCell ref="A14:A16"/>
    <mergeCell ref="A19:A22"/>
    <mergeCell ref="A9:A10"/>
    <mergeCell ref="B19:B22"/>
    <mergeCell ref="H4:H5"/>
    <mergeCell ref="D1:H1"/>
    <mergeCell ref="D2:H2"/>
    <mergeCell ref="A4:A5"/>
    <mergeCell ref="B4:B5"/>
    <mergeCell ref="C4:C5"/>
    <mergeCell ref="B9:B10"/>
    <mergeCell ref="D4:D5"/>
    <mergeCell ref="A28:A29"/>
    <mergeCell ref="B28:B29"/>
    <mergeCell ref="A25:A27"/>
    <mergeCell ref="A30:A32"/>
    <mergeCell ref="G4:G5"/>
    <mergeCell ref="B23:B24"/>
    <mergeCell ref="A17:A18"/>
    <mergeCell ref="B17:B18"/>
    <mergeCell ref="A6:A8"/>
    <mergeCell ref="B25:B27"/>
    <mergeCell ref="A42:A44"/>
    <mergeCell ref="B42:B44"/>
    <mergeCell ref="A40:A41"/>
    <mergeCell ref="B40:B41"/>
    <mergeCell ref="A33:A39"/>
    <mergeCell ref="B33:B39"/>
  </mergeCells>
  <pageMargins left="0.7" right="0.7" top="0.75" bottom="0.75" header="0.3" footer="0.3"/>
  <pageSetup scale="8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23" sqref="G23"/>
    </sheetView>
  </sheetViews>
  <sheetFormatPr defaultRowHeight="12.75" x14ac:dyDescent="0.2"/>
  <cols>
    <col min="2" max="2" width="13.5703125" customWidth="1"/>
    <col min="3" max="3" width="18.28515625" customWidth="1"/>
    <col min="4" max="4" width="36" customWidth="1"/>
    <col min="5" max="5" width="14" customWidth="1"/>
    <col min="6" max="6" width="16.28515625" customWidth="1"/>
    <col min="7" max="8" width="18.28515625" customWidth="1"/>
  </cols>
  <sheetData>
    <row r="1" spans="1:8" ht="22.5" x14ac:dyDescent="0.3">
      <c r="A1" s="353" t="s">
        <v>280</v>
      </c>
      <c r="B1" s="353"/>
      <c r="C1" s="353"/>
      <c r="D1" s="353"/>
      <c r="E1" s="353"/>
      <c r="F1" s="353"/>
      <c r="G1" s="353"/>
      <c r="H1" s="353"/>
    </row>
    <row r="2" spans="1:8" ht="22.5" x14ac:dyDescent="0.3">
      <c r="A2" s="387" t="s">
        <v>60</v>
      </c>
      <c r="B2" s="387"/>
      <c r="C2" s="387"/>
      <c r="D2" s="387"/>
      <c r="E2" s="387"/>
      <c r="F2" s="387"/>
      <c r="G2" s="387"/>
      <c r="H2" s="387"/>
    </row>
    <row r="3" spans="1:8" ht="22.5" x14ac:dyDescent="0.3">
      <c r="A3" s="171"/>
      <c r="B3" s="171"/>
      <c r="C3" s="171"/>
      <c r="D3" s="171"/>
      <c r="E3" s="171"/>
      <c r="F3" s="171"/>
      <c r="G3" s="171"/>
      <c r="H3" s="171"/>
    </row>
    <row r="4" spans="1:8" ht="18.75" x14ac:dyDescent="0.2">
      <c r="A4" s="354" t="s">
        <v>19</v>
      </c>
      <c r="B4" s="355" t="s">
        <v>20</v>
      </c>
      <c r="C4" s="354" t="s">
        <v>21</v>
      </c>
      <c r="D4" s="358" t="s">
        <v>28</v>
      </c>
      <c r="E4" s="354" t="s">
        <v>1</v>
      </c>
      <c r="F4" s="354"/>
      <c r="G4" s="354" t="s">
        <v>23</v>
      </c>
      <c r="H4" s="361" t="s">
        <v>5</v>
      </c>
    </row>
    <row r="5" spans="1:8" ht="18.75" x14ac:dyDescent="0.2">
      <c r="A5" s="354"/>
      <c r="B5" s="356"/>
      <c r="C5" s="354"/>
      <c r="D5" s="360"/>
      <c r="E5" s="192" t="s">
        <v>12</v>
      </c>
      <c r="F5" s="192" t="s">
        <v>13</v>
      </c>
      <c r="G5" s="354"/>
      <c r="H5" s="356"/>
    </row>
    <row r="6" spans="1:8" ht="18.75" x14ac:dyDescent="0.2">
      <c r="A6" s="370"/>
      <c r="B6" s="373"/>
      <c r="C6" s="194"/>
      <c r="D6" s="195"/>
      <c r="E6" s="196">
        <f>SUM(E7:E7)</f>
        <v>0</v>
      </c>
      <c r="F6" s="196">
        <f>SUM(F7:F11)</f>
        <v>0</v>
      </c>
      <c r="G6" s="197"/>
      <c r="H6" s="195"/>
    </row>
    <row r="7" spans="1:8" ht="23.25" customHeight="1" x14ac:dyDescent="0.25">
      <c r="A7" s="371"/>
      <c r="B7" s="381"/>
      <c r="C7" s="90"/>
      <c r="D7" s="100"/>
      <c r="E7" s="90"/>
      <c r="F7" s="83"/>
      <c r="G7" s="90"/>
      <c r="H7" s="90"/>
    </row>
    <row r="8" spans="1:8" ht="15" x14ac:dyDescent="0.25">
      <c r="A8" s="371"/>
      <c r="B8" s="381"/>
      <c r="C8" s="169"/>
      <c r="D8" s="100"/>
      <c r="E8" s="169"/>
      <c r="F8" s="83"/>
      <c r="G8" s="169"/>
      <c r="H8" s="169"/>
    </row>
    <row r="9" spans="1:8" ht="15" x14ac:dyDescent="0.25">
      <c r="A9" s="371"/>
      <c r="B9" s="381"/>
      <c r="C9" s="169"/>
      <c r="D9" s="100"/>
      <c r="E9" s="169"/>
      <c r="F9" s="83"/>
      <c r="G9" s="169"/>
      <c r="H9" s="169"/>
    </row>
    <row r="10" spans="1:8" ht="15" x14ac:dyDescent="0.25">
      <c r="A10" s="371"/>
      <c r="B10" s="381"/>
      <c r="C10" s="169"/>
      <c r="D10" s="100"/>
      <c r="E10" s="169"/>
      <c r="F10" s="83"/>
      <c r="G10" s="169"/>
      <c r="H10" s="169"/>
    </row>
    <row r="11" spans="1:8" x14ac:dyDescent="0.2">
      <c r="A11" s="372"/>
      <c r="B11" s="382"/>
      <c r="C11" s="170"/>
      <c r="D11" s="170"/>
      <c r="E11" s="170"/>
      <c r="F11" s="170"/>
      <c r="G11" s="170"/>
      <c r="H11" s="170"/>
    </row>
    <row r="13" spans="1:8" ht="15.75" x14ac:dyDescent="0.25">
      <c r="A13" s="9"/>
    </row>
    <row r="14" spans="1:8" ht="15.75" x14ac:dyDescent="0.25">
      <c r="A14" s="9"/>
    </row>
    <row r="15" spans="1:8" ht="15.75" x14ac:dyDescent="0.25">
      <c r="A15" s="9"/>
    </row>
  </sheetData>
  <mergeCells count="11">
    <mergeCell ref="D4:D5"/>
    <mergeCell ref="E4:F4"/>
    <mergeCell ref="G4:G5"/>
    <mergeCell ref="H4:H5"/>
    <mergeCell ref="A1:H1"/>
    <mergeCell ref="A2:H2"/>
    <mergeCell ref="A6:A11"/>
    <mergeCell ref="B6:B11"/>
    <mergeCell ref="A4:A5"/>
    <mergeCell ref="B4:B5"/>
    <mergeCell ref="C4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Tồng hợp</vt:lpstr>
      <vt:lpstr>Chi tiết</vt:lpstr>
      <vt:lpstr>Sheet1</vt:lpstr>
      <vt:lpstr>Sổ quỹ</vt:lpstr>
      <vt:lpstr>Techcombank</vt:lpstr>
      <vt:lpstr>Vietinbank</vt:lpstr>
      <vt:lpstr>SHB</vt:lpstr>
      <vt:lpstr>Tiền mặt</vt:lpstr>
      <vt:lpstr>MSB</vt:lpstr>
      <vt:lpstr>cong</vt:lpstr>
      <vt:lpstr>KHKH</vt:lpstr>
      <vt:lpstr>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thanhnhan</dc:creator>
  <cp:lastModifiedBy>Hoang Duy. Nguyen</cp:lastModifiedBy>
  <cp:lastPrinted>2020-06-24T08:03:53Z</cp:lastPrinted>
  <dcterms:created xsi:type="dcterms:W3CDTF">2011-07-30T15:18:56Z</dcterms:created>
  <dcterms:modified xsi:type="dcterms:W3CDTF">2020-10-04T09:29:06Z</dcterms:modified>
</cp:coreProperties>
</file>